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62619ac51ef079/바탕 화면/인수인계자료_김영훈(22.4)/20호 펀드(IGDC) 관련/IGDC/자금집행관련/"/>
    </mc:Choice>
  </mc:AlternateContent>
  <xr:revisionPtr revIDLastSave="0" documentId="8_{6B959DDD-307E-420C-A70C-EAEE94B839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펀드 보수 차감" sheetId="1" r:id="rId1"/>
    <sheet name="조기상환IRR" sheetId="5" r:id="rId2"/>
    <sheet name="XIRR_불필요" sheetId="4" r:id="rId3"/>
  </sheets>
  <externalReferences>
    <externalReference r:id="rId4"/>
    <externalReference r:id="rId5"/>
    <externalReference r:id="rId6"/>
  </externalReferences>
  <definedNames>
    <definedName name="_1" localSheetId="1">#REF!</definedName>
    <definedName name="_1">#REF!</definedName>
    <definedName name="_11" localSheetId="1">#REF!</definedName>
    <definedName name="_11">#REF!</definedName>
    <definedName name="_2" localSheetId="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904중비목">#REF!</definedName>
    <definedName name="_904해송수지_수정_">#REF!</definedName>
    <definedName name="_Order1" hidden="1">255</definedName>
    <definedName name="a">#REF!</definedName>
    <definedName name="aaa">#REF!</definedName>
    <definedName name="Data">[1]sheet0!$C$2</definedName>
    <definedName name="dfdfsdfkeslrdslf">[2]!EX</definedName>
    <definedName name="EX">[2]!EX</definedName>
    <definedName name="fdfd">#REF!</definedName>
    <definedName name="HTML_CodePage" hidden="1">949</definedName>
    <definedName name="HTML_Control" localSheetId="1" hidden="1">{"'98육송TARIFF'!$A$2:$G$212"}</definedName>
    <definedName name="HTML_Control" hidden="1">{"'98육송TARIFF'!$A$2:$G$212"}</definedName>
    <definedName name="HTML_Description" hidden="1">""</definedName>
    <definedName name="HTML_Email" hidden="1">""</definedName>
    <definedName name="HTML_Header" hidden="1">"98육송TARIFF"</definedName>
    <definedName name="HTML_LastUpdate" hidden="1">"98-06-10"</definedName>
    <definedName name="HTML_LineAfter" hidden="1">FALSE</definedName>
    <definedName name="HTML_LineBefore" hidden="1">FALSE</definedName>
    <definedName name="HTML_Name" hidden="1">"유현덕"</definedName>
    <definedName name="HTML_OBDlg2" hidden="1">TRUE</definedName>
    <definedName name="HTML_OBDlg4" hidden="1">TRUE</definedName>
    <definedName name="HTML_OS" hidden="1">0</definedName>
    <definedName name="HTML_PathFile" hidden="1">"\\손희준\MY DOCUMENTS\참고자료\육송tarrif.htm"</definedName>
    <definedName name="HTML_Title" hidden="1">"98년 육송 TARIFF"</definedName>
    <definedName name="pp">#REF!</definedName>
    <definedName name="_xlnm.Print_Area" localSheetId="0">'펀드 보수 차감'!$B$2:$Z$75</definedName>
    <definedName name="_xlnm.Print_Area">#REF!</definedName>
    <definedName name="PRINT_AREA_MI">#REF!</definedName>
    <definedName name="qa">#REF!</definedName>
    <definedName name="qq">#REF!</definedName>
    <definedName name="_xlnm.Recorder">#REF!</definedName>
    <definedName name="sss">#REF!</definedName>
    <definedName name="won">[3]Assumption!$L$31</definedName>
    <definedName name="가나">#REF!</definedName>
    <definedName name="ㄴㅇㅇㄹ" localSheetId="1" hidden="1">{"'98육송TARIFF'!$A$2:$G$212"}</definedName>
    <definedName name="ㄴㅇㅇㄹ" hidden="1">{"'98육송TARIFF'!$A$2:$G$212"}</definedName>
    <definedName name="ㅁㅁㅁ">#REF!</definedName>
    <definedName name="비정규직E_S">#REF!</definedName>
    <definedName name="비정규직현황">#REF!</definedName>
    <definedName name="ㅅㅅㅅㅅ">#REF!</definedName>
    <definedName name="사업요약" localSheetId="1" hidden="1">{"'98육송TARIFF'!$A$2:$G$212"}</definedName>
    <definedName name="사업요약" hidden="1">{"'98육송TARIFF'!$A$2:$G$212"}</definedName>
    <definedName name="세부투자계획" localSheetId="1" hidden="1">{"'98육송TARIFF'!$A$2:$G$212"}</definedName>
    <definedName name="세부투자계획" hidden="1">{"'98육송TARIFF'!$A$2:$G$212"}</definedName>
    <definedName name="시설">#REF!</definedName>
    <definedName name="ㅇ">#REF!</definedName>
    <definedName name="아래보기">#REF!</definedName>
    <definedName name="월_표준단가">#REF!</definedName>
    <definedName name="월별_특이_적용_금액_입력_관리">#REF!</definedName>
    <definedName name="위보기">#REF!</definedName>
    <definedName name="임시">#REF!</definedName>
    <definedName name="장기">#REF!</definedName>
    <definedName name="장기예수">#REF!</definedName>
    <definedName name="투자별" localSheetId="1" hidden="1">{"'98육송TARIFF'!$A$2:$G$212"}</definedName>
    <definedName name="투자별" hidden="1">{"'98육송TARIFF'!$A$2:$G$212"}</definedName>
    <definedName name="하핳">#REF!</definedName>
    <definedName name="해송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8" i="1" l="1"/>
  <c r="AN16" i="1"/>
  <c r="AN15" i="1"/>
  <c r="AN20" i="1"/>
  <c r="AE75" i="1"/>
  <c r="AC75" i="1"/>
  <c r="AH28" i="1"/>
  <c r="AH27" i="1"/>
  <c r="AE27" i="1"/>
  <c r="AH15" i="1"/>
  <c r="AI18" i="1"/>
  <c r="AI70" i="1"/>
  <c r="AC5" i="1"/>
  <c r="V49" i="5"/>
  <c r="V9" i="5"/>
  <c r="R48" i="5"/>
  <c r="T48" i="5"/>
  <c r="Z18" i="1"/>
  <c r="AL74" i="1"/>
  <c r="AL28" i="1"/>
  <c r="AL27" i="1"/>
  <c r="AN27" i="1"/>
  <c r="AO30" i="1"/>
  <c r="AM27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L15" i="1"/>
  <c r="AE16" i="1"/>
  <c r="AE15" i="1"/>
  <c r="AG15" i="1" s="1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26" i="5"/>
  <c r="T27" i="5"/>
  <c r="R49" i="5"/>
  <c r="R50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26" i="5"/>
  <c r="AF15" i="5"/>
  <c r="AF16" i="5"/>
  <c r="AF17" i="5"/>
  <c r="AF18" i="5"/>
  <c r="AF19" i="5"/>
  <c r="AF20" i="5"/>
  <c r="AF21" i="5"/>
  <c r="AF22" i="5"/>
  <c r="AF23" i="5"/>
  <c r="AF24" i="5"/>
  <c r="AF25" i="5"/>
  <c r="AF14" i="5"/>
  <c r="V18" i="5"/>
  <c r="V19" i="5"/>
  <c r="V20" i="5"/>
  <c r="V21" i="5"/>
  <c r="V22" i="5"/>
  <c r="V23" i="5"/>
  <c r="V24" i="5"/>
  <c r="V25" i="5"/>
  <c r="V17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26" i="5"/>
  <c r="I15" i="5"/>
  <c r="I16" i="5"/>
  <c r="I17" i="5"/>
  <c r="I18" i="5"/>
  <c r="I19" i="5"/>
  <c r="I20" i="5"/>
  <c r="I21" i="5"/>
  <c r="I22" i="5"/>
  <c r="I23" i="5"/>
  <c r="I24" i="5"/>
  <c r="I25" i="5"/>
  <c r="I14" i="5"/>
  <c r="AE17" i="1"/>
  <c r="AE18" i="1"/>
  <c r="AE19" i="1"/>
  <c r="AE20" i="1"/>
  <c r="AE21" i="1"/>
  <c r="AE22" i="1"/>
  <c r="AE23" i="1"/>
  <c r="AE24" i="1"/>
  <c r="AE25" i="1"/>
  <c r="AE26" i="1"/>
  <c r="AE57" i="1"/>
  <c r="AE58" i="1"/>
  <c r="I9" i="5"/>
  <c r="G26" i="5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F14" i="1" l="1"/>
  <c r="F12" i="1" s="1"/>
  <c r="AF9" i="5"/>
  <c r="AG5" i="1" s="1"/>
  <c r="AE61" i="5"/>
  <c r="AF61" i="5" s="1"/>
  <c r="AF13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14" i="5"/>
  <c r="R15" i="5"/>
  <c r="R16" i="5"/>
  <c r="R17" i="5"/>
  <c r="R18" i="5"/>
  <c r="R19" i="5"/>
  <c r="R20" i="5"/>
  <c r="R21" i="5"/>
  <c r="R22" i="5"/>
  <c r="R23" i="5"/>
  <c r="R24" i="5"/>
  <c r="R25" i="5"/>
  <c r="R14" i="5"/>
  <c r="E15" i="5"/>
  <c r="E16" i="5"/>
  <c r="E17" i="5"/>
  <c r="E18" i="5"/>
  <c r="E19" i="5"/>
  <c r="E20" i="5"/>
  <c r="E21" i="5"/>
  <c r="E22" i="5"/>
  <c r="E23" i="5"/>
  <c r="E24" i="5"/>
  <c r="E25" i="5"/>
  <c r="E14" i="5"/>
  <c r="AU15" i="1" l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14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J14" i="1" l="1"/>
  <c r="AM14" i="1" s="1"/>
  <c r="AD15" i="1"/>
  <c r="AC43" i="1"/>
  <c r="AG43" i="1" s="1"/>
  <c r="AC42" i="1"/>
  <c r="AG42" i="1" s="1"/>
  <c r="AC41" i="1"/>
  <c r="AG41" i="1" s="1"/>
  <c r="AC40" i="1"/>
  <c r="AG40" i="1" s="1"/>
  <c r="AC38" i="1"/>
  <c r="AG38" i="1" s="1"/>
  <c r="AC27" i="1"/>
  <c r="AG27" i="1" s="1"/>
  <c r="AC28" i="1"/>
  <c r="AG28" i="1" s="1"/>
  <c r="AC29" i="1"/>
  <c r="AG29" i="1" s="1"/>
  <c r="AC30" i="1"/>
  <c r="AG30" i="1" s="1"/>
  <c r="AC31" i="1"/>
  <c r="AG31" i="1" s="1"/>
  <c r="AC32" i="1"/>
  <c r="AG32" i="1" s="1"/>
  <c r="AC33" i="1"/>
  <c r="AG33" i="1" s="1"/>
  <c r="AC34" i="1"/>
  <c r="AG34" i="1" s="1"/>
  <c r="AC35" i="1"/>
  <c r="AG35" i="1" s="1"/>
  <c r="AC36" i="1"/>
  <c r="AG36" i="1" s="1"/>
  <c r="AC37" i="1"/>
  <c r="AG37" i="1" s="1"/>
  <c r="AC39" i="1"/>
  <c r="AG39" i="1" s="1"/>
  <c r="AB42" i="1"/>
  <c r="AB41" i="1"/>
  <c r="AB40" i="1"/>
  <c r="AB39" i="1"/>
  <c r="AB38" i="1"/>
  <c r="AC44" i="1"/>
  <c r="AG44" i="1" s="1"/>
  <c r="AC45" i="1"/>
  <c r="AG45" i="1" s="1"/>
  <c r="AC46" i="1"/>
  <c r="AG46" i="1" s="1"/>
  <c r="AC47" i="1"/>
  <c r="AG47" i="1" s="1"/>
  <c r="AC48" i="1"/>
  <c r="AG48" i="1" s="1"/>
  <c r="AC49" i="1"/>
  <c r="AG49" i="1" s="1"/>
  <c r="AC50" i="1"/>
  <c r="AG50" i="1" s="1"/>
  <c r="AC51" i="1"/>
  <c r="AG51" i="1" s="1"/>
  <c r="AC52" i="1"/>
  <c r="AG52" i="1" s="1"/>
  <c r="AC53" i="1"/>
  <c r="AG53" i="1" s="1"/>
  <c r="AC54" i="1"/>
  <c r="AG54" i="1" s="1"/>
  <c r="AC55" i="1"/>
  <c r="AG55" i="1" s="1"/>
  <c r="AC56" i="1"/>
  <c r="AG56" i="1" s="1"/>
  <c r="AC57" i="1"/>
  <c r="AG57" i="1" s="1"/>
  <c r="AC58" i="1"/>
  <c r="AG58" i="1" s="1"/>
  <c r="AC59" i="1"/>
  <c r="AG59" i="1" s="1"/>
  <c r="AC60" i="1"/>
  <c r="AG60" i="1" s="1"/>
  <c r="AC61" i="1"/>
  <c r="AG61" i="1" s="1"/>
  <c r="AC62" i="1"/>
  <c r="AG62" i="1" s="1"/>
  <c r="AC63" i="1"/>
  <c r="AG63" i="1" s="1"/>
  <c r="AC64" i="1"/>
  <c r="AG64" i="1" s="1"/>
  <c r="AC65" i="1"/>
  <c r="AG65" i="1" s="1"/>
  <c r="AC66" i="1"/>
  <c r="AG66" i="1" s="1"/>
  <c r="AC67" i="1"/>
  <c r="AG67" i="1" s="1"/>
  <c r="AC68" i="1"/>
  <c r="AG68" i="1" s="1"/>
  <c r="AC69" i="1"/>
  <c r="AG69" i="1" s="1"/>
  <c r="AC70" i="1"/>
  <c r="AG70" i="1" s="1"/>
  <c r="AC71" i="1"/>
  <c r="AG71" i="1" s="1"/>
  <c r="AC72" i="1"/>
  <c r="AG72" i="1" s="1"/>
  <c r="AC73" i="1"/>
  <c r="AG73" i="1" s="1"/>
  <c r="AC74" i="1"/>
  <c r="AG74" i="1" s="1"/>
  <c r="AB37" i="1"/>
  <c r="AB36" i="1"/>
  <c r="AB35" i="1"/>
  <c r="AB34" i="1"/>
  <c r="AB33" i="1"/>
  <c r="AB32" i="1"/>
  <c r="AB31" i="1"/>
  <c r="AB30" i="1"/>
  <c r="AQ59" i="1" l="1"/>
  <c r="AR50" i="1" s="1"/>
  <c r="AB29" i="1"/>
  <c r="AB28" i="1"/>
  <c r="AB27" i="1"/>
  <c r="AF27" i="1" s="1"/>
  <c r="AA14" i="1"/>
  <c r="AE13" i="5" l="1"/>
  <c r="U13" i="5"/>
  <c r="V13" i="5" s="1"/>
  <c r="L27" i="5"/>
  <c r="L28" i="5" s="1"/>
  <c r="C14" i="5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B14" i="5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H13" i="5"/>
  <c r="I13" i="5" s="1"/>
  <c r="J8" i="5"/>
  <c r="AC27" i="5" s="1"/>
  <c r="AC28" i="5" l="1"/>
  <c r="AA27" i="5"/>
  <c r="AE27" i="5" s="1"/>
  <c r="Q26" i="5"/>
  <c r="R26" i="5" s="1"/>
  <c r="AA28" i="5"/>
  <c r="Q27" i="5"/>
  <c r="R27" i="5" s="1"/>
  <c r="S26" i="5"/>
  <c r="S27" i="5"/>
  <c r="S28" i="5"/>
  <c r="T28" i="5" s="1"/>
  <c r="AA26" i="5"/>
  <c r="Q28" i="5"/>
  <c r="R28" i="5" s="1"/>
  <c r="AC26" i="5"/>
  <c r="AC25" i="5" s="1"/>
  <c r="AE25" i="5" s="1"/>
  <c r="L29" i="5"/>
  <c r="L30" i="5" s="1"/>
  <c r="AC30" i="5" s="1"/>
  <c r="D28" i="5"/>
  <c r="D26" i="5"/>
  <c r="E26" i="5" s="1"/>
  <c r="F28" i="5"/>
  <c r="G28" i="5" s="1"/>
  <c r="F26" i="5"/>
  <c r="D27" i="5"/>
  <c r="E27" i="5" s="1"/>
  <c r="F27" i="5"/>
  <c r="G27" i="5" s="1"/>
  <c r="S25" i="5" l="1"/>
  <c r="S24" i="5" s="1"/>
  <c r="T26" i="5"/>
  <c r="F25" i="5"/>
  <c r="G25" i="5" s="1"/>
  <c r="D29" i="5"/>
  <c r="E29" i="5" s="1"/>
  <c r="H28" i="5"/>
  <c r="E28" i="5"/>
  <c r="F29" i="5"/>
  <c r="AE28" i="5"/>
  <c r="AC24" i="5"/>
  <c r="AC23" i="5" s="1"/>
  <c r="H27" i="5"/>
  <c r="Q29" i="5"/>
  <c r="R29" i="5" s="1"/>
  <c r="F30" i="5"/>
  <c r="G30" i="5" s="1"/>
  <c r="S30" i="5"/>
  <c r="T30" i="5" s="1"/>
  <c r="AE26" i="5"/>
  <c r="S29" i="5"/>
  <c r="T29" i="5" s="1"/>
  <c r="U27" i="5"/>
  <c r="AA30" i="5"/>
  <c r="AE30" i="5" s="1"/>
  <c r="H26" i="5"/>
  <c r="AC29" i="5"/>
  <c r="AA29" i="5"/>
  <c r="U28" i="5"/>
  <c r="Q30" i="5"/>
  <c r="R30" i="5" s="1"/>
  <c r="U26" i="5"/>
  <c r="L31" i="5"/>
  <c r="D30" i="5"/>
  <c r="U24" i="5" l="1"/>
  <c r="T24" i="5"/>
  <c r="AE24" i="5"/>
  <c r="U25" i="5"/>
  <c r="T25" i="5"/>
  <c r="F24" i="5"/>
  <c r="G24" i="5" s="1"/>
  <c r="H25" i="5"/>
  <c r="H30" i="5"/>
  <c r="E30" i="5"/>
  <c r="H29" i="5"/>
  <c r="G29" i="5"/>
  <c r="U30" i="5"/>
  <c r="S23" i="5"/>
  <c r="S31" i="5"/>
  <c r="T31" i="5" s="1"/>
  <c r="AC31" i="5"/>
  <c r="AA31" i="5"/>
  <c r="Q31" i="5"/>
  <c r="R31" i="5" s="1"/>
  <c r="AE29" i="5"/>
  <c r="U29" i="5"/>
  <c r="AE23" i="5"/>
  <c r="AC22" i="5"/>
  <c r="L32" i="5"/>
  <c r="D31" i="5"/>
  <c r="E31" i="5" s="1"/>
  <c r="F31" i="5"/>
  <c r="G31" i="5" s="1"/>
  <c r="AE31" i="5" l="1"/>
  <c r="F23" i="5"/>
  <c r="G23" i="5" s="1"/>
  <c r="H24" i="5"/>
  <c r="S22" i="5"/>
  <c r="T22" i="5" s="1"/>
  <c r="T23" i="5"/>
  <c r="U23" i="5"/>
  <c r="U31" i="5"/>
  <c r="H31" i="5"/>
  <c r="S32" i="5"/>
  <c r="T32" i="5" s="1"/>
  <c r="Q32" i="5"/>
  <c r="AC32" i="5"/>
  <c r="AA32" i="5"/>
  <c r="AE32" i="5" s="1"/>
  <c r="AE22" i="5"/>
  <c r="AC21" i="5"/>
  <c r="F22" i="5"/>
  <c r="G22" i="5" s="1"/>
  <c r="H23" i="5"/>
  <c r="L33" i="5"/>
  <c r="D32" i="5"/>
  <c r="E32" i="5" s="1"/>
  <c r="F32" i="5"/>
  <c r="G32" i="5" s="1"/>
  <c r="S21" i="5" l="1"/>
  <c r="T21" i="5" s="1"/>
  <c r="U32" i="5"/>
  <c r="R32" i="5"/>
  <c r="U22" i="5"/>
  <c r="AA33" i="5"/>
  <c r="AC33" i="5"/>
  <c r="S33" i="5"/>
  <c r="T33" i="5" s="1"/>
  <c r="Q33" i="5"/>
  <c r="AC20" i="5"/>
  <c r="AE21" i="5"/>
  <c r="H32" i="5"/>
  <c r="L34" i="5"/>
  <c r="D33" i="5"/>
  <c r="E33" i="5" s="1"/>
  <c r="F33" i="5"/>
  <c r="G33" i="5" s="1"/>
  <c r="F21" i="5"/>
  <c r="G21" i="5" s="1"/>
  <c r="H22" i="5"/>
  <c r="S20" i="5" l="1"/>
  <c r="T20" i="5" s="1"/>
  <c r="U21" i="5"/>
  <c r="U33" i="5"/>
  <c r="R33" i="5"/>
  <c r="S34" i="5"/>
  <c r="T34" i="5" s="1"/>
  <c r="AA34" i="5"/>
  <c r="AC34" i="5"/>
  <c r="Q34" i="5"/>
  <c r="R34" i="5" s="1"/>
  <c r="AE33" i="5"/>
  <c r="AC19" i="5"/>
  <c r="AE20" i="5"/>
  <c r="S19" i="5"/>
  <c r="T19" i="5" s="1"/>
  <c r="U20" i="5"/>
  <c r="H21" i="5"/>
  <c r="F20" i="5"/>
  <c r="G20" i="5" s="1"/>
  <c r="H33" i="5"/>
  <c r="L35" i="5"/>
  <c r="D34" i="5"/>
  <c r="E34" i="5" s="1"/>
  <c r="F34" i="5"/>
  <c r="G34" i="5" s="1"/>
  <c r="U34" i="5" l="1"/>
  <c r="S35" i="5"/>
  <c r="T35" i="5" s="1"/>
  <c r="AA35" i="5"/>
  <c r="AC35" i="5"/>
  <c r="Q35" i="5"/>
  <c r="R35" i="5" s="1"/>
  <c r="AE34" i="5"/>
  <c r="AE19" i="5"/>
  <c r="AC18" i="5"/>
  <c r="U19" i="5"/>
  <c r="S18" i="5"/>
  <c r="T18" i="5" s="1"/>
  <c r="H34" i="5"/>
  <c r="F19" i="5"/>
  <c r="G19" i="5" s="1"/>
  <c r="H20" i="5"/>
  <c r="L36" i="5"/>
  <c r="D35" i="5"/>
  <c r="E35" i="5" s="1"/>
  <c r="F35" i="5"/>
  <c r="G35" i="5" s="1"/>
  <c r="U35" i="5" l="1"/>
  <c r="AE35" i="5"/>
  <c r="Q36" i="5"/>
  <c r="R36" i="5" s="1"/>
  <c r="AC36" i="5"/>
  <c r="S36" i="5"/>
  <c r="T36" i="5" s="1"/>
  <c r="AA36" i="5"/>
  <c r="AE36" i="5" s="1"/>
  <c r="AE18" i="5"/>
  <c r="AC17" i="5"/>
  <c r="U18" i="5"/>
  <c r="S17" i="5"/>
  <c r="T17" i="5" s="1"/>
  <c r="H35" i="5"/>
  <c r="F18" i="5"/>
  <c r="G18" i="5" s="1"/>
  <c r="H19" i="5"/>
  <c r="L37" i="5"/>
  <c r="F36" i="5"/>
  <c r="G36" i="5" s="1"/>
  <c r="D36" i="5"/>
  <c r="H36" i="5" l="1"/>
  <c r="E36" i="5"/>
  <c r="U36" i="5"/>
  <c r="AC37" i="5"/>
  <c r="AA37" i="5"/>
  <c r="Q37" i="5"/>
  <c r="R37" i="5" s="1"/>
  <c r="S37" i="5"/>
  <c r="T37" i="5" s="1"/>
  <c r="AE17" i="5"/>
  <c r="AC16" i="5"/>
  <c r="U17" i="5"/>
  <c r="S16" i="5"/>
  <c r="T16" i="5" s="1"/>
  <c r="L38" i="5"/>
  <c r="D37" i="5"/>
  <c r="E37" i="5" s="1"/>
  <c r="F37" i="5"/>
  <c r="G37" i="5" s="1"/>
  <c r="H18" i="5"/>
  <c r="F17" i="5"/>
  <c r="G17" i="5" s="1"/>
  <c r="AE37" i="5" l="1"/>
  <c r="U37" i="5"/>
  <c r="Q38" i="5"/>
  <c r="R38" i="5" s="1"/>
  <c r="S38" i="5"/>
  <c r="T38" i="5" s="1"/>
  <c r="AC38" i="5"/>
  <c r="AA38" i="5"/>
  <c r="AE16" i="5"/>
  <c r="AC15" i="5"/>
  <c r="U16" i="5"/>
  <c r="V16" i="5" s="1"/>
  <c r="S15" i="5"/>
  <c r="T15" i="5" s="1"/>
  <c r="F16" i="5"/>
  <c r="G16" i="5" s="1"/>
  <c r="H17" i="5"/>
  <c r="H37" i="5"/>
  <c r="L39" i="5"/>
  <c r="F38" i="5"/>
  <c r="G38" i="5" s="1"/>
  <c r="D38" i="5"/>
  <c r="H38" i="5" l="1"/>
  <c r="E38" i="5"/>
  <c r="AE38" i="5"/>
  <c r="Q39" i="5"/>
  <c r="R39" i="5" s="1"/>
  <c r="AC39" i="5"/>
  <c r="S39" i="5"/>
  <c r="T39" i="5" s="1"/>
  <c r="AA39" i="5"/>
  <c r="U38" i="5"/>
  <c r="AC14" i="5"/>
  <c r="AE14" i="5" s="1"/>
  <c r="AE15" i="5"/>
  <c r="S14" i="5"/>
  <c r="U15" i="5"/>
  <c r="V15" i="5" s="1"/>
  <c r="L40" i="5"/>
  <c r="D39" i="5"/>
  <c r="E39" i="5" s="1"/>
  <c r="F39" i="5"/>
  <c r="G39" i="5" s="1"/>
  <c r="H16" i="5"/>
  <c r="F15" i="5"/>
  <c r="G15" i="5" s="1"/>
  <c r="AE39" i="5" l="1"/>
  <c r="U14" i="5"/>
  <c r="V14" i="5" s="1"/>
  <c r="T14" i="5"/>
  <c r="S40" i="5"/>
  <c r="T40" i="5" s="1"/>
  <c r="Q40" i="5"/>
  <c r="R40" i="5" s="1"/>
  <c r="AC40" i="5"/>
  <c r="AA40" i="5"/>
  <c r="U39" i="5"/>
  <c r="H39" i="5"/>
  <c r="H15" i="5"/>
  <c r="F14" i="5"/>
  <c r="L41" i="5"/>
  <c r="F40" i="5"/>
  <c r="G40" i="5" s="1"/>
  <c r="D40" i="5"/>
  <c r="AE40" i="5" l="1"/>
  <c r="H40" i="5"/>
  <c r="E40" i="5"/>
  <c r="H14" i="5"/>
  <c r="G14" i="5"/>
  <c r="U40" i="5"/>
  <c r="S41" i="5"/>
  <c r="T41" i="5" s="1"/>
  <c r="AA41" i="5"/>
  <c r="AC41" i="5"/>
  <c r="Q41" i="5"/>
  <c r="L42" i="5"/>
  <c r="F41" i="5"/>
  <c r="G41" i="5" s="1"/>
  <c r="D41" i="5"/>
  <c r="E41" i="5" s="1"/>
  <c r="U41" i="5" l="1"/>
  <c r="R41" i="5"/>
  <c r="H41" i="5"/>
  <c r="AC42" i="5"/>
  <c r="Q42" i="5"/>
  <c r="R42" i="5" s="1"/>
  <c r="AA42" i="5"/>
  <c r="AE42" i="5" s="1"/>
  <c r="S42" i="5"/>
  <c r="T42" i="5" s="1"/>
  <c r="AE41" i="5"/>
  <c r="L43" i="5"/>
  <c r="D42" i="5"/>
  <c r="E42" i="5" s="1"/>
  <c r="F42" i="5"/>
  <c r="G42" i="5" s="1"/>
  <c r="U42" i="5" l="1"/>
  <c r="AA43" i="5"/>
  <c r="AC43" i="5"/>
  <c r="Q43" i="5"/>
  <c r="R43" i="5" s="1"/>
  <c r="S43" i="5"/>
  <c r="T43" i="5" s="1"/>
  <c r="H42" i="5"/>
  <c r="L44" i="5"/>
  <c r="D43" i="5"/>
  <c r="E43" i="5" s="1"/>
  <c r="F43" i="5"/>
  <c r="G43" i="5" s="1"/>
  <c r="U43" i="5" l="1"/>
  <c r="AE43" i="5"/>
  <c r="H43" i="5"/>
  <c r="S44" i="5"/>
  <c r="T44" i="5" s="1"/>
  <c r="Q44" i="5"/>
  <c r="R44" i="5" s="1"/>
  <c r="AC44" i="5"/>
  <c r="AA44" i="5"/>
  <c r="L45" i="5"/>
  <c r="D44" i="5"/>
  <c r="E44" i="5" s="1"/>
  <c r="F44" i="5"/>
  <c r="G44" i="5" s="1"/>
  <c r="AE44" i="5" l="1"/>
  <c r="U44" i="5"/>
  <c r="S45" i="5"/>
  <c r="T45" i="5" s="1"/>
  <c r="AA45" i="5"/>
  <c r="AC45" i="5"/>
  <c r="Q45" i="5"/>
  <c r="H44" i="5"/>
  <c r="L46" i="5"/>
  <c r="D45" i="5"/>
  <c r="E45" i="5" s="1"/>
  <c r="F45" i="5"/>
  <c r="G45" i="5" s="1"/>
  <c r="U45" i="5" l="1"/>
  <c r="R45" i="5"/>
  <c r="AE45" i="5"/>
  <c r="AA46" i="5"/>
  <c r="S46" i="5"/>
  <c r="T46" i="5" s="1"/>
  <c r="Q46" i="5"/>
  <c r="AC46" i="5"/>
  <c r="L47" i="5"/>
  <c r="D46" i="5"/>
  <c r="E46" i="5" s="1"/>
  <c r="F46" i="5"/>
  <c r="G46" i="5" s="1"/>
  <c r="H45" i="5"/>
  <c r="U46" i="5" l="1"/>
  <c r="R46" i="5"/>
  <c r="Q47" i="5"/>
  <c r="R47" i="5" s="1"/>
  <c r="S47" i="5"/>
  <c r="T47" i="5" s="1"/>
  <c r="AC47" i="5"/>
  <c r="AA47" i="5"/>
  <c r="AE46" i="5"/>
  <c r="H46" i="5"/>
  <c r="L48" i="5"/>
  <c r="D47" i="5"/>
  <c r="E47" i="5" s="1"/>
  <c r="F47" i="5"/>
  <c r="G47" i="5" s="1"/>
  <c r="AE47" i="5" l="1"/>
  <c r="AC48" i="5"/>
  <c r="S48" i="5"/>
  <c r="AA48" i="5"/>
  <c r="Q48" i="5"/>
  <c r="U47" i="5"/>
  <c r="L49" i="5"/>
  <c r="D48" i="5"/>
  <c r="E48" i="5" s="1"/>
  <c r="F48" i="5"/>
  <c r="G48" i="5" s="1"/>
  <c r="H47" i="5"/>
  <c r="U48" i="5" l="1"/>
  <c r="AA49" i="5"/>
  <c r="AC49" i="5"/>
  <c r="AE48" i="5"/>
  <c r="H48" i="5"/>
  <c r="L50" i="5"/>
  <c r="D49" i="5"/>
  <c r="E49" i="5" s="1"/>
  <c r="F49" i="5"/>
  <c r="G49" i="5" s="1"/>
  <c r="AA50" i="5" l="1"/>
  <c r="AC50" i="5"/>
  <c r="AE49" i="5"/>
  <c r="L51" i="5"/>
  <c r="F50" i="5"/>
  <c r="G50" i="5" s="1"/>
  <c r="D50" i="5"/>
  <c r="E50" i="5" s="1"/>
  <c r="H49" i="5"/>
  <c r="H50" i="5" l="1"/>
  <c r="AA51" i="5"/>
  <c r="AC51" i="5"/>
  <c r="AE50" i="5"/>
  <c r="L52" i="5"/>
  <c r="F51" i="5"/>
  <c r="G51" i="5" s="1"/>
  <c r="D51" i="5"/>
  <c r="H51" i="5" l="1"/>
  <c r="E51" i="5"/>
  <c r="AE51" i="5"/>
  <c r="AA52" i="5"/>
  <c r="AC52" i="5"/>
  <c r="L53" i="5"/>
  <c r="F52" i="5"/>
  <c r="G52" i="5" s="1"/>
  <c r="D52" i="5"/>
  <c r="H52" i="5" l="1"/>
  <c r="E52" i="5"/>
  <c r="AE52" i="5"/>
  <c r="AA53" i="5"/>
  <c r="AC53" i="5"/>
  <c r="L54" i="5"/>
  <c r="D53" i="5"/>
  <c r="E53" i="5" s="1"/>
  <c r="F53" i="5"/>
  <c r="G53" i="5" s="1"/>
  <c r="AE53" i="5" l="1"/>
  <c r="AA54" i="5"/>
  <c r="AC54" i="5"/>
  <c r="H53" i="5"/>
  <c r="L55" i="5"/>
  <c r="D54" i="5"/>
  <c r="E54" i="5" s="1"/>
  <c r="F54" i="5"/>
  <c r="G54" i="5" s="1"/>
  <c r="AA55" i="5" l="1"/>
  <c r="AC55" i="5"/>
  <c r="AE54" i="5"/>
  <c r="H54" i="5"/>
  <c r="L56" i="5"/>
  <c r="D55" i="5"/>
  <c r="E55" i="5" s="1"/>
  <c r="F55" i="5"/>
  <c r="G55" i="5" s="1"/>
  <c r="AA56" i="5" l="1"/>
  <c r="AC56" i="5"/>
  <c r="AE55" i="5"/>
  <c r="H55" i="5"/>
  <c r="L57" i="5"/>
  <c r="D56" i="5"/>
  <c r="E56" i="5" s="1"/>
  <c r="F56" i="5"/>
  <c r="G56" i="5" s="1"/>
  <c r="AC57" i="5" l="1"/>
  <c r="AA57" i="5"/>
  <c r="AE56" i="5"/>
  <c r="H56" i="5"/>
  <c r="L58" i="5"/>
  <c r="D57" i="5"/>
  <c r="E57" i="5" s="1"/>
  <c r="F57" i="5"/>
  <c r="G57" i="5" s="1"/>
  <c r="AE57" i="5" l="1"/>
  <c r="AA58" i="5"/>
  <c r="AC58" i="5"/>
  <c r="L59" i="5"/>
  <c r="F58" i="5"/>
  <c r="G58" i="5" s="1"/>
  <c r="D58" i="5"/>
  <c r="H57" i="5"/>
  <c r="H58" i="5" l="1"/>
  <c r="E58" i="5"/>
  <c r="AA59" i="5"/>
  <c r="AC59" i="5"/>
  <c r="AE58" i="5"/>
  <c r="L60" i="5"/>
  <c r="D59" i="5"/>
  <c r="E59" i="5" s="1"/>
  <c r="F59" i="5"/>
  <c r="G59" i="5" s="1"/>
  <c r="AC60" i="5" l="1"/>
  <c r="AA60" i="5"/>
  <c r="AE59" i="5"/>
  <c r="H59" i="5"/>
  <c r="L61" i="5"/>
  <c r="D60" i="5"/>
  <c r="E60" i="5" s="1"/>
  <c r="F60" i="5"/>
  <c r="G60" i="5" s="1"/>
  <c r="AE60" i="5" l="1"/>
  <c r="L62" i="5"/>
  <c r="D61" i="5"/>
  <c r="E61" i="5" s="1"/>
  <c r="F61" i="5"/>
  <c r="G61" i="5" s="1"/>
  <c r="H60" i="5"/>
  <c r="H61" i="5" l="1"/>
  <c r="L63" i="5"/>
  <c r="D62" i="5"/>
  <c r="E62" i="5" s="1"/>
  <c r="F62" i="5"/>
  <c r="G62" i="5" s="1"/>
  <c r="H62" i="5" l="1"/>
  <c r="L64" i="5"/>
  <c r="D63" i="5"/>
  <c r="E63" i="5" s="1"/>
  <c r="F63" i="5"/>
  <c r="G63" i="5" s="1"/>
  <c r="L65" i="5" l="1"/>
  <c r="D64" i="5"/>
  <c r="E64" i="5" s="1"/>
  <c r="F64" i="5"/>
  <c r="G64" i="5" s="1"/>
  <c r="H63" i="5"/>
  <c r="H64" i="5" l="1"/>
  <c r="L66" i="5"/>
  <c r="D65" i="5"/>
  <c r="E65" i="5" s="1"/>
  <c r="F65" i="5"/>
  <c r="G65" i="5" s="1"/>
  <c r="H65" i="5" l="1"/>
  <c r="L67" i="5"/>
  <c r="D66" i="5"/>
  <c r="E66" i="5" s="1"/>
  <c r="F66" i="5"/>
  <c r="G66" i="5" s="1"/>
  <c r="H66" i="5" l="1"/>
  <c r="L68" i="5"/>
  <c r="D67" i="5"/>
  <c r="E67" i="5" s="1"/>
  <c r="F67" i="5"/>
  <c r="G67" i="5" s="1"/>
  <c r="H67" i="5" l="1"/>
  <c r="L69" i="5"/>
  <c r="D68" i="5"/>
  <c r="E68" i="5" s="1"/>
  <c r="F68" i="5"/>
  <c r="G68" i="5" s="1"/>
  <c r="H68" i="5" l="1"/>
  <c r="L70" i="5"/>
  <c r="F69" i="5"/>
  <c r="G69" i="5" s="1"/>
  <c r="D69" i="5"/>
  <c r="H69" i="5" l="1"/>
  <c r="E69" i="5"/>
  <c r="L71" i="5"/>
  <c r="F70" i="5"/>
  <c r="G70" i="5" s="1"/>
  <c r="D70" i="5"/>
  <c r="E70" i="5" s="1"/>
  <c r="H70" i="5" l="1"/>
  <c r="L72" i="5"/>
  <c r="D71" i="5"/>
  <c r="E71" i="5" s="1"/>
  <c r="F71" i="5"/>
  <c r="G71" i="5" s="1"/>
  <c r="H71" i="5" l="1"/>
  <c r="L73" i="5"/>
  <c r="D72" i="5"/>
  <c r="E72" i="5" s="1"/>
  <c r="F72" i="5"/>
  <c r="G72" i="5" s="1"/>
  <c r="H72" i="5" l="1"/>
  <c r="F73" i="5"/>
  <c r="G73" i="5" s="1"/>
  <c r="D73" i="5"/>
  <c r="E73" i="5" s="1"/>
  <c r="H73" i="5" l="1"/>
  <c r="U52" i="5"/>
  <c r="AE64" i="5"/>
  <c r="AS15" i="1"/>
  <c r="AP15" i="1"/>
  <c r="F10" i="4"/>
  <c r="AP16" i="1" l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S16" i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H10" i="5"/>
  <c r="AE65" i="5"/>
  <c r="AC61" i="5" s="1"/>
  <c r="AA61" i="5"/>
  <c r="U53" i="5"/>
  <c r="S49" i="5" s="1"/>
  <c r="T49" i="5" s="1"/>
  <c r="Q49" i="5"/>
  <c r="AD75" i="1"/>
  <c r="U49" i="5" l="1"/>
  <c r="AE5" i="1" s="1"/>
  <c r="U10" i="5"/>
  <c r="Q50" i="5"/>
  <c r="AE10" i="5"/>
  <c r="AA62" i="5"/>
  <c r="D14" i="1"/>
  <c r="C15" i="1"/>
  <c r="V5" i="1"/>
  <c r="F13" i="4"/>
  <c r="C15" i="4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G8" i="4"/>
  <c r="C16" i="1" l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D15" i="1"/>
  <c r="D17" i="4"/>
  <c r="D52" i="4"/>
  <c r="D59" i="4"/>
  <c r="D43" i="4"/>
  <c r="D31" i="4"/>
  <c r="E60" i="4"/>
  <c r="E56" i="4"/>
  <c r="E52" i="4"/>
  <c r="E48" i="4"/>
  <c r="E44" i="4"/>
  <c r="E40" i="4"/>
  <c r="E36" i="4"/>
  <c r="E32" i="4"/>
  <c r="E28" i="4"/>
  <c r="E24" i="4"/>
  <c r="E20" i="4"/>
  <c r="E16" i="4"/>
  <c r="D48" i="4"/>
  <c r="D44" i="4"/>
  <c r="D40" i="4"/>
  <c r="D36" i="4"/>
  <c r="D32" i="4"/>
  <c r="D28" i="4"/>
  <c r="D24" i="4"/>
  <c r="D20" i="4"/>
  <c r="D16" i="4"/>
  <c r="E59" i="4"/>
  <c r="E55" i="4"/>
  <c r="E51" i="4"/>
  <c r="E47" i="4"/>
  <c r="E43" i="4"/>
  <c r="E39" i="4"/>
  <c r="E35" i="4"/>
  <c r="E31" i="4"/>
  <c r="E27" i="4"/>
  <c r="E23" i="4"/>
  <c r="E19" i="4"/>
  <c r="E15" i="4"/>
  <c r="D51" i="4"/>
  <c r="D23" i="4"/>
  <c r="E58" i="4"/>
  <c r="E54" i="4"/>
  <c r="E50" i="4"/>
  <c r="E46" i="4"/>
  <c r="E42" i="4"/>
  <c r="E38" i="4"/>
  <c r="E34" i="4"/>
  <c r="E30" i="4"/>
  <c r="E26" i="4"/>
  <c r="E22" i="4"/>
  <c r="E18" i="4"/>
  <c r="E14" i="4"/>
  <c r="D56" i="4"/>
  <c r="D39" i="4"/>
  <c r="F39" i="4" s="1"/>
  <c r="D27" i="4"/>
  <c r="D58" i="4"/>
  <c r="D54" i="4"/>
  <c r="D50" i="4"/>
  <c r="D46" i="4"/>
  <c r="F46" i="4" s="1"/>
  <c r="D42" i="4"/>
  <c r="F42" i="4" s="1"/>
  <c r="D38" i="4"/>
  <c r="D34" i="4"/>
  <c r="D30" i="4"/>
  <c r="D26" i="4"/>
  <c r="D22" i="4"/>
  <c r="D18" i="4"/>
  <c r="D14" i="4"/>
  <c r="D60" i="4"/>
  <c r="D55" i="4"/>
  <c r="D19" i="4"/>
  <c r="F19" i="4" s="1"/>
  <c r="E61" i="4"/>
  <c r="E57" i="4"/>
  <c r="E53" i="4"/>
  <c r="E49" i="4"/>
  <c r="E45" i="4"/>
  <c r="E41" i="4"/>
  <c r="E37" i="4"/>
  <c r="E33" i="4"/>
  <c r="E29" i="4"/>
  <c r="E25" i="4"/>
  <c r="E21" i="4"/>
  <c r="E17" i="4"/>
  <c r="F17" i="4" s="1"/>
  <c r="D47" i="4"/>
  <c r="D35" i="4"/>
  <c r="D15" i="4"/>
  <c r="D61" i="4"/>
  <c r="D57" i="4"/>
  <c r="F57" i="4" s="1"/>
  <c r="D53" i="4"/>
  <c r="D49" i="4"/>
  <c r="D45" i="4"/>
  <c r="F45" i="4" s="1"/>
  <c r="D41" i="4"/>
  <c r="D37" i="4"/>
  <c r="F37" i="4" s="1"/>
  <c r="D33" i="4"/>
  <c r="D29" i="4"/>
  <c r="D25" i="4"/>
  <c r="F25" i="4" s="1"/>
  <c r="D21" i="4"/>
  <c r="D16" i="1" l="1"/>
  <c r="D18" i="1"/>
  <c r="D19" i="1"/>
  <c r="D22" i="1"/>
  <c r="D24" i="1"/>
  <c r="D17" i="1"/>
  <c r="C69" i="1"/>
  <c r="M69" i="1" s="1"/>
  <c r="D68" i="1"/>
  <c r="D42" i="1"/>
  <c r="D26" i="1"/>
  <c r="D34" i="1"/>
  <c r="D48" i="1"/>
  <c r="D64" i="1"/>
  <c r="D29" i="1"/>
  <c r="D53" i="1"/>
  <c r="D30" i="1"/>
  <c r="D27" i="1"/>
  <c r="D54" i="1"/>
  <c r="D65" i="1"/>
  <c r="D46" i="1"/>
  <c r="D39" i="1"/>
  <c r="D66" i="1"/>
  <c r="D21" i="1"/>
  <c r="D25" i="1"/>
  <c r="D36" i="1"/>
  <c r="D51" i="1"/>
  <c r="D55" i="1"/>
  <c r="D33" i="1"/>
  <c r="D50" i="1"/>
  <c r="D37" i="1"/>
  <c r="D45" i="1"/>
  <c r="D23" i="1"/>
  <c r="D49" i="1"/>
  <c r="D31" i="1"/>
  <c r="D57" i="1"/>
  <c r="D35" i="1"/>
  <c r="D61" i="1"/>
  <c r="D38" i="1"/>
  <c r="D56" i="1"/>
  <c r="D28" i="1"/>
  <c r="D43" i="1"/>
  <c r="D47" i="1"/>
  <c r="D41" i="1"/>
  <c r="D40" i="1"/>
  <c r="D20" i="1"/>
  <c r="D58" i="1"/>
  <c r="D59" i="1"/>
  <c r="D67" i="1"/>
  <c r="D63" i="1"/>
  <c r="D52" i="1"/>
  <c r="D32" i="1"/>
  <c r="D60" i="1"/>
  <c r="D62" i="1"/>
  <c r="D44" i="1"/>
  <c r="F55" i="4"/>
  <c r="F41" i="4"/>
  <c r="F14" i="4"/>
  <c r="F33" i="4"/>
  <c r="F30" i="4"/>
  <c r="F47" i="4"/>
  <c r="F51" i="4"/>
  <c r="F15" i="4"/>
  <c r="F52" i="4"/>
  <c r="F61" i="4"/>
  <c r="F34" i="4"/>
  <c r="F28" i="4"/>
  <c r="F27" i="4"/>
  <c r="F29" i="4"/>
  <c r="F36" i="4"/>
  <c r="F49" i="4"/>
  <c r="F21" i="4"/>
  <c r="F53" i="4"/>
  <c r="F22" i="4"/>
  <c r="F54" i="4"/>
  <c r="F16" i="4"/>
  <c r="F48" i="4"/>
  <c r="F26" i="4"/>
  <c r="F58" i="4"/>
  <c r="F23" i="4"/>
  <c r="F20" i="4"/>
  <c r="F24" i="4"/>
  <c r="F56" i="4"/>
  <c r="F60" i="4"/>
  <c r="F38" i="4"/>
  <c r="F32" i="4"/>
  <c r="F31" i="4"/>
  <c r="F35" i="4"/>
  <c r="F43" i="4"/>
  <c r="F40" i="4"/>
  <c r="F59" i="4"/>
  <c r="F18" i="4"/>
  <c r="F50" i="4"/>
  <c r="F44" i="4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N18" i="1"/>
  <c r="N17" i="1" s="1"/>
  <c r="N16" i="1" s="1"/>
  <c r="N15" i="1" s="1"/>
  <c r="N22" i="1"/>
  <c r="N21" i="1" s="1"/>
  <c r="N20" i="1" s="1"/>
  <c r="N19" i="1" s="1"/>
  <c r="N26" i="1"/>
  <c r="N25" i="1" s="1"/>
  <c r="N24" i="1" s="1"/>
  <c r="N23" i="1" s="1"/>
  <c r="N30" i="1"/>
  <c r="N29" i="1" s="1"/>
  <c r="N28" i="1" s="1"/>
  <c r="N27" i="1" s="1"/>
  <c r="N34" i="1"/>
  <c r="N33" i="1" s="1"/>
  <c r="N32" i="1" s="1"/>
  <c r="N31" i="1" s="1"/>
  <c r="N38" i="1"/>
  <c r="N37" i="1" s="1"/>
  <c r="N36" i="1" s="1"/>
  <c r="N35" i="1" s="1"/>
  <c r="N42" i="1"/>
  <c r="N41" i="1" s="1"/>
  <c r="N40" i="1" s="1"/>
  <c r="N39" i="1" s="1"/>
  <c r="N46" i="1"/>
  <c r="N45" i="1" s="1"/>
  <c r="N44" i="1" s="1"/>
  <c r="N43" i="1" s="1"/>
  <c r="N50" i="1"/>
  <c r="N49" i="1" s="1"/>
  <c r="N48" i="1" s="1"/>
  <c r="N47" i="1" s="1"/>
  <c r="N54" i="1"/>
  <c r="N53" i="1" s="1"/>
  <c r="N52" i="1" s="1"/>
  <c r="N51" i="1" s="1"/>
  <c r="N58" i="1"/>
  <c r="N57" i="1" s="1"/>
  <c r="N56" i="1" s="1"/>
  <c r="N55" i="1" s="1"/>
  <c r="N62" i="1"/>
  <c r="N61" i="1" s="1"/>
  <c r="N60" i="1" s="1"/>
  <c r="N59" i="1" s="1"/>
  <c r="N66" i="1"/>
  <c r="N65" i="1" s="1"/>
  <c r="N64" i="1" s="1"/>
  <c r="N63" i="1" s="1"/>
  <c r="C70" i="1" l="1"/>
  <c r="D69" i="1"/>
  <c r="Y7" i="1"/>
  <c r="AA6" i="1" s="1"/>
  <c r="C71" i="1" l="1"/>
  <c r="D70" i="1"/>
  <c r="N70" i="1"/>
  <c r="N69" i="1" s="1"/>
  <c r="N68" i="1" s="1"/>
  <c r="N67" i="1" s="1"/>
  <c r="M70" i="1"/>
  <c r="AF14" i="1"/>
  <c r="AG14" i="1" s="1"/>
  <c r="AA5" i="1"/>
  <c r="AA7" i="1" s="1"/>
  <c r="B418" i="1"/>
  <c r="E417" i="1"/>
  <c r="C381" i="1"/>
  <c r="B15" i="1"/>
  <c r="H15" i="1" s="1"/>
  <c r="I10" i="1"/>
  <c r="C72" i="1" l="1"/>
  <c r="D71" i="1"/>
  <c r="M71" i="1"/>
  <c r="AB15" i="1"/>
  <c r="AC15" i="1" s="1"/>
  <c r="AK15" i="1"/>
  <c r="C417" i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B419" i="1"/>
  <c r="E418" i="1"/>
  <c r="B16" i="1"/>
  <c r="C382" i="1"/>
  <c r="AA15" i="1" l="1"/>
  <c r="AH16" i="1" s="1"/>
  <c r="C73" i="1"/>
  <c r="M72" i="1"/>
  <c r="D72" i="1"/>
  <c r="AF15" i="1"/>
  <c r="AJ15" i="1"/>
  <c r="L14" i="1"/>
  <c r="I15" i="1" s="1"/>
  <c r="E419" i="1"/>
  <c r="B420" i="1"/>
  <c r="J380" i="1"/>
  <c r="C383" i="1"/>
  <c r="B17" i="1"/>
  <c r="H380" i="1"/>
  <c r="H16" i="1"/>
  <c r="C74" i="1" l="1"/>
  <c r="D73" i="1"/>
  <c r="M73" i="1"/>
  <c r="T15" i="1"/>
  <c r="R15" i="1"/>
  <c r="S15" i="1"/>
  <c r="Q15" i="1"/>
  <c r="P15" i="1"/>
  <c r="AB16" i="1"/>
  <c r="AC16" i="1" s="1"/>
  <c r="AG16" i="1" s="1"/>
  <c r="G15" i="1"/>
  <c r="L15" i="1"/>
  <c r="AK16" i="1"/>
  <c r="B421" i="1"/>
  <c r="E420" i="1"/>
  <c r="I380" i="1"/>
  <c r="B18" i="1"/>
  <c r="H17" i="1"/>
  <c r="AB17" i="1" s="1"/>
  <c r="AC17" i="1" s="1"/>
  <c r="AG17" i="1" s="1"/>
  <c r="C384" i="1"/>
  <c r="E383" i="1"/>
  <c r="AA16" i="1" l="1"/>
  <c r="D74" i="1"/>
  <c r="M74" i="1"/>
  <c r="N74" i="1"/>
  <c r="N73" i="1" s="1"/>
  <c r="N72" i="1" s="1"/>
  <c r="N71" i="1" s="1"/>
  <c r="E382" i="1"/>
  <c r="E380" i="1"/>
  <c r="U380" i="1" s="1"/>
  <c r="G380" i="1"/>
  <c r="F380" i="1"/>
  <c r="W380" i="1" s="1"/>
  <c r="E381" i="1"/>
  <c r="AJ16" i="1"/>
  <c r="U15" i="1"/>
  <c r="Q16" i="1"/>
  <c r="S16" i="1"/>
  <c r="T16" i="1"/>
  <c r="R16" i="1"/>
  <c r="P16" i="1"/>
  <c r="I16" i="1"/>
  <c r="G16" i="1" s="1"/>
  <c r="AK17" i="1"/>
  <c r="J15" i="1"/>
  <c r="E421" i="1"/>
  <c r="B422" i="1"/>
  <c r="C385" i="1"/>
  <c r="E384" i="1"/>
  <c r="L16" i="1"/>
  <c r="H18" i="1"/>
  <c r="B19" i="1"/>
  <c r="AA17" i="1" l="1"/>
  <c r="AH18" i="1" s="1"/>
  <c r="AH17" i="1"/>
  <c r="V15" i="1"/>
  <c r="AJ17" i="1"/>
  <c r="AB18" i="1"/>
  <c r="AC18" i="1" s="1"/>
  <c r="AG18" i="1" s="1"/>
  <c r="T17" i="1"/>
  <c r="R17" i="1"/>
  <c r="Q17" i="1"/>
  <c r="S17" i="1"/>
  <c r="P17" i="1"/>
  <c r="I17" i="1"/>
  <c r="AK18" i="1"/>
  <c r="J16" i="1"/>
  <c r="F381" i="1"/>
  <c r="B423" i="1"/>
  <c r="E422" i="1"/>
  <c r="E385" i="1"/>
  <c r="C386" i="1"/>
  <c r="B20" i="1"/>
  <c r="H19" i="1"/>
  <c r="AB19" i="1" s="1"/>
  <c r="AC19" i="1" s="1"/>
  <c r="AG19" i="1" s="1"/>
  <c r="L17" i="1"/>
  <c r="AJ18" i="1" l="1"/>
  <c r="AA18" i="1"/>
  <c r="AH19" i="1" s="1"/>
  <c r="G17" i="1"/>
  <c r="T18" i="1"/>
  <c r="R18" i="1"/>
  <c r="S18" i="1"/>
  <c r="Q18" i="1"/>
  <c r="P18" i="1"/>
  <c r="I18" i="1"/>
  <c r="G18" i="1" s="1"/>
  <c r="AK19" i="1"/>
  <c r="J17" i="1"/>
  <c r="E423" i="1"/>
  <c r="B424" i="1"/>
  <c r="B21" i="1"/>
  <c r="H20" i="1"/>
  <c r="AB20" i="1" s="1"/>
  <c r="AC20" i="1" s="1"/>
  <c r="AG20" i="1" s="1"/>
  <c r="C387" i="1"/>
  <c r="I386" i="1"/>
  <c r="H386" i="1"/>
  <c r="E386" i="1"/>
  <c r="L18" i="1"/>
  <c r="AJ19" i="1" l="1"/>
  <c r="AA19" i="1"/>
  <c r="AH20" i="1" s="1"/>
  <c r="T19" i="1"/>
  <c r="R19" i="1"/>
  <c r="S19" i="1"/>
  <c r="Q19" i="1"/>
  <c r="P19" i="1"/>
  <c r="I19" i="1"/>
  <c r="AK20" i="1"/>
  <c r="J18" i="1"/>
  <c r="K18" i="1" s="1"/>
  <c r="E424" i="1"/>
  <c r="B425" i="1"/>
  <c r="G381" i="1"/>
  <c r="L19" i="1"/>
  <c r="U386" i="1"/>
  <c r="H21" i="1"/>
  <c r="AB21" i="1" s="1"/>
  <c r="AC21" i="1" s="1"/>
  <c r="AG21" i="1" s="1"/>
  <c r="B22" i="1"/>
  <c r="C388" i="1"/>
  <c r="E387" i="1"/>
  <c r="I387" i="1"/>
  <c r="H387" i="1"/>
  <c r="AJ20" i="1" l="1"/>
  <c r="AA20" i="1"/>
  <c r="AH21" i="1" s="1"/>
  <c r="G19" i="1"/>
  <c r="T20" i="1"/>
  <c r="R20" i="1"/>
  <c r="S20" i="1"/>
  <c r="Q20" i="1"/>
  <c r="P20" i="1"/>
  <c r="I20" i="1"/>
  <c r="G20" i="1" s="1"/>
  <c r="L20" i="1"/>
  <c r="AK21" i="1"/>
  <c r="J19" i="1"/>
  <c r="E425" i="1"/>
  <c r="B426" i="1"/>
  <c r="H22" i="1"/>
  <c r="AB22" i="1" s="1"/>
  <c r="AC22" i="1" s="1"/>
  <c r="AG22" i="1" s="1"/>
  <c r="B23" i="1"/>
  <c r="H388" i="1"/>
  <c r="E388" i="1"/>
  <c r="C389" i="1"/>
  <c r="I388" i="1"/>
  <c r="U387" i="1"/>
  <c r="AJ21" i="1" l="1"/>
  <c r="AA21" i="1"/>
  <c r="AH22" i="1" s="1"/>
  <c r="S21" i="1"/>
  <c r="Q21" i="1"/>
  <c r="T21" i="1"/>
  <c r="R21" i="1"/>
  <c r="P21" i="1"/>
  <c r="I21" i="1"/>
  <c r="G21" i="1"/>
  <c r="AK22" i="1"/>
  <c r="J20" i="1"/>
  <c r="B427" i="1"/>
  <c r="E426" i="1"/>
  <c r="B24" i="1"/>
  <c r="H23" i="1"/>
  <c r="AB23" i="1" s="1"/>
  <c r="AC23" i="1" s="1"/>
  <c r="AG23" i="1" s="1"/>
  <c r="L21" i="1"/>
  <c r="C390" i="1"/>
  <c r="I389" i="1"/>
  <c r="H389" i="1"/>
  <c r="E389" i="1"/>
  <c r="U388" i="1"/>
  <c r="AJ22" i="1" l="1"/>
  <c r="AA22" i="1"/>
  <c r="AH23" i="1" s="1"/>
  <c r="S22" i="1"/>
  <c r="Q22" i="1"/>
  <c r="T22" i="1"/>
  <c r="R22" i="1"/>
  <c r="P22" i="1"/>
  <c r="I22" i="1"/>
  <c r="G22" i="1" s="1"/>
  <c r="AK23" i="1"/>
  <c r="J21" i="1"/>
  <c r="E427" i="1"/>
  <c r="B428" i="1"/>
  <c r="U389" i="1"/>
  <c r="I390" i="1"/>
  <c r="C391" i="1"/>
  <c r="H390" i="1"/>
  <c r="E390" i="1"/>
  <c r="L22" i="1"/>
  <c r="H24" i="1"/>
  <c r="AB24" i="1" s="1"/>
  <c r="AC24" i="1" s="1"/>
  <c r="AG24" i="1" s="1"/>
  <c r="B25" i="1"/>
  <c r="AJ23" i="1" l="1"/>
  <c r="AA23" i="1"/>
  <c r="AH24" i="1" s="1"/>
  <c r="S23" i="1"/>
  <c r="Q23" i="1"/>
  <c r="T23" i="1"/>
  <c r="R23" i="1"/>
  <c r="P23" i="1"/>
  <c r="I23" i="1"/>
  <c r="G23" i="1" s="1"/>
  <c r="AK24" i="1"/>
  <c r="J22" i="1"/>
  <c r="K22" i="1" s="1"/>
  <c r="B429" i="1"/>
  <c r="E428" i="1"/>
  <c r="U390" i="1"/>
  <c r="L23" i="1"/>
  <c r="E391" i="1"/>
  <c r="C392" i="1"/>
  <c r="H391" i="1"/>
  <c r="I391" i="1"/>
  <c r="G382" i="1"/>
  <c r="B26" i="1"/>
  <c r="H25" i="1"/>
  <c r="AB25" i="1" s="1"/>
  <c r="AC25" i="1" s="1"/>
  <c r="AG25" i="1" s="1"/>
  <c r="AJ24" i="1" l="1"/>
  <c r="AA24" i="1"/>
  <c r="AH25" i="1" s="1"/>
  <c r="S24" i="1"/>
  <c r="Q24" i="1"/>
  <c r="T24" i="1"/>
  <c r="R24" i="1"/>
  <c r="P24" i="1"/>
  <c r="I24" i="1"/>
  <c r="G24" i="1" s="1"/>
  <c r="L24" i="1"/>
  <c r="AK25" i="1"/>
  <c r="J23" i="1"/>
  <c r="B430" i="1"/>
  <c r="E429" i="1"/>
  <c r="I392" i="1"/>
  <c r="E392" i="1"/>
  <c r="H392" i="1"/>
  <c r="C393" i="1"/>
  <c r="U391" i="1"/>
  <c r="B27" i="1"/>
  <c r="AJ25" i="1" l="1"/>
  <c r="AA25" i="1"/>
  <c r="AH26" i="1" s="1"/>
  <c r="T25" i="1"/>
  <c r="R25" i="1"/>
  <c r="Q25" i="1"/>
  <c r="S25" i="1"/>
  <c r="P25" i="1"/>
  <c r="I25" i="1"/>
  <c r="G25" i="1"/>
  <c r="J24" i="1"/>
  <c r="L25" i="1"/>
  <c r="B431" i="1"/>
  <c r="E430" i="1"/>
  <c r="U392" i="1"/>
  <c r="B28" i="1"/>
  <c r="I393" i="1"/>
  <c r="C394" i="1"/>
  <c r="H393" i="1"/>
  <c r="E393" i="1"/>
  <c r="T26" i="1" l="1"/>
  <c r="R26" i="1"/>
  <c r="S26" i="1"/>
  <c r="Q26" i="1"/>
  <c r="P26" i="1"/>
  <c r="I26" i="1"/>
  <c r="J25" i="1"/>
  <c r="E431" i="1"/>
  <c r="B432" i="1"/>
  <c r="B29" i="1"/>
  <c r="U393" i="1"/>
  <c r="E394" i="1"/>
  <c r="H394" i="1"/>
  <c r="C395" i="1"/>
  <c r="I394" i="1"/>
  <c r="J26" i="1" l="1"/>
  <c r="K26" i="1" s="1"/>
  <c r="G383" i="1"/>
  <c r="B433" i="1"/>
  <c r="E432" i="1"/>
  <c r="U394" i="1"/>
  <c r="I395" i="1"/>
  <c r="E395" i="1"/>
  <c r="C396" i="1"/>
  <c r="H395" i="1"/>
  <c r="B30" i="1"/>
  <c r="B434" i="1" l="1"/>
  <c r="E433" i="1"/>
  <c r="B31" i="1"/>
  <c r="F396" i="1"/>
  <c r="I396" i="1"/>
  <c r="H396" i="1"/>
  <c r="E396" i="1"/>
  <c r="C397" i="1"/>
  <c r="G396" i="1"/>
  <c r="U395" i="1"/>
  <c r="W396" i="1" l="1"/>
  <c r="B435" i="1"/>
  <c r="E434" i="1"/>
  <c r="B32" i="1"/>
  <c r="E397" i="1"/>
  <c r="I397" i="1"/>
  <c r="G397" i="1"/>
  <c r="C398" i="1"/>
  <c r="F397" i="1"/>
  <c r="H397" i="1"/>
  <c r="U396" i="1"/>
  <c r="E435" i="1" l="1"/>
  <c r="B436" i="1"/>
  <c r="W397" i="1"/>
  <c r="B33" i="1"/>
  <c r="I398" i="1"/>
  <c r="G398" i="1"/>
  <c r="F398" i="1"/>
  <c r="E398" i="1"/>
  <c r="H398" i="1"/>
  <c r="C399" i="1"/>
  <c r="U397" i="1"/>
  <c r="W398" i="1" l="1"/>
  <c r="E436" i="1"/>
  <c r="B437" i="1"/>
  <c r="F399" i="1"/>
  <c r="I399" i="1"/>
  <c r="H399" i="1"/>
  <c r="G399" i="1"/>
  <c r="E399" i="1"/>
  <c r="C400" i="1"/>
  <c r="U398" i="1"/>
  <c r="B34" i="1"/>
  <c r="W399" i="1" l="1"/>
  <c r="E437" i="1"/>
  <c r="B438" i="1"/>
  <c r="E400" i="1"/>
  <c r="I400" i="1"/>
  <c r="H400" i="1"/>
  <c r="G400" i="1"/>
  <c r="C401" i="1"/>
  <c r="F400" i="1"/>
  <c r="B35" i="1"/>
  <c r="U399" i="1"/>
  <c r="W400" i="1" l="1"/>
  <c r="B439" i="1"/>
  <c r="E438" i="1"/>
  <c r="B36" i="1"/>
  <c r="U400" i="1"/>
  <c r="I401" i="1"/>
  <c r="G401" i="1"/>
  <c r="F401" i="1"/>
  <c r="E401" i="1"/>
  <c r="H401" i="1"/>
  <c r="C402" i="1"/>
  <c r="B440" i="1" l="1"/>
  <c r="E439" i="1"/>
  <c r="W401" i="1"/>
  <c r="F402" i="1"/>
  <c r="I402" i="1"/>
  <c r="H402" i="1"/>
  <c r="G402" i="1"/>
  <c r="E402" i="1"/>
  <c r="C403" i="1"/>
  <c r="U401" i="1"/>
  <c r="B37" i="1"/>
  <c r="W402" i="1" l="1"/>
  <c r="E440" i="1"/>
  <c r="B441" i="1"/>
  <c r="B38" i="1"/>
  <c r="E403" i="1"/>
  <c r="I403" i="1"/>
  <c r="H403" i="1"/>
  <c r="G403" i="1"/>
  <c r="C404" i="1"/>
  <c r="F403" i="1"/>
  <c r="U402" i="1"/>
  <c r="E441" i="1" l="1"/>
  <c r="B442" i="1"/>
  <c r="W403" i="1"/>
  <c r="B39" i="1"/>
  <c r="I404" i="1"/>
  <c r="G404" i="1"/>
  <c r="F404" i="1"/>
  <c r="E404" i="1"/>
  <c r="H404" i="1"/>
  <c r="C405" i="1"/>
  <c r="U403" i="1"/>
  <c r="W404" i="1" l="1"/>
  <c r="B443" i="1"/>
  <c r="E442" i="1"/>
  <c r="F405" i="1"/>
  <c r="I405" i="1"/>
  <c r="H405" i="1"/>
  <c r="G405" i="1"/>
  <c r="E405" i="1"/>
  <c r="C406" i="1"/>
  <c r="U404" i="1"/>
  <c r="B40" i="1"/>
  <c r="W405" i="1" l="1"/>
  <c r="E443" i="1"/>
  <c r="B444" i="1"/>
  <c r="B41" i="1"/>
  <c r="U405" i="1"/>
  <c r="E406" i="1"/>
  <c r="I406" i="1"/>
  <c r="H406" i="1"/>
  <c r="G406" i="1"/>
  <c r="C407" i="1"/>
  <c r="F406" i="1"/>
  <c r="W406" i="1" l="1"/>
  <c r="E444" i="1"/>
  <c r="B445" i="1"/>
  <c r="B42" i="1"/>
  <c r="U406" i="1"/>
  <c r="I407" i="1"/>
  <c r="G407" i="1"/>
  <c r="F407" i="1"/>
  <c r="E407" i="1"/>
  <c r="H407" i="1"/>
  <c r="C408" i="1"/>
  <c r="B446" i="1" l="1"/>
  <c r="E445" i="1"/>
  <c r="W407" i="1"/>
  <c r="F408" i="1"/>
  <c r="I408" i="1"/>
  <c r="H408" i="1"/>
  <c r="G408" i="1"/>
  <c r="E408" i="1"/>
  <c r="C409" i="1"/>
  <c r="U407" i="1"/>
  <c r="B43" i="1"/>
  <c r="W408" i="1" l="1"/>
  <c r="B447" i="1"/>
  <c r="E446" i="1"/>
  <c r="B44" i="1"/>
  <c r="E409" i="1"/>
  <c r="I409" i="1"/>
  <c r="H409" i="1"/>
  <c r="G409" i="1"/>
  <c r="F409" i="1"/>
  <c r="C410" i="1"/>
  <c r="U408" i="1"/>
  <c r="E447" i="1" l="1"/>
  <c r="B448" i="1"/>
  <c r="W409" i="1"/>
  <c r="U409" i="1"/>
  <c r="B45" i="1"/>
  <c r="I410" i="1"/>
  <c r="G410" i="1"/>
  <c r="F410" i="1"/>
  <c r="E410" i="1"/>
  <c r="H410" i="1"/>
  <c r="B449" i="1" l="1"/>
  <c r="E448" i="1"/>
  <c r="W410" i="1"/>
  <c r="U410" i="1"/>
  <c r="B46" i="1"/>
  <c r="E449" i="1" l="1"/>
  <c r="B450" i="1"/>
  <c r="B47" i="1"/>
  <c r="B451" i="1" l="1"/>
  <c r="E450" i="1"/>
  <c r="B48" i="1"/>
  <c r="E451" i="1" l="1"/>
  <c r="B452" i="1"/>
  <c r="B49" i="1"/>
  <c r="E452" i="1" l="1"/>
  <c r="B453" i="1"/>
  <c r="B50" i="1"/>
  <c r="E453" i="1" l="1"/>
  <c r="B454" i="1"/>
  <c r="B51" i="1"/>
  <c r="B455" i="1" l="1"/>
  <c r="E454" i="1"/>
  <c r="B52" i="1"/>
  <c r="B456" i="1" l="1"/>
  <c r="E455" i="1"/>
  <c r="B53" i="1"/>
  <c r="E456" i="1" l="1"/>
  <c r="B457" i="1"/>
  <c r="B54" i="1"/>
  <c r="B458" i="1" l="1"/>
  <c r="E457" i="1"/>
  <c r="B55" i="1"/>
  <c r="E458" i="1" l="1"/>
  <c r="B459" i="1"/>
  <c r="B56" i="1"/>
  <c r="B460" i="1" l="1"/>
  <c r="E459" i="1"/>
  <c r="B57" i="1"/>
  <c r="B461" i="1" l="1"/>
  <c r="E460" i="1"/>
  <c r="B58" i="1"/>
  <c r="B462" i="1" l="1"/>
  <c r="E461" i="1"/>
  <c r="B59" i="1"/>
  <c r="B463" i="1" l="1"/>
  <c r="E462" i="1"/>
  <c r="B60" i="1"/>
  <c r="B464" i="1" l="1"/>
  <c r="E463" i="1"/>
  <c r="B61" i="1"/>
  <c r="B465" i="1" l="1"/>
  <c r="E464" i="1"/>
  <c r="B62" i="1"/>
  <c r="E465" i="1" l="1"/>
  <c r="B466" i="1"/>
  <c r="B63" i="1"/>
  <c r="B467" i="1" l="1"/>
  <c r="E466" i="1"/>
  <c r="B64" i="1"/>
  <c r="E467" i="1" l="1"/>
  <c r="B468" i="1"/>
  <c r="B65" i="1"/>
  <c r="E468" i="1" l="1"/>
  <c r="B469" i="1"/>
  <c r="B66" i="1"/>
  <c r="E469" i="1" l="1"/>
  <c r="B470" i="1"/>
  <c r="B67" i="1"/>
  <c r="E470" i="1" l="1"/>
  <c r="B471" i="1"/>
  <c r="B68" i="1"/>
  <c r="E471" i="1" l="1"/>
  <c r="B472" i="1"/>
  <c r="B69" i="1"/>
  <c r="B473" i="1" l="1"/>
  <c r="E472" i="1"/>
  <c r="B70" i="1"/>
  <c r="E473" i="1" l="1"/>
  <c r="B474" i="1"/>
  <c r="B71" i="1"/>
  <c r="E474" i="1" l="1"/>
  <c r="B475" i="1"/>
  <c r="B72" i="1"/>
  <c r="E475" i="1" l="1"/>
  <c r="B476" i="1"/>
  <c r="B73" i="1"/>
  <c r="E476" i="1" l="1"/>
  <c r="B477" i="1"/>
  <c r="B74" i="1"/>
  <c r="E477" i="1" l="1"/>
  <c r="B478" i="1"/>
  <c r="E478" i="1" l="1"/>
  <c r="B479" i="1"/>
  <c r="F382" i="1"/>
  <c r="H381" i="1"/>
  <c r="U381" i="1" s="1"/>
  <c r="H382" i="1"/>
  <c r="U382" i="1" s="1"/>
  <c r="H383" i="1"/>
  <c r="U383" i="1" s="1"/>
  <c r="H384" i="1"/>
  <c r="U384" i="1" s="1"/>
  <c r="H385" i="1"/>
  <c r="U385" i="1" s="1"/>
  <c r="E479" i="1" l="1"/>
  <c r="B480" i="1"/>
  <c r="B481" i="1" l="1"/>
  <c r="E480" i="1"/>
  <c r="E481" i="1" l="1"/>
  <c r="B482" i="1"/>
  <c r="B483" i="1" l="1"/>
  <c r="E482" i="1"/>
  <c r="B484" i="1" l="1"/>
  <c r="E483" i="1"/>
  <c r="E484" i="1" l="1"/>
  <c r="B485" i="1"/>
  <c r="E485" i="1" l="1"/>
  <c r="B486" i="1"/>
  <c r="B487" i="1" l="1"/>
  <c r="E486" i="1"/>
  <c r="E487" i="1" l="1"/>
  <c r="B488" i="1"/>
  <c r="B489" i="1" l="1"/>
  <c r="E488" i="1"/>
  <c r="E489" i="1" l="1"/>
  <c r="B490" i="1"/>
  <c r="E490" i="1" l="1"/>
  <c r="B491" i="1"/>
  <c r="E491" i="1" l="1"/>
  <c r="B492" i="1"/>
  <c r="B493" i="1" l="1"/>
  <c r="E492" i="1"/>
  <c r="B494" i="1" l="1"/>
  <c r="E493" i="1"/>
  <c r="E494" i="1" l="1"/>
  <c r="B495" i="1"/>
  <c r="E495" i="1" l="1"/>
  <c r="B496" i="1"/>
  <c r="B497" i="1" l="1"/>
  <c r="E496" i="1"/>
  <c r="E497" i="1" l="1"/>
  <c r="B498" i="1"/>
  <c r="B499" i="1" l="1"/>
  <c r="E498" i="1"/>
  <c r="B500" i="1" l="1"/>
  <c r="E499" i="1"/>
  <c r="B501" i="1" l="1"/>
  <c r="E500" i="1"/>
  <c r="E501" i="1" l="1"/>
  <c r="B502" i="1"/>
  <c r="E502" i="1" l="1"/>
  <c r="B503" i="1"/>
  <c r="E503" i="1" l="1"/>
  <c r="B504" i="1"/>
  <c r="E504" i="1" l="1"/>
  <c r="B505" i="1"/>
  <c r="B506" i="1" l="1"/>
  <c r="E505" i="1"/>
  <c r="E506" i="1" l="1"/>
  <c r="B507" i="1"/>
  <c r="B508" i="1" l="1"/>
  <c r="E507" i="1"/>
  <c r="E508" i="1" l="1"/>
  <c r="B509" i="1"/>
  <c r="B510" i="1" l="1"/>
  <c r="E509" i="1"/>
  <c r="B511" i="1" l="1"/>
  <c r="E510" i="1"/>
  <c r="E511" i="1" l="1"/>
  <c r="B512" i="1"/>
  <c r="B513" i="1" l="1"/>
  <c r="E512" i="1"/>
  <c r="E513" i="1" l="1"/>
  <c r="B514" i="1"/>
  <c r="E514" i="1" l="1"/>
  <c r="B515" i="1"/>
  <c r="E515" i="1" l="1"/>
  <c r="B516" i="1"/>
  <c r="B517" i="1" l="1"/>
  <c r="E516" i="1"/>
  <c r="B518" i="1" l="1"/>
  <c r="E517" i="1"/>
  <c r="E518" i="1" l="1"/>
  <c r="B519" i="1"/>
  <c r="E519" i="1" l="1"/>
  <c r="B520" i="1"/>
  <c r="B521" i="1" l="1"/>
  <c r="E520" i="1"/>
  <c r="B522" i="1" l="1"/>
  <c r="E521" i="1"/>
  <c r="B523" i="1" l="1"/>
  <c r="E522" i="1"/>
  <c r="B524" i="1" l="1"/>
  <c r="E523" i="1"/>
  <c r="B525" i="1" l="1"/>
  <c r="E524" i="1"/>
  <c r="E525" i="1" l="1"/>
  <c r="B526" i="1"/>
  <c r="E526" i="1" l="1"/>
  <c r="B527" i="1"/>
  <c r="E527" i="1" l="1"/>
  <c r="B528" i="1"/>
  <c r="B529" i="1" l="1"/>
  <c r="E528" i="1"/>
  <c r="E529" i="1" l="1"/>
  <c r="B530" i="1"/>
  <c r="B531" i="1" l="1"/>
  <c r="E530" i="1"/>
  <c r="B532" i="1" l="1"/>
  <c r="E531" i="1"/>
  <c r="B533" i="1" l="1"/>
  <c r="E532" i="1"/>
  <c r="E533" i="1" l="1"/>
  <c r="B534" i="1"/>
  <c r="B535" i="1" l="1"/>
  <c r="E534" i="1"/>
  <c r="B536" i="1" l="1"/>
  <c r="E535" i="1"/>
  <c r="E536" i="1" l="1"/>
  <c r="B537" i="1"/>
  <c r="E537" i="1" l="1"/>
  <c r="B538" i="1"/>
  <c r="B539" i="1" l="1"/>
  <c r="E538" i="1"/>
  <c r="B540" i="1" l="1"/>
  <c r="E539" i="1"/>
  <c r="B541" i="1" l="1"/>
  <c r="E540" i="1"/>
  <c r="B542" i="1" l="1"/>
  <c r="E541" i="1"/>
  <c r="B543" i="1" l="1"/>
  <c r="E542" i="1"/>
  <c r="B544" i="1" l="1"/>
  <c r="E543" i="1"/>
  <c r="B545" i="1" l="1"/>
  <c r="E544" i="1"/>
  <c r="B546" i="1" l="1"/>
  <c r="E545" i="1"/>
  <c r="B547" i="1" l="1"/>
  <c r="E546" i="1"/>
  <c r="E547" i="1" l="1"/>
  <c r="B548" i="1"/>
  <c r="B549" i="1" l="1"/>
  <c r="E548" i="1"/>
  <c r="E549" i="1" l="1"/>
  <c r="B550" i="1"/>
  <c r="E550" i="1" l="1"/>
  <c r="B551" i="1"/>
  <c r="E551" i="1" l="1"/>
  <c r="B552" i="1"/>
  <c r="B553" i="1" l="1"/>
  <c r="E552" i="1"/>
  <c r="B554" i="1" l="1"/>
  <c r="E553" i="1"/>
  <c r="B555" i="1" l="1"/>
  <c r="E554" i="1"/>
  <c r="B556" i="1" l="1"/>
  <c r="E555" i="1"/>
  <c r="B557" i="1" l="1"/>
  <c r="E556" i="1"/>
  <c r="E557" i="1" l="1"/>
  <c r="B558" i="1"/>
  <c r="B559" i="1" l="1"/>
  <c r="E558" i="1"/>
  <c r="B560" i="1" l="1"/>
  <c r="E559" i="1"/>
  <c r="B561" i="1" l="1"/>
  <c r="E560" i="1"/>
  <c r="E561" i="1" l="1"/>
  <c r="B562" i="1"/>
  <c r="E562" i="1" l="1"/>
  <c r="B563" i="1"/>
  <c r="E563" i="1" l="1"/>
  <c r="B564" i="1"/>
  <c r="E564" i="1" l="1"/>
  <c r="B565" i="1"/>
  <c r="B566" i="1" l="1"/>
  <c r="E565" i="1"/>
  <c r="B567" i="1" l="1"/>
  <c r="E566" i="1"/>
  <c r="E567" i="1" l="1"/>
  <c r="B568" i="1"/>
  <c r="B569" i="1" l="1"/>
  <c r="E568" i="1"/>
  <c r="E569" i="1" l="1"/>
  <c r="B570" i="1"/>
  <c r="B571" i="1" l="1"/>
  <c r="E570" i="1"/>
  <c r="B572" i="1" l="1"/>
  <c r="E571" i="1"/>
  <c r="B573" i="1" l="1"/>
  <c r="E572" i="1"/>
  <c r="E573" i="1" l="1"/>
  <c r="B574" i="1"/>
  <c r="E574" i="1" l="1"/>
  <c r="B575" i="1"/>
  <c r="E575" i="1" l="1"/>
  <c r="B576" i="1"/>
  <c r="B577" i="1" l="1"/>
  <c r="E576" i="1"/>
  <c r="B578" i="1" l="1"/>
  <c r="E577" i="1"/>
  <c r="B579" i="1" l="1"/>
  <c r="E578" i="1"/>
  <c r="B580" i="1" l="1"/>
  <c r="E579" i="1"/>
  <c r="B581" i="1" l="1"/>
  <c r="E580" i="1"/>
  <c r="B582" i="1" l="1"/>
  <c r="E581" i="1"/>
  <c r="B583" i="1" l="1"/>
  <c r="E582" i="1"/>
  <c r="B584" i="1" l="1"/>
  <c r="E583" i="1"/>
  <c r="E584" i="1" l="1"/>
  <c r="B585" i="1"/>
  <c r="E585" i="1" l="1"/>
  <c r="B586" i="1"/>
  <c r="E586" i="1" l="1"/>
  <c r="B587" i="1"/>
  <c r="E587" i="1" l="1"/>
  <c r="B588" i="1"/>
  <c r="B589" i="1" l="1"/>
  <c r="E588" i="1"/>
  <c r="E589" i="1" l="1"/>
  <c r="B590" i="1"/>
  <c r="B591" i="1" l="1"/>
  <c r="E590" i="1"/>
  <c r="B592" i="1" l="1"/>
  <c r="E591" i="1"/>
  <c r="E592" i="1" l="1"/>
  <c r="B593" i="1"/>
  <c r="E593" i="1" l="1"/>
  <c r="B594" i="1"/>
  <c r="B595" i="1" l="1"/>
  <c r="E594" i="1"/>
  <c r="E595" i="1" l="1"/>
  <c r="B596" i="1"/>
  <c r="E596" i="1" l="1"/>
  <c r="B597" i="1"/>
  <c r="B598" i="1" l="1"/>
  <c r="E597" i="1"/>
  <c r="E598" i="1" l="1"/>
  <c r="B599" i="1"/>
  <c r="E599" i="1" l="1"/>
  <c r="B600" i="1"/>
  <c r="E600" i="1" l="1"/>
  <c r="B601" i="1"/>
  <c r="B602" i="1" l="1"/>
  <c r="E601" i="1"/>
  <c r="B603" i="1" l="1"/>
  <c r="E602" i="1"/>
  <c r="B604" i="1" l="1"/>
  <c r="E603" i="1"/>
  <c r="B605" i="1" l="1"/>
  <c r="E604" i="1"/>
  <c r="E605" i="1" l="1"/>
  <c r="B606" i="1"/>
  <c r="E606" i="1" l="1"/>
  <c r="B607" i="1"/>
  <c r="B608" i="1" l="1"/>
  <c r="E607" i="1"/>
  <c r="B609" i="1" l="1"/>
  <c r="E608" i="1"/>
  <c r="B610" i="1" l="1"/>
  <c r="E609" i="1"/>
  <c r="E610" i="1" l="1"/>
  <c r="B611" i="1"/>
  <c r="B612" i="1" l="1"/>
  <c r="E611" i="1"/>
  <c r="E612" i="1" l="1"/>
  <c r="B613" i="1"/>
  <c r="B614" i="1" l="1"/>
  <c r="E613" i="1"/>
  <c r="B615" i="1" l="1"/>
  <c r="E614" i="1"/>
  <c r="B616" i="1" l="1"/>
  <c r="E615" i="1"/>
  <c r="B617" i="1" l="1"/>
  <c r="E616" i="1"/>
  <c r="B618" i="1" l="1"/>
  <c r="E617" i="1"/>
  <c r="B619" i="1" l="1"/>
  <c r="E618" i="1"/>
  <c r="B620" i="1" l="1"/>
  <c r="E619" i="1"/>
  <c r="E620" i="1" l="1"/>
  <c r="B621" i="1"/>
  <c r="E621" i="1" l="1"/>
  <c r="B622" i="1"/>
  <c r="E622" i="1" l="1"/>
  <c r="B623" i="1"/>
  <c r="B624" i="1" l="1"/>
  <c r="E623" i="1"/>
  <c r="B625" i="1" l="1"/>
  <c r="E624" i="1"/>
  <c r="E625" i="1" l="1"/>
  <c r="B626" i="1"/>
  <c r="E626" i="1" l="1"/>
  <c r="B627" i="1"/>
  <c r="E627" i="1" l="1"/>
  <c r="B628" i="1"/>
  <c r="E628" i="1" l="1"/>
  <c r="B629" i="1"/>
  <c r="B630" i="1" l="1"/>
  <c r="E629" i="1"/>
  <c r="B631" i="1" l="1"/>
  <c r="E630" i="1"/>
  <c r="B632" i="1" l="1"/>
  <c r="E631" i="1"/>
  <c r="B633" i="1" l="1"/>
  <c r="E632" i="1"/>
  <c r="E633" i="1" l="1"/>
  <c r="B634" i="1"/>
  <c r="E634" i="1" l="1"/>
  <c r="B635" i="1"/>
  <c r="E635" i="1" l="1"/>
  <c r="B636" i="1"/>
  <c r="E636" i="1" l="1"/>
  <c r="B637" i="1"/>
  <c r="B638" i="1" l="1"/>
  <c r="E637" i="1"/>
  <c r="B639" i="1" l="1"/>
  <c r="E638" i="1"/>
  <c r="B640" i="1" l="1"/>
  <c r="E639" i="1"/>
  <c r="B641" i="1" l="1"/>
  <c r="E640" i="1"/>
  <c r="B642" i="1" l="1"/>
  <c r="E641" i="1"/>
  <c r="B643" i="1" l="1"/>
  <c r="E642" i="1"/>
  <c r="E643" i="1" l="1"/>
  <c r="B644" i="1"/>
  <c r="E644" i="1" l="1"/>
  <c r="B645" i="1"/>
  <c r="E645" i="1" l="1"/>
  <c r="B646" i="1"/>
  <c r="E646" i="1" l="1"/>
  <c r="B647" i="1"/>
  <c r="E647" i="1" l="1"/>
  <c r="B648" i="1"/>
  <c r="E648" i="1" l="1"/>
  <c r="B649" i="1"/>
  <c r="B650" i="1" l="1"/>
  <c r="E649" i="1"/>
  <c r="E650" i="1" l="1"/>
  <c r="B651" i="1"/>
  <c r="B652" i="1" l="1"/>
  <c r="E651" i="1"/>
  <c r="E652" i="1" l="1"/>
  <c r="B653" i="1"/>
  <c r="B654" i="1" l="1"/>
  <c r="E653" i="1"/>
  <c r="B655" i="1" l="1"/>
  <c r="E654" i="1"/>
  <c r="E655" i="1" l="1"/>
  <c r="B656" i="1"/>
  <c r="E656" i="1" l="1"/>
  <c r="B657" i="1"/>
  <c r="E657" i="1" l="1"/>
  <c r="B658" i="1"/>
  <c r="E658" i="1" l="1"/>
  <c r="B659" i="1"/>
  <c r="B660" i="1" l="1"/>
  <c r="E659" i="1"/>
  <c r="B661" i="1" l="1"/>
  <c r="E660" i="1"/>
  <c r="B662" i="1" l="1"/>
  <c r="E661" i="1"/>
  <c r="B663" i="1" l="1"/>
  <c r="E662" i="1"/>
  <c r="B664" i="1" l="1"/>
  <c r="E663" i="1"/>
  <c r="B665" i="1" l="1"/>
  <c r="E664" i="1"/>
  <c r="E665" i="1" l="1"/>
  <c r="B666" i="1"/>
  <c r="E666" i="1" l="1"/>
  <c r="B667" i="1"/>
  <c r="B668" i="1" l="1"/>
  <c r="E667" i="1"/>
  <c r="B669" i="1" l="1"/>
  <c r="E668" i="1"/>
  <c r="B670" i="1" l="1"/>
  <c r="E669" i="1"/>
  <c r="B671" i="1" l="1"/>
  <c r="E670" i="1"/>
  <c r="E671" i="1" l="1"/>
  <c r="B672" i="1"/>
  <c r="B673" i="1" l="1"/>
  <c r="E672" i="1"/>
  <c r="B674" i="1" l="1"/>
  <c r="E673" i="1"/>
  <c r="B675" i="1" l="1"/>
  <c r="E674" i="1"/>
  <c r="B676" i="1" l="1"/>
  <c r="E675" i="1"/>
  <c r="E676" i="1" l="1"/>
  <c r="B677" i="1"/>
  <c r="B678" i="1" l="1"/>
  <c r="E677" i="1"/>
  <c r="B679" i="1" l="1"/>
  <c r="E678" i="1"/>
  <c r="B680" i="1" l="1"/>
  <c r="E679" i="1"/>
  <c r="E680" i="1" l="1"/>
  <c r="B681" i="1"/>
  <c r="E681" i="1" l="1"/>
  <c r="B682" i="1"/>
  <c r="E682" i="1" l="1"/>
  <c r="B683" i="1"/>
  <c r="B684" i="1" l="1"/>
  <c r="E683" i="1"/>
  <c r="B685" i="1" l="1"/>
  <c r="E684" i="1"/>
  <c r="B686" i="1" l="1"/>
  <c r="E685" i="1"/>
  <c r="B687" i="1" l="1"/>
  <c r="E686" i="1"/>
  <c r="B688" i="1" l="1"/>
  <c r="E687" i="1"/>
  <c r="E688" i="1" l="1"/>
  <c r="B689" i="1"/>
  <c r="B690" i="1" l="1"/>
  <c r="E689" i="1"/>
  <c r="B691" i="1" l="1"/>
  <c r="E690" i="1"/>
  <c r="B692" i="1" l="1"/>
  <c r="E691" i="1"/>
  <c r="E692" i="1" l="1"/>
  <c r="B693" i="1"/>
  <c r="E693" i="1" l="1"/>
  <c r="B694" i="1"/>
  <c r="E694" i="1" l="1"/>
  <c r="B695" i="1"/>
  <c r="B696" i="1" l="1"/>
  <c r="E695" i="1"/>
  <c r="B697" i="1" l="1"/>
  <c r="E696" i="1"/>
  <c r="B698" i="1" l="1"/>
  <c r="E697" i="1"/>
  <c r="B699" i="1" l="1"/>
  <c r="E698" i="1"/>
  <c r="B700" i="1" l="1"/>
  <c r="E699" i="1"/>
  <c r="E700" i="1" l="1"/>
  <c r="B701" i="1"/>
  <c r="B702" i="1" l="1"/>
  <c r="E701" i="1"/>
  <c r="B703" i="1" l="1"/>
  <c r="E702" i="1"/>
  <c r="B704" i="1" l="1"/>
  <c r="E703" i="1"/>
  <c r="E704" i="1" l="1"/>
  <c r="B705" i="1"/>
  <c r="E705" i="1" l="1"/>
  <c r="B706" i="1"/>
  <c r="E706" i="1" l="1"/>
  <c r="B707" i="1"/>
  <c r="E707" i="1" l="1"/>
  <c r="B708" i="1"/>
  <c r="B709" i="1" l="1"/>
  <c r="E708" i="1"/>
  <c r="E709" i="1" l="1"/>
  <c r="B710" i="1"/>
  <c r="B711" i="1" l="1"/>
  <c r="E710" i="1"/>
  <c r="B712" i="1" l="1"/>
  <c r="E711" i="1"/>
  <c r="B713" i="1" l="1"/>
  <c r="E712" i="1"/>
  <c r="B714" i="1" l="1"/>
  <c r="E713" i="1"/>
  <c r="E714" i="1" l="1"/>
  <c r="B715" i="1"/>
  <c r="E715" i="1" l="1"/>
  <c r="B716" i="1"/>
  <c r="E716" i="1" l="1"/>
  <c r="B717" i="1"/>
  <c r="B718" i="1" l="1"/>
  <c r="E717" i="1"/>
  <c r="E718" i="1" l="1"/>
  <c r="B719" i="1"/>
  <c r="B720" i="1" l="1"/>
  <c r="E719" i="1"/>
  <c r="B721" i="1" l="1"/>
  <c r="E720" i="1"/>
  <c r="B722" i="1" l="1"/>
  <c r="E721" i="1"/>
  <c r="B723" i="1" l="1"/>
  <c r="E722" i="1"/>
  <c r="B724" i="1" l="1"/>
  <c r="E723" i="1"/>
  <c r="E724" i="1" l="1"/>
  <c r="B725" i="1"/>
  <c r="E725" i="1" l="1"/>
  <c r="B726" i="1"/>
  <c r="B727" i="1" l="1"/>
  <c r="E726" i="1"/>
  <c r="E727" i="1" l="1"/>
  <c r="B728" i="1"/>
  <c r="B729" i="1" l="1"/>
  <c r="E728" i="1"/>
  <c r="B730" i="1" l="1"/>
  <c r="E729" i="1"/>
  <c r="E730" i="1" l="1"/>
  <c r="B731" i="1"/>
  <c r="E731" i="1" l="1"/>
  <c r="B732" i="1"/>
  <c r="B733" i="1" l="1"/>
  <c r="E732" i="1"/>
  <c r="B734" i="1" l="1"/>
  <c r="E733" i="1"/>
  <c r="B735" i="1" l="1"/>
  <c r="E734" i="1"/>
  <c r="B736" i="1" l="1"/>
  <c r="E735" i="1"/>
  <c r="B737" i="1" l="1"/>
  <c r="E736" i="1"/>
  <c r="E737" i="1" l="1"/>
  <c r="B738" i="1"/>
  <c r="B739" i="1" l="1"/>
  <c r="E738" i="1"/>
  <c r="B740" i="1" l="1"/>
  <c r="E739" i="1"/>
  <c r="E740" i="1" l="1"/>
  <c r="B741" i="1"/>
  <c r="B742" i="1" l="1"/>
  <c r="E741" i="1"/>
  <c r="E742" i="1" l="1"/>
  <c r="B743" i="1"/>
  <c r="E743" i="1" l="1"/>
  <c r="B744" i="1"/>
  <c r="E744" i="1" l="1"/>
  <c r="B745" i="1"/>
  <c r="E745" i="1" l="1"/>
  <c r="B746" i="1"/>
  <c r="E746" i="1" l="1"/>
  <c r="B747" i="1"/>
  <c r="E747" i="1" l="1"/>
  <c r="B748" i="1"/>
  <c r="E748" i="1" l="1"/>
  <c r="B749" i="1"/>
  <c r="B750" i="1" l="1"/>
  <c r="E749" i="1"/>
  <c r="E750" i="1" l="1"/>
  <c r="B751" i="1"/>
  <c r="B752" i="1" l="1"/>
  <c r="E751" i="1"/>
  <c r="B753" i="1" l="1"/>
  <c r="E752" i="1"/>
  <c r="B754" i="1" l="1"/>
  <c r="E753" i="1"/>
  <c r="E754" i="1" l="1"/>
  <c r="B755" i="1"/>
  <c r="E755" i="1" l="1"/>
  <c r="B756" i="1"/>
  <c r="E756" i="1" l="1"/>
  <c r="B757" i="1"/>
  <c r="B758" i="1" l="1"/>
  <c r="E757" i="1"/>
  <c r="E758" i="1" l="1"/>
  <c r="B759" i="1"/>
  <c r="E759" i="1" l="1"/>
  <c r="B760" i="1"/>
  <c r="E760" i="1" l="1"/>
  <c r="B761" i="1"/>
  <c r="B762" i="1" l="1"/>
  <c r="E761" i="1"/>
  <c r="E762" i="1" l="1"/>
  <c r="B763" i="1"/>
  <c r="E763" i="1" l="1"/>
  <c r="B764" i="1"/>
  <c r="B765" i="1" l="1"/>
  <c r="E764" i="1"/>
  <c r="B766" i="1" l="1"/>
  <c r="E765" i="1"/>
  <c r="B767" i="1" l="1"/>
  <c r="E766" i="1"/>
  <c r="B768" i="1" l="1"/>
  <c r="E767" i="1"/>
  <c r="E768" i="1" l="1"/>
  <c r="B769" i="1"/>
  <c r="E769" i="1" l="1"/>
  <c r="B770" i="1"/>
  <c r="E770" i="1" l="1"/>
  <c r="B771" i="1"/>
  <c r="B772" i="1" l="1"/>
  <c r="E771" i="1"/>
  <c r="E772" i="1" l="1"/>
  <c r="B773" i="1"/>
  <c r="E773" i="1" l="1"/>
  <c r="B774" i="1"/>
  <c r="B775" i="1" l="1"/>
  <c r="E774" i="1"/>
  <c r="B776" i="1" l="1"/>
  <c r="E775" i="1"/>
  <c r="E776" i="1" l="1"/>
  <c r="B777" i="1"/>
  <c r="E777" i="1" l="1"/>
  <c r="B778" i="1"/>
  <c r="B779" i="1" l="1"/>
  <c r="E778" i="1"/>
  <c r="I381" i="1"/>
  <c r="W381" i="1" s="1"/>
  <c r="I382" i="1"/>
  <c r="W382" i="1" s="1"/>
  <c r="I383" i="1"/>
  <c r="I384" i="1"/>
  <c r="E779" i="1" l="1"/>
  <c r="E414" i="1" s="1"/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I385" i="1"/>
  <c r="H26" i="1" l="1"/>
  <c r="AK26" i="1" s="1"/>
  <c r="F383" i="1"/>
  <c r="W383" i="1" s="1"/>
  <c r="G26" i="1" l="1"/>
  <c r="AB26" i="1"/>
  <c r="AJ26" i="1"/>
  <c r="L26" i="1"/>
  <c r="AB75" i="1" l="1"/>
  <c r="AC26" i="1"/>
  <c r="AG26" i="1" s="1"/>
  <c r="T27" i="1"/>
  <c r="R27" i="1"/>
  <c r="S27" i="1"/>
  <c r="Q27" i="1"/>
  <c r="P27" i="1"/>
  <c r="I27" i="1"/>
  <c r="H27" i="1" s="1"/>
  <c r="AK27" i="1" s="1"/>
  <c r="AG75" i="1" l="1"/>
  <c r="AJ27" i="1"/>
  <c r="AA26" i="1"/>
  <c r="J27" i="1"/>
  <c r="AA27" i="1" l="1"/>
  <c r="L27" i="1"/>
  <c r="AA28" i="1" l="1"/>
  <c r="Q28" i="1"/>
  <c r="T28" i="1"/>
  <c r="R28" i="1"/>
  <c r="S28" i="1"/>
  <c r="P28" i="1"/>
  <c r="I28" i="1"/>
  <c r="H28" i="1" s="1"/>
  <c r="AK28" i="1" s="1"/>
  <c r="AA29" i="1" l="1"/>
  <c r="AH29" i="1"/>
  <c r="J28" i="1"/>
  <c r="AJ28" i="1"/>
  <c r="L28" i="1"/>
  <c r="AA30" i="1" l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H30" i="1"/>
  <c r="S29" i="1"/>
  <c r="Q29" i="1"/>
  <c r="T29" i="1"/>
  <c r="R29" i="1"/>
  <c r="P29" i="1"/>
  <c r="I29" i="1"/>
  <c r="J29" i="1" s="1"/>
  <c r="H29" i="1"/>
  <c r="AK29" i="1" s="1"/>
  <c r="AA55" i="1" l="1"/>
  <c r="AH55" i="1"/>
  <c r="AJ29" i="1"/>
  <c r="L29" i="1"/>
  <c r="AA56" i="1" l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H56" i="1"/>
  <c r="S30" i="1"/>
  <c r="Q30" i="1"/>
  <c r="T30" i="1"/>
  <c r="R30" i="1"/>
  <c r="P30" i="1"/>
  <c r="I30" i="1"/>
  <c r="J30" i="1" s="1"/>
  <c r="K30" i="1" s="1"/>
  <c r="G384" i="1"/>
  <c r="H30" i="1" l="1"/>
  <c r="AK30" i="1" s="1"/>
  <c r="AH31" i="1"/>
  <c r="F384" i="1"/>
  <c r="W384" i="1" s="1"/>
  <c r="AJ30" i="1" l="1"/>
  <c r="L30" i="1"/>
  <c r="S31" i="1" s="1"/>
  <c r="P31" i="1" l="1"/>
  <c r="I31" i="1"/>
  <c r="H31" i="1" s="1"/>
  <c r="AK31" i="1" s="1"/>
  <c r="R31" i="1"/>
  <c r="T31" i="1"/>
  <c r="Q31" i="1"/>
  <c r="J31" i="1"/>
  <c r="AH32" i="1"/>
  <c r="L31" i="1" l="1"/>
  <c r="R32" i="1" s="1"/>
  <c r="AJ31" i="1"/>
  <c r="Q32" i="1"/>
  <c r="S32" i="1"/>
  <c r="T32" i="1"/>
  <c r="P32" i="1"/>
  <c r="I32" i="1"/>
  <c r="J32" i="1" s="1"/>
  <c r="H32" i="1"/>
  <c r="AK32" i="1" s="1"/>
  <c r="AJ32" i="1" l="1"/>
  <c r="AH33" i="1"/>
  <c r="L32" i="1"/>
  <c r="T33" i="1" l="1"/>
  <c r="R33" i="1"/>
  <c r="Q33" i="1"/>
  <c r="S33" i="1"/>
  <c r="P33" i="1"/>
  <c r="I33" i="1"/>
  <c r="J33" i="1" s="1"/>
  <c r="H33" i="1"/>
  <c r="AK33" i="1" s="1"/>
  <c r="AJ33" i="1" l="1"/>
  <c r="AH34" i="1"/>
  <c r="L33" i="1"/>
  <c r="T34" i="1" l="1"/>
  <c r="R34" i="1"/>
  <c r="S34" i="1"/>
  <c r="Q34" i="1"/>
  <c r="P34" i="1"/>
  <c r="I34" i="1"/>
  <c r="H34" i="1" s="1"/>
  <c r="AK34" i="1" s="1"/>
  <c r="G385" i="1"/>
  <c r="J34" i="1" l="1"/>
  <c r="K34" i="1" s="1"/>
  <c r="AJ34" i="1"/>
  <c r="AH35" i="1"/>
  <c r="L34" i="1"/>
  <c r="F385" i="1"/>
  <c r="W385" i="1" s="1"/>
  <c r="T35" i="1" l="1"/>
  <c r="R35" i="1"/>
  <c r="S35" i="1"/>
  <c r="Q35" i="1"/>
  <c r="P35" i="1"/>
  <c r="I35" i="1"/>
  <c r="J35" i="1" s="1"/>
  <c r="H35" i="1"/>
  <c r="AK35" i="1" s="1"/>
  <c r="AJ35" i="1" l="1"/>
  <c r="AH36" i="1"/>
  <c r="L35" i="1"/>
  <c r="S36" i="1" l="1"/>
  <c r="R36" i="1"/>
  <c r="T36" i="1"/>
  <c r="Q36" i="1"/>
  <c r="P36" i="1"/>
  <c r="I36" i="1"/>
  <c r="H36" i="1" s="1"/>
  <c r="AK36" i="1" s="1"/>
  <c r="J36" i="1" l="1"/>
  <c r="AJ36" i="1"/>
  <c r="AH37" i="1"/>
  <c r="L36" i="1"/>
  <c r="S37" i="1" l="1"/>
  <c r="Q37" i="1"/>
  <c r="T37" i="1"/>
  <c r="R37" i="1"/>
  <c r="P37" i="1"/>
  <c r="I37" i="1"/>
  <c r="H37" i="1" s="1"/>
  <c r="AK37" i="1" s="1"/>
  <c r="J37" i="1" l="1"/>
  <c r="AJ37" i="1"/>
  <c r="AH38" i="1"/>
  <c r="L37" i="1"/>
  <c r="S38" i="1" l="1"/>
  <c r="Q38" i="1"/>
  <c r="T38" i="1"/>
  <c r="R38" i="1"/>
  <c r="P38" i="1"/>
  <c r="I38" i="1"/>
  <c r="J38" i="1" s="1"/>
  <c r="K38" i="1" s="1"/>
  <c r="H38" i="1"/>
  <c r="AK38" i="1" s="1"/>
  <c r="G386" i="1"/>
  <c r="AJ38" i="1" l="1"/>
  <c r="AH39" i="1"/>
  <c r="L38" i="1"/>
  <c r="F386" i="1"/>
  <c r="W386" i="1" s="1"/>
  <c r="S39" i="1" l="1"/>
  <c r="Q39" i="1"/>
  <c r="T39" i="1"/>
  <c r="R39" i="1"/>
  <c r="P39" i="1"/>
  <c r="I39" i="1"/>
  <c r="J39" i="1" s="1"/>
  <c r="H39" i="1"/>
  <c r="AK39" i="1" s="1"/>
  <c r="AJ39" i="1" l="1"/>
  <c r="AH40" i="1"/>
  <c r="L39" i="1"/>
  <c r="Q40" i="1" l="1"/>
  <c r="S40" i="1"/>
  <c r="T40" i="1"/>
  <c r="R40" i="1"/>
  <c r="P40" i="1"/>
  <c r="I40" i="1"/>
  <c r="J40" i="1" s="1"/>
  <c r="H40" i="1"/>
  <c r="AK40" i="1" s="1"/>
  <c r="AJ40" i="1" l="1"/>
  <c r="AH41" i="1"/>
  <c r="L40" i="1"/>
  <c r="T41" i="1" l="1"/>
  <c r="R41" i="1"/>
  <c r="S41" i="1"/>
  <c r="Q41" i="1"/>
  <c r="P41" i="1"/>
  <c r="I41" i="1"/>
  <c r="J41" i="1" s="1"/>
  <c r="H41" i="1"/>
  <c r="AK41" i="1" s="1"/>
  <c r="AJ41" i="1" l="1"/>
  <c r="AH42" i="1"/>
  <c r="AI42" i="1" s="1"/>
  <c r="L41" i="1"/>
  <c r="T42" i="1" l="1"/>
  <c r="R42" i="1"/>
  <c r="S42" i="1"/>
  <c r="Q42" i="1"/>
  <c r="P42" i="1"/>
  <c r="I42" i="1"/>
  <c r="J42" i="1" s="1"/>
  <c r="K42" i="1" s="1"/>
  <c r="H42" i="1"/>
  <c r="AK42" i="1" s="1"/>
  <c r="G387" i="1"/>
  <c r="AJ42" i="1" l="1"/>
  <c r="AH43" i="1"/>
  <c r="L42" i="1"/>
  <c r="F387" i="1"/>
  <c r="W387" i="1" s="1"/>
  <c r="T43" i="1" l="1"/>
  <c r="R43" i="1"/>
  <c r="S43" i="1"/>
  <c r="Q43" i="1"/>
  <c r="P43" i="1"/>
  <c r="I43" i="1"/>
  <c r="J43" i="1" s="1"/>
  <c r="H43" i="1"/>
  <c r="AK43" i="1" s="1"/>
  <c r="AJ43" i="1" l="1"/>
  <c r="AH44" i="1"/>
  <c r="L43" i="1"/>
  <c r="R44" i="1" l="1"/>
  <c r="T44" i="1"/>
  <c r="S44" i="1"/>
  <c r="Q44" i="1"/>
  <c r="P44" i="1"/>
  <c r="I44" i="1"/>
  <c r="J44" i="1" s="1"/>
  <c r="H44" i="1" l="1"/>
  <c r="AK44" i="1" s="1"/>
  <c r="L44" i="1" l="1"/>
  <c r="I45" i="1" s="1"/>
  <c r="AH45" i="1"/>
  <c r="AJ44" i="1" l="1"/>
  <c r="J45" i="1"/>
  <c r="H45" i="1"/>
  <c r="AK45" i="1" s="1"/>
  <c r="S45" i="1"/>
  <c r="Q45" i="1"/>
  <c r="T45" i="1"/>
  <c r="R45" i="1"/>
  <c r="P45" i="1"/>
  <c r="AH46" i="1"/>
  <c r="AJ45" i="1" l="1"/>
  <c r="L45" i="1"/>
  <c r="S46" i="1" s="1"/>
  <c r="I46" i="1"/>
  <c r="H46" i="1" s="1"/>
  <c r="AK46" i="1" s="1"/>
  <c r="G388" i="1"/>
  <c r="P46" i="1" l="1"/>
  <c r="T46" i="1"/>
  <c r="R46" i="1"/>
  <c r="Q46" i="1"/>
  <c r="J46" i="1"/>
  <c r="K46" i="1" s="1"/>
  <c r="AJ46" i="1"/>
  <c r="AH47" i="1"/>
  <c r="L46" i="1"/>
  <c r="F388" i="1"/>
  <c r="W388" i="1" s="1"/>
  <c r="S47" i="1" l="1"/>
  <c r="Q47" i="1"/>
  <c r="T47" i="1"/>
  <c r="R47" i="1"/>
  <c r="P47" i="1"/>
  <c r="I47" i="1"/>
  <c r="J47" i="1" s="1"/>
  <c r="H47" i="1"/>
  <c r="AK47" i="1" s="1"/>
  <c r="AJ47" i="1" l="1"/>
  <c r="AH48" i="1"/>
  <c r="L47" i="1"/>
  <c r="S48" i="1" l="1"/>
  <c r="Q48" i="1"/>
  <c r="T48" i="1"/>
  <c r="R48" i="1"/>
  <c r="P48" i="1"/>
  <c r="I48" i="1"/>
  <c r="J48" i="1" s="1"/>
  <c r="H48" i="1"/>
  <c r="AK48" i="1" s="1"/>
  <c r="AJ48" i="1" l="1"/>
  <c r="AH49" i="1"/>
  <c r="L48" i="1"/>
  <c r="T49" i="1" l="1"/>
  <c r="R49" i="1"/>
  <c r="S49" i="1"/>
  <c r="Q49" i="1"/>
  <c r="P49" i="1"/>
  <c r="I49" i="1"/>
  <c r="J49" i="1" s="1"/>
  <c r="H49" i="1"/>
  <c r="AK49" i="1" s="1"/>
  <c r="L49" i="1" l="1"/>
  <c r="AJ49" i="1"/>
  <c r="AH50" i="1"/>
  <c r="T50" i="1" l="1"/>
  <c r="R50" i="1"/>
  <c r="S50" i="1"/>
  <c r="Q50" i="1"/>
  <c r="P50" i="1"/>
  <c r="I50" i="1"/>
  <c r="J50" i="1" s="1"/>
  <c r="K50" i="1" s="1"/>
  <c r="H50" i="1"/>
  <c r="AK50" i="1" s="1"/>
  <c r="G389" i="1"/>
  <c r="AJ50" i="1" l="1"/>
  <c r="AH51" i="1"/>
  <c r="L50" i="1"/>
  <c r="F389" i="1"/>
  <c r="W389" i="1" s="1"/>
  <c r="T51" i="1" l="1"/>
  <c r="R51" i="1"/>
  <c r="S51" i="1"/>
  <c r="Q51" i="1"/>
  <c r="P51" i="1"/>
  <c r="I51" i="1"/>
  <c r="H51" i="1" s="1"/>
  <c r="AK51" i="1" s="1"/>
  <c r="J51" i="1" l="1"/>
  <c r="AJ51" i="1"/>
  <c r="AH52" i="1"/>
  <c r="L51" i="1"/>
  <c r="T52" i="1" l="1"/>
  <c r="R52" i="1"/>
  <c r="S52" i="1"/>
  <c r="Q52" i="1"/>
  <c r="P52" i="1"/>
  <c r="I52" i="1"/>
  <c r="J52" i="1" s="1"/>
  <c r="H52" i="1"/>
  <c r="AK52" i="1" s="1"/>
  <c r="AJ52" i="1" l="1"/>
  <c r="AH53" i="1"/>
  <c r="L52" i="1"/>
  <c r="S53" i="1" l="1"/>
  <c r="Q53" i="1"/>
  <c r="T53" i="1"/>
  <c r="R53" i="1"/>
  <c r="P53" i="1"/>
  <c r="I53" i="1"/>
  <c r="J53" i="1" s="1"/>
  <c r="H53" i="1"/>
  <c r="AK53" i="1" s="1"/>
  <c r="AJ53" i="1" l="1"/>
  <c r="AH54" i="1"/>
  <c r="L53" i="1"/>
  <c r="S54" i="1" l="1"/>
  <c r="Q54" i="1"/>
  <c r="T54" i="1"/>
  <c r="R54" i="1"/>
  <c r="P54" i="1"/>
  <c r="I54" i="1"/>
  <c r="H54" i="1" s="1"/>
  <c r="AK54" i="1" s="1"/>
  <c r="G390" i="1"/>
  <c r="J54" i="1" l="1"/>
  <c r="K54" i="1" s="1"/>
  <c r="AJ54" i="1"/>
  <c r="F390" i="1"/>
  <c r="W390" i="1" s="1"/>
  <c r="L54" i="1"/>
  <c r="S55" i="1" l="1"/>
  <c r="Q55" i="1"/>
  <c r="T55" i="1"/>
  <c r="R55" i="1"/>
  <c r="P55" i="1"/>
  <c r="I55" i="1"/>
  <c r="J55" i="1" s="1"/>
  <c r="H55" i="1"/>
  <c r="AK55" i="1" s="1"/>
  <c r="AJ55" i="1" l="1"/>
  <c r="L55" i="1"/>
  <c r="S56" i="1" l="1"/>
  <c r="T56" i="1"/>
  <c r="R56" i="1"/>
  <c r="Q56" i="1"/>
  <c r="P56" i="1"/>
  <c r="I56" i="1"/>
  <c r="H56" i="1" s="1"/>
  <c r="AK56" i="1" s="1"/>
  <c r="J56" i="1" l="1"/>
  <c r="AJ56" i="1"/>
  <c r="AH57" i="1"/>
  <c r="L56" i="1"/>
  <c r="T57" i="1" l="1"/>
  <c r="R57" i="1"/>
  <c r="Q57" i="1"/>
  <c r="S57" i="1"/>
  <c r="P57" i="1"/>
  <c r="I57" i="1"/>
  <c r="J57" i="1" s="1"/>
  <c r="H57" i="1"/>
  <c r="AK57" i="1" s="1"/>
  <c r="AJ57" i="1" l="1"/>
  <c r="AH58" i="1"/>
  <c r="AI58" i="1" s="1"/>
  <c r="L57" i="1"/>
  <c r="T58" i="1" l="1"/>
  <c r="R58" i="1"/>
  <c r="S58" i="1"/>
  <c r="Q58" i="1"/>
  <c r="P58" i="1"/>
  <c r="I58" i="1"/>
  <c r="J58" i="1" s="1"/>
  <c r="K58" i="1" s="1"/>
  <c r="H58" i="1"/>
  <c r="AK58" i="1" s="1"/>
  <c r="G391" i="1"/>
  <c r="AJ58" i="1" l="1"/>
  <c r="AH59" i="1"/>
  <c r="F391" i="1"/>
  <c r="W391" i="1" s="1"/>
  <c r="L58" i="1"/>
  <c r="T59" i="1" l="1"/>
  <c r="R59" i="1"/>
  <c r="S59" i="1"/>
  <c r="Q59" i="1"/>
  <c r="P59" i="1"/>
  <c r="I59" i="1"/>
  <c r="J59" i="1" s="1"/>
  <c r="H59" i="1"/>
  <c r="AK59" i="1" s="1"/>
  <c r="AJ59" i="1" l="1"/>
  <c r="AH60" i="1"/>
  <c r="L59" i="1"/>
  <c r="R60" i="1" l="1"/>
  <c r="T60" i="1"/>
  <c r="S60" i="1"/>
  <c r="Q60" i="1"/>
  <c r="P60" i="1"/>
  <c r="I60" i="1"/>
  <c r="J60" i="1" s="1"/>
  <c r="H60" i="1" l="1"/>
  <c r="AK60" i="1" s="1"/>
  <c r="L60" i="1" l="1"/>
  <c r="AH61" i="1"/>
  <c r="I61" i="1"/>
  <c r="J61" i="1" s="1"/>
  <c r="H61" i="1"/>
  <c r="AK61" i="1" s="1"/>
  <c r="AJ60" i="1" l="1"/>
  <c r="S61" i="1"/>
  <c r="Q61" i="1"/>
  <c r="T61" i="1"/>
  <c r="R61" i="1"/>
  <c r="P61" i="1"/>
  <c r="AJ61" i="1"/>
  <c r="AH62" i="1"/>
  <c r="L61" i="1"/>
  <c r="S62" i="1" l="1"/>
  <c r="Q62" i="1"/>
  <c r="T62" i="1"/>
  <c r="R62" i="1"/>
  <c r="P62" i="1"/>
  <c r="I62" i="1"/>
  <c r="J62" i="1" s="1"/>
  <c r="K62" i="1" s="1"/>
  <c r="H62" i="1"/>
  <c r="AK62" i="1" s="1"/>
  <c r="G392" i="1"/>
  <c r="AJ62" i="1" l="1"/>
  <c r="AH63" i="1"/>
  <c r="L62" i="1"/>
  <c r="F392" i="1"/>
  <c r="W392" i="1" s="1"/>
  <c r="S63" i="1" l="1"/>
  <c r="Q63" i="1"/>
  <c r="T63" i="1"/>
  <c r="R63" i="1"/>
  <c r="P63" i="1"/>
  <c r="I63" i="1"/>
  <c r="J63" i="1" s="1"/>
  <c r="H63" i="1"/>
  <c r="AK63" i="1" s="1"/>
  <c r="AJ63" i="1" l="1"/>
  <c r="AH64" i="1"/>
  <c r="L63" i="1"/>
  <c r="R64" i="1" l="1"/>
  <c r="S64" i="1"/>
  <c r="Q64" i="1"/>
  <c r="T64" i="1"/>
  <c r="P64" i="1"/>
  <c r="I64" i="1"/>
  <c r="J64" i="1" s="1"/>
  <c r="H64" i="1"/>
  <c r="AK64" i="1" s="1"/>
  <c r="AJ64" i="1" l="1"/>
  <c r="AH65" i="1"/>
  <c r="L64" i="1"/>
  <c r="T65" i="1" l="1"/>
  <c r="R65" i="1"/>
  <c r="Q65" i="1"/>
  <c r="S65" i="1"/>
  <c r="P65" i="1"/>
  <c r="I65" i="1"/>
  <c r="J65" i="1" s="1"/>
  <c r="H65" i="1"/>
  <c r="AK65" i="1" s="1"/>
  <c r="AJ65" i="1" l="1"/>
  <c r="AH66" i="1"/>
  <c r="L65" i="1"/>
  <c r="T66" i="1" l="1"/>
  <c r="R66" i="1"/>
  <c r="S66" i="1"/>
  <c r="Q66" i="1"/>
  <c r="P66" i="1"/>
  <c r="I66" i="1"/>
  <c r="J66" i="1" s="1"/>
  <c r="K66" i="1" s="1"/>
  <c r="H66" i="1"/>
  <c r="AK66" i="1" s="1"/>
  <c r="G393" i="1"/>
  <c r="AJ66" i="1" l="1"/>
  <c r="AH67" i="1"/>
  <c r="F393" i="1"/>
  <c r="W393" i="1" s="1"/>
  <c r="L66" i="1"/>
  <c r="T67" i="1" l="1"/>
  <c r="R67" i="1"/>
  <c r="S67" i="1"/>
  <c r="Q67" i="1"/>
  <c r="P67" i="1"/>
  <c r="I67" i="1"/>
  <c r="J67" i="1" s="1"/>
  <c r="H67" i="1"/>
  <c r="AK67" i="1" s="1"/>
  <c r="AJ67" i="1" l="1"/>
  <c r="AH68" i="1"/>
  <c r="L67" i="1"/>
  <c r="S68" i="1" l="1"/>
  <c r="T68" i="1"/>
  <c r="R68" i="1"/>
  <c r="Q68" i="1"/>
  <c r="P68" i="1"/>
  <c r="I68" i="1"/>
  <c r="H68" i="1"/>
  <c r="AK68" i="1" s="1"/>
  <c r="J68" i="1"/>
  <c r="AJ68" i="1" l="1"/>
  <c r="AH69" i="1"/>
  <c r="L68" i="1"/>
  <c r="S69" i="1" l="1"/>
  <c r="Q69" i="1"/>
  <c r="T69" i="1"/>
  <c r="R69" i="1"/>
  <c r="P69" i="1"/>
  <c r="I69" i="1"/>
  <c r="J69" i="1" s="1"/>
  <c r="H69" i="1"/>
  <c r="AK69" i="1" s="1"/>
  <c r="AJ69" i="1" l="1"/>
  <c r="AH70" i="1"/>
  <c r="L69" i="1"/>
  <c r="S70" i="1" l="1"/>
  <c r="Q70" i="1"/>
  <c r="T70" i="1"/>
  <c r="R70" i="1"/>
  <c r="P70" i="1"/>
  <c r="I70" i="1"/>
  <c r="J70" i="1" s="1"/>
  <c r="K70" i="1" s="1"/>
  <c r="H70" i="1"/>
  <c r="AK70" i="1" s="1"/>
  <c r="G394" i="1"/>
  <c r="AJ70" i="1" l="1"/>
  <c r="AH71" i="1"/>
  <c r="F394" i="1"/>
  <c r="W394" i="1" s="1"/>
  <c r="L70" i="1"/>
  <c r="S71" i="1" l="1"/>
  <c r="Q71" i="1"/>
  <c r="T71" i="1"/>
  <c r="R71" i="1"/>
  <c r="P71" i="1"/>
  <c r="I71" i="1"/>
  <c r="J71" i="1" s="1"/>
  <c r="H71" i="1"/>
  <c r="AK71" i="1" s="1"/>
  <c r="AJ71" i="1" l="1"/>
  <c r="AH72" i="1"/>
  <c r="L71" i="1"/>
  <c r="Q72" i="1" l="1"/>
  <c r="S72" i="1"/>
  <c r="T72" i="1"/>
  <c r="R72" i="1"/>
  <c r="P72" i="1"/>
  <c r="I72" i="1"/>
  <c r="H72" i="1" s="1"/>
  <c r="AK72" i="1" s="1"/>
  <c r="J72" i="1" l="1"/>
  <c r="AJ72" i="1"/>
  <c r="AH73" i="1"/>
  <c r="L72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T73" i="1" l="1"/>
  <c r="R73" i="1"/>
  <c r="S73" i="1"/>
  <c r="Q73" i="1"/>
  <c r="P73" i="1"/>
  <c r="I73" i="1"/>
  <c r="H73" i="1"/>
  <c r="AK73" i="1" s="1"/>
  <c r="J410" i="1"/>
  <c r="J73" i="1" l="1"/>
  <c r="G395" i="1"/>
  <c r="F395" i="1"/>
  <c r="W395" i="1" s="1"/>
  <c r="AJ73" i="1" l="1"/>
  <c r="L73" i="1"/>
  <c r="AH74" i="1" l="1"/>
  <c r="T74" i="1"/>
  <c r="T75" i="1" s="1"/>
  <c r="R74" i="1"/>
  <c r="R75" i="1" s="1"/>
  <c r="S74" i="1"/>
  <c r="S75" i="1" s="1"/>
  <c r="Q74" i="1"/>
  <c r="Q75" i="1" s="1"/>
  <c r="P74" i="1"/>
  <c r="P75" i="1" s="1"/>
  <c r="I74" i="1"/>
  <c r="I75" i="1" s="1"/>
  <c r="H74" i="1"/>
  <c r="G74" i="1" l="1"/>
  <c r="AK74" i="1"/>
  <c r="H75" i="1"/>
  <c r="O57" i="1"/>
  <c r="L74" i="1"/>
  <c r="H12" i="1"/>
  <c r="AJ74" i="1"/>
  <c r="J74" i="1"/>
  <c r="K74" i="1" s="1"/>
  <c r="O16" i="1"/>
  <c r="O17" i="1"/>
  <c r="O18" i="1"/>
  <c r="O19" i="1"/>
  <c r="O20" i="1"/>
  <c r="O60" i="1"/>
  <c r="O58" i="1"/>
  <c r="O40" i="1"/>
  <c r="O72" i="1"/>
  <c r="O26" i="1"/>
  <c r="O30" i="1"/>
  <c r="O67" i="1"/>
  <c r="O47" i="1"/>
  <c r="O71" i="1"/>
  <c r="O44" i="1"/>
  <c r="O37" i="1"/>
  <c r="O55" i="1"/>
  <c r="O42" i="1"/>
  <c r="O50" i="1"/>
  <c r="O53" i="1"/>
  <c r="O69" i="1"/>
  <c r="O28" i="1"/>
  <c r="O39" i="1"/>
  <c r="O45" i="1"/>
  <c r="O61" i="1"/>
  <c r="O41" i="1"/>
  <c r="O31" i="1"/>
  <c r="O70" i="1"/>
  <c r="O51" i="1"/>
  <c r="O66" i="1"/>
  <c r="O29" i="1"/>
  <c r="O46" i="1"/>
  <c r="O56" i="1"/>
  <c r="O48" i="1"/>
  <c r="O24" i="1"/>
  <c r="O62" i="1"/>
  <c r="O35" i="1"/>
  <c r="O34" i="1"/>
  <c r="O52" i="1"/>
  <c r="O36" i="1"/>
  <c r="O65" i="1"/>
  <c r="O49" i="1"/>
  <c r="O43" i="1"/>
  <c r="AK75" i="1" l="1"/>
  <c r="O33" i="1"/>
  <c r="O38" i="1"/>
  <c r="O59" i="1"/>
  <c r="O63" i="1"/>
  <c r="O73" i="1"/>
  <c r="O32" i="1"/>
  <c r="O23" i="1"/>
  <c r="O68" i="1"/>
  <c r="O54" i="1"/>
  <c r="O25" i="1"/>
  <c r="G75" i="1"/>
  <c r="O14" i="1"/>
  <c r="O64" i="1"/>
  <c r="O22" i="1"/>
  <c r="O15" i="1"/>
  <c r="O27" i="1"/>
  <c r="O21" i="1"/>
  <c r="O74" i="1"/>
  <c r="U26" i="1"/>
  <c r="U64" i="1"/>
  <c r="U35" i="1"/>
  <c r="U17" i="1"/>
  <c r="U70" i="1"/>
  <c r="U49" i="1"/>
  <c r="U21" i="1" l="1"/>
  <c r="U34" i="1"/>
  <c r="U45" i="1"/>
  <c r="U66" i="1"/>
  <c r="U20" i="1"/>
  <c r="U51" i="1"/>
  <c r="X51" i="1" s="1"/>
  <c r="AL51" i="1" s="1"/>
  <c r="U38" i="1"/>
  <c r="X38" i="1" s="1"/>
  <c r="AL38" i="1" s="1"/>
  <c r="U44" i="1"/>
  <c r="U22" i="1"/>
  <c r="X22" i="1" s="1"/>
  <c r="AL22" i="1" s="1"/>
  <c r="U18" i="1"/>
  <c r="X18" i="1" s="1"/>
  <c r="AL18" i="1" s="1"/>
  <c r="U61" i="1"/>
  <c r="U40" i="1"/>
  <c r="U36" i="1"/>
  <c r="U47" i="1"/>
  <c r="X47" i="1" s="1"/>
  <c r="AL47" i="1" s="1"/>
  <c r="U58" i="1"/>
  <c r="U25" i="1"/>
  <c r="V25" i="1" s="1"/>
  <c r="U69" i="1"/>
  <c r="X69" i="1" s="1"/>
  <c r="AL69" i="1" s="1"/>
  <c r="U32" i="1"/>
  <c r="X32" i="1" s="1"/>
  <c r="AL32" i="1" s="1"/>
  <c r="U24" i="1"/>
  <c r="X24" i="1" s="1"/>
  <c r="AL24" i="1" s="1"/>
  <c r="U39" i="1"/>
  <c r="X39" i="1" s="1"/>
  <c r="AL39" i="1" s="1"/>
  <c r="U65" i="1"/>
  <c r="V65" i="1" s="1"/>
  <c r="U54" i="1"/>
  <c r="U56" i="1"/>
  <c r="V56" i="1" s="1"/>
  <c r="U53" i="1"/>
  <c r="X53" i="1" s="1"/>
  <c r="AL53" i="1" s="1"/>
  <c r="U52" i="1"/>
  <c r="U68" i="1"/>
  <c r="X68" i="1" s="1"/>
  <c r="AL68" i="1" s="1"/>
  <c r="U60" i="1"/>
  <c r="V60" i="1" s="1"/>
  <c r="U29" i="1"/>
  <c r="U67" i="1"/>
  <c r="U46" i="1"/>
  <c r="U41" i="1"/>
  <c r="X41" i="1" s="1"/>
  <c r="AL41" i="1" s="1"/>
  <c r="U74" i="1"/>
  <c r="U16" i="1"/>
  <c r="X16" i="1" s="1"/>
  <c r="AL16" i="1" s="1"/>
  <c r="U42" i="1"/>
  <c r="V42" i="1" s="1"/>
  <c r="U71" i="1"/>
  <c r="U50" i="1"/>
  <c r="X50" i="1" s="1"/>
  <c r="AL50" i="1" s="1"/>
  <c r="U19" i="1"/>
  <c r="X19" i="1" s="1"/>
  <c r="AL19" i="1" s="1"/>
  <c r="U37" i="1"/>
  <c r="X37" i="1" s="1"/>
  <c r="AL37" i="1" s="1"/>
  <c r="U57" i="1"/>
  <c r="U73" i="1"/>
  <c r="U48" i="1"/>
  <c r="V48" i="1" s="1"/>
  <c r="U33" i="1"/>
  <c r="X33" i="1" s="1"/>
  <c r="AL33" i="1" s="1"/>
  <c r="U28" i="1"/>
  <c r="X28" i="1" s="1"/>
  <c r="U23" i="1"/>
  <c r="U27" i="1"/>
  <c r="X27" i="1" s="1"/>
  <c r="U72" i="1"/>
  <c r="X72" i="1" s="1"/>
  <c r="AL72" i="1" s="1"/>
  <c r="U55" i="1"/>
  <c r="U59" i="1"/>
  <c r="X59" i="1" s="1"/>
  <c r="AL59" i="1" s="1"/>
  <c r="U30" i="1"/>
  <c r="U63" i="1"/>
  <c r="X63" i="1" s="1"/>
  <c r="AL63" i="1" s="1"/>
  <c r="U62" i="1"/>
  <c r="X62" i="1" s="1"/>
  <c r="AL62" i="1" s="1"/>
  <c r="U31" i="1"/>
  <c r="V31" i="1" s="1"/>
  <c r="U43" i="1"/>
  <c r="V43" i="1" s="1"/>
  <c r="X45" i="1"/>
  <c r="AL45" i="1" s="1"/>
  <c r="X17" i="1"/>
  <c r="AL17" i="1" s="1"/>
  <c r="X21" i="1"/>
  <c r="AL21" i="1" s="1"/>
  <c r="X49" i="1"/>
  <c r="AL49" i="1" s="1"/>
  <c r="X34" i="1"/>
  <c r="AL34" i="1" s="1"/>
  <c r="X35" i="1"/>
  <c r="AL35" i="1" s="1"/>
  <c r="X70" i="1"/>
  <c r="AL70" i="1" s="1"/>
  <c r="V70" i="1"/>
  <c r="AN18" i="1" l="1"/>
  <c r="AN17" i="1"/>
  <c r="AN22" i="1"/>
  <c r="AN21" i="1"/>
  <c r="AN24" i="1"/>
  <c r="AN19" i="1"/>
  <c r="AM39" i="1"/>
  <c r="AM72" i="1"/>
  <c r="AM28" i="1"/>
  <c r="AM38" i="1"/>
  <c r="AM50" i="1"/>
  <c r="AM51" i="1"/>
  <c r="AM69" i="1"/>
  <c r="AM59" i="1"/>
  <c r="AM34" i="1"/>
  <c r="AM49" i="1"/>
  <c r="AM33" i="1"/>
  <c r="AM70" i="1"/>
  <c r="AM35" i="1"/>
  <c r="AM32" i="1"/>
  <c r="AM37" i="1"/>
  <c r="AM68" i="1"/>
  <c r="AM47" i="1"/>
  <c r="AM53" i="1"/>
  <c r="AM41" i="1"/>
  <c r="AM45" i="1"/>
  <c r="AM62" i="1"/>
  <c r="AM63" i="1"/>
  <c r="X15" i="1"/>
  <c r="V38" i="1"/>
  <c r="V22" i="1"/>
  <c r="V50" i="1"/>
  <c r="X42" i="1"/>
  <c r="AL42" i="1" s="1"/>
  <c r="X31" i="1"/>
  <c r="AL31" i="1" s="1"/>
  <c r="V24" i="1"/>
  <c r="X43" i="1"/>
  <c r="AL43" i="1" s="1"/>
  <c r="V41" i="1"/>
  <c r="V27" i="1"/>
  <c r="V72" i="1"/>
  <c r="V45" i="1"/>
  <c r="V28" i="1"/>
  <c r="X48" i="1"/>
  <c r="AL48" i="1" s="1"/>
  <c r="X25" i="1"/>
  <c r="AL25" i="1" s="1"/>
  <c r="V68" i="1"/>
  <c r="X65" i="1"/>
  <c r="AL65" i="1" s="1"/>
  <c r="V51" i="1"/>
  <c r="V37" i="1"/>
  <c r="V19" i="1"/>
  <c r="V63" i="1"/>
  <c r="V16" i="1"/>
  <c r="X56" i="1"/>
  <c r="AL56" i="1" s="1"/>
  <c r="V53" i="1"/>
  <c r="V49" i="1"/>
  <c r="V32" i="1"/>
  <c r="V21" i="1"/>
  <c r="V17" i="1"/>
  <c r="V47" i="1"/>
  <c r="X60" i="1"/>
  <c r="AL60" i="1" s="1"/>
  <c r="V18" i="1"/>
  <c r="V62" i="1"/>
  <c r="V35" i="1"/>
  <c r="V59" i="1"/>
  <c r="V39" i="1"/>
  <c r="V69" i="1"/>
  <c r="V34" i="1"/>
  <c r="V33" i="1"/>
  <c r="X71" i="1"/>
  <c r="AL71" i="1" s="1"/>
  <c r="V71" i="1"/>
  <c r="X57" i="1"/>
  <c r="AL57" i="1" s="1"/>
  <c r="V57" i="1"/>
  <c r="Y28" i="1"/>
  <c r="Y22" i="1"/>
  <c r="Y41" i="1"/>
  <c r="X67" i="1"/>
  <c r="AL67" i="1" s="1"/>
  <c r="V67" i="1"/>
  <c r="Y50" i="1"/>
  <c r="Y70" i="1"/>
  <c r="Y47" i="1"/>
  <c r="Y59" i="1"/>
  <c r="Y33" i="1"/>
  <c r="Y38" i="1"/>
  <c r="X73" i="1"/>
  <c r="AL73" i="1" s="1"/>
  <c r="V73" i="1"/>
  <c r="X46" i="1"/>
  <c r="AL46" i="1" s="1"/>
  <c r="V46" i="1"/>
  <c r="X44" i="1"/>
  <c r="AL44" i="1" s="1"/>
  <c r="V44" i="1"/>
  <c r="Y63" i="1"/>
  <c r="Y72" i="1"/>
  <c r="X61" i="1"/>
  <c r="AL61" i="1" s="1"/>
  <c r="V61" i="1"/>
  <c r="X64" i="1"/>
  <c r="AL64" i="1" s="1"/>
  <c r="V64" i="1"/>
  <c r="Y37" i="1"/>
  <c r="Y39" i="1"/>
  <c r="Y53" i="1"/>
  <c r="X54" i="1"/>
  <c r="AL54" i="1" s="1"/>
  <c r="V54" i="1"/>
  <c r="Y16" i="1"/>
  <c r="Y24" i="1"/>
  <c r="Y27" i="1"/>
  <c r="X23" i="1"/>
  <c r="AL23" i="1" s="1"/>
  <c r="V23" i="1"/>
  <c r="X26" i="1"/>
  <c r="AL26" i="1" s="1"/>
  <c r="V26" i="1"/>
  <c r="X20" i="1"/>
  <c r="AL20" i="1" s="1"/>
  <c r="V20" i="1"/>
  <c r="X29" i="1"/>
  <c r="AL29" i="1" s="1"/>
  <c r="V29" i="1"/>
  <c r="X66" i="1"/>
  <c r="AL66" i="1" s="1"/>
  <c r="V66" i="1"/>
  <c r="X36" i="1"/>
  <c r="AL36" i="1" s="1"/>
  <c r="V36" i="1"/>
  <c r="X74" i="1"/>
  <c r="V74" i="1"/>
  <c r="Y49" i="1"/>
  <c r="Y32" i="1"/>
  <c r="Y18" i="1"/>
  <c r="Y62" i="1"/>
  <c r="Y21" i="1"/>
  <c r="X30" i="1"/>
  <c r="AL30" i="1" s="1"/>
  <c r="V30" i="1"/>
  <c r="X52" i="1"/>
  <c r="AL52" i="1" s="1"/>
  <c r="V52" i="1"/>
  <c r="Y17" i="1"/>
  <c r="X40" i="1"/>
  <c r="AL40" i="1" s="1"/>
  <c r="V40" i="1"/>
  <c r="X58" i="1"/>
  <c r="AL58" i="1" s="1"/>
  <c r="V58" i="1"/>
  <c r="X55" i="1"/>
  <c r="AL55" i="1" s="1"/>
  <c r="V55" i="1"/>
  <c r="Y51" i="1"/>
  <c r="Y45" i="1"/>
  <c r="Y19" i="1"/>
  <c r="Y35" i="1"/>
  <c r="Y69" i="1"/>
  <c r="Y68" i="1"/>
  <c r="Y34" i="1"/>
  <c r="AN25" i="1" l="1"/>
  <c r="AN26" i="1"/>
  <c r="AN23" i="1"/>
  <c r="AM52" i="1"/>
  <c r="AM66" i="1"/>
  <c r="AM46" i="1"/>
  <c r="AM43" i="1"/>
  <c r="AM36" i="1"/>
  <c r="AM44" i="1"/>
  <c r="AM55" i="1"/>
  <c r="AM73" i="1"/>
  <c r="AM67" i="1"/>
  <c r="AM57" i="1"/>
  <c r="AN65" i="1"/>
  <c r="AM42" i="1"/>
  <c r="AM54" i="1"/>
  <c r="AM29" i="1"/>
  <c r="AM58" i="1"/>
  <c r="AM64" i="1"/>
  <c r="AM71" i="1"/>
  <c r="AM30" i="1"/>
  <c r="AM40" i="1"/>
  <c r="AM74" i="1"/>
  <c r="AM61" i="1"/>
  <c r="Y15" i="1"/>
  <c r="X75" i="1"/>
  <c r="Y56" i="1"/>
  <c r="AM56" i="1"/>
  <c r="Y60" i="1"/>
  <c r="AM60" i="1"/>
  <c r="Y48" i="1"/>
  <c r="Z50" i="1" s="1"/>
  <c r="Y31" i="1"/>
  <c r="Z34" i="1" s="1"/>
  <c r="Y42" i="1"/>
  <c r="W42" i="1"/>
  <c r="Y43" i="1"/>
  <c r="W22" i="1"/>
  <c r="W38" i="1"/>
  <c r="Y65" i="1"/>
  <c r="AF65" i="1"/>
  <c r="Y25" i="1"/>
  <c r="W62" i="1"/>
  <c r="W18" i="1"/>
  <c r="W74" i="1"/>
  <c r="AN56" i="1"/>
  <c r="W34" i="1"/>
  <c r="W50" i="1"/>
  <c r="W66" i="1"/>
  <c r="W70" i="1"/>
  <c r="W30" i="1"/>
  <c r="W46" i="1"/>
  <c r="AF68" i="1"/>
  <c r="AF62" i="1"/>
  <c r="AF49" i="1"/>
  <c r="Y66" i="1"/>
  <c r="Y54" i="1"/>
  <c r="AN37" i="1"/>
  <c r="AF72" i="1"/>
  <c r="AF31" i="1"/>
  <c r="AN47" i="1"/>
  <c r="AN41" i="1"/>
  <c r="AF25" i="1"/>
  <c r="AF35" i="1"/>
  <c r="AF19" i="1"/>
  <c r="AF51" i="1"/>
  <c r="Y52" i="1"/>
  <c r="AN49" i="1"/>
  <c r="AF24" i="1"/>
  <c r="AF53" i="1"/>
  <c r="Y64" i="1"/>
  <c r="AN72" i="1"/>
  <c r="Y46" i="1"/>
  <c r="AF47" i="1"/>
  <c r="AN50" i="1"/>
  <c r="AF28" i="1"/>
  <c r="AN34" i="1"/>
  <c r="AN51" i="1"/>
  <c r="Y40" i="1"/>
  <c r="AF18" i="1"/>
  <c r="Y29" i="1"/>
  <c r="Y23" i="1"/>
  <c r="AN53" i="1"/>
  <c r="AF60" i="1"/>
  <c r="AF33" i="1"/>
  <c r="AF50" i="1"/>
  <c r="AN28" i="1"/>
  <c r="AF45" i="1"/>
  <c r="AF69" i="1"/>
  <c r="AN69" i="1"/>
  <c r="AN45" i="1"/>
  <c r="Y30" i="1"/>
  <c r="Y61" i="1"/>
  <c r="AN63" i="1"/>
  <c r="Y73" i="1"/>
  <c r="AN33" i="1"/>
  <c r="AF70" i="1"/>
  <c r="AF22" i="1"/>
  <c r="AF21" i="1"/>
  <c r="Y74" i="1"/>
  <c r="Y20" i="1"/>
  <c r="Z22" i="1" s="1"/>
  <c r="AN39" i="1"/>
  <c r="AF63" i="1"/>
  <c r="AF38" i="1"/>
  <c r="AN70" i="1"/>
  <c r="AF34" i="1"/>
  <c r="AN35" i="1"/>
  <c r="Y55" i="1"/>
  <c r="AN32" i="1"/>
  <c r="W26" i="1"/>
  <c r="AF16" i="1"/>
  <c r="AF39" i="1"/>
  <c r="AF43" i="1"/>
  <c r="AN38" i="1"/>
  <c r="AF59" i="1"/>
  <c r="Y67" i="1"/>
  <c r="Z70" i="1" s="1"/>
  <c r="Y57" i="1"/>
  <c r="W58" i="1"/>
  <c r="AF32" i="1"/>
  <c r="Y36" i="1"/>
  <c r="Z38" i="1" s="1"/>
  <c r="Y26" i="1"/>
  <c r="AN42" i="1"/>
  <c r="AF56" i="1"/>
  <c r="AN43" i="1"/>
  <c r="AN59" i="1"/>
  <c r="AF17" i="1"/>
  <c r="AN68" i="1"/>
  <c r="AF48" i="1"/>
  <c r="Y58" i="1"/>
  <c r="AN62" i="1"/>
  <c r="AF42" i="1"/>
  <c r="W54" i="1"/>
  <c r="AF37" i="1"/>
  <c r="Y44" i="1"/>
  <c r="AF41" i="1"/>
  <c r="Y71" i="1"/>
  <c r="AM65" i="1" l="1"/>
  <c r="AN31" i="1"/>
  <c r="AM31" i="1"/>
  <c r="AC6" i="1" s="1"/>
  <c r="AN48" i="1"/>
  <c r="AO50" i="1" s="1"/>
  <c r="AM48" i="1"/>
  <c r="AM75" i="1"/>
  <c r="AL75" i="1"/>
  <c r="Z62" i="1"/>
  <c r="Z42" i="1"/>
  <c r="AO34" i="1"/>
  <c r="AI50" i="1"/>
  <c r="AI34" i="1"/>
  <c r="AN60" i="1"/>
  <c r="Z54" i="1"/>
  <c r="Z46" i="1"/>
  <c r="Z74" i="1"/>
  <c r="Z66" i="1"/>
  <c r="Z30" i="1"/>
  <c r="AN71" i="1"/>
  <c r="AN46" i="1"/>
  <c r="AF26" i="1"/>
  <c r="AN57" i="1"/>
  <c r="AF61" i="1"/>
  <c r="AI62" i="1"/>
  <c r="AF46" i="1"/>
  <c r="AI38" i="1"/>
  <c r="AF36" i="1"/>
  <c r="AF57" i="1"/>
  <c r="AI22" i="1"/>
  <c r="AF20" i="1"/>
  <c r="AN61" i="1"/>
  <c r="Z26" i="1"/>
  <c r="AN40" i="1"/>
  <c r="AO42" i="1" s="1"/>
  <c r="AF44" i="1"/>
  <c r="AN36" i="1"/>
  <c r="AO38" i="1" s="1"/>
  <c r="AO22" i="1"/>
  <c r="AF73" i="1"/>
  <c r="AN30" i="1"/>
  <c r="AF40" i="1"/>
  <c r="AN54" i="1"/>
  <c r="AN67" i="1"/>
  <c r="AO70" i="1" s="1"/>
  <c r="AN55" i="1"/>
  <c r="AN73" i="1"/>
  <c r="AF30" i="1"/>
  <c r="AF23" i="1"/>
  <c r="AF54" i="1"/>
  <c r="AN44" i="1"/>
  <c r="AF67" i="1"/>
  <c r="AF55" i="1"/>
  <c r="AN29" i="1"/>
  <c r="AN64" i="1"/>
  <c r="AF58" i="1"/>
  <c r="AN74" i="1"/>
  <c r="AF29" i="1"/>
  <c r="AF64" i="1"/>
  <c r="AN52" i="1"/>
  <c r="AN66" i="1"/>
  <c r="Z58" i="1"/>
  <c r="AF71" i="1"/>
  <c r="AN58" i="1"/>
  <c r="AF74" i="1"/>
  <c r="AF52" i="1"/>
  <c r="AF66" i="1"/>
  <c r="AT65" i="1" l="1"/>
  <c r="AQ60" i="1"/>
  <c r="AQ50" i="1" s="1"/>
  <c r="AT66" i="1"/>
  <c r="AT62" i="1" s="1"/>
  <c r="AB5" i="1"/>
  <c r="AF75" i="1"/>
  <c r="AO46" i="1"/>
  <c r="AB6" i="1"/>
  <c r="AO58" i="1"/>
  <c r="AO62" i="1"/>
  <c r="AO66" i="1"/>
  <c r="AI30" i="1"/>
  <c r="AI66" i="1"/>
  <c r="AO54" i="1"/>
  <c r="AO74" i="1"/>
  <c r="AI26" i="1"/>
  <c r="AI46" i="1"/>
  <c r="AI54" i="1"/>
  <c r="AO26" i="1"/>
  <c r="AI74" i="1"/>
  <c r="AF5" i="1" l="1"/>
  <c r="AU62" i="1"/>
  <c r="AD5" i="1"/>
</calcChain>
</file>

<file path=xl/sharedStrings.xml><?xml version="1.0" encoding="utf-8"?>
<sst xmlns="http://schemas.openxmlformats.org/spreadsheetml/2006/main" count="182" uniqueCount="103">
  <si>
    <t>Balloon</t>
    <phoneticPr fontId="1" type="noConversion"/>
  </si>
  <si>
    <t>Total</t>
    <phoneticPr fontId="1" type="noConversion"/>
  </si>
  <si>
    <r>
      <rPr>
        <b/>
        <sz val="9"/>
        <color theme="0"/>
        <rFont val="나눔바른고딕"/>
        <family val="3"/>
        <charset val="129"/>
      </rPr>
      <t>원리금</t>
    </r>
    <r>
      <rPr>
        <b/>
        <sz val="9"/>
        <color theme="0"/>
        <rFont val="Open Sans"/>
        <family val="2"/>
      </rPr>
      <t xml:space="preserve"> </t>
    </r>
    <r>
      <rPr>
        <b/>
        <sz val="9"/>
        <color theme="0"/>
        <rFont val="나눔바른고딕"/>
        <family val="3"/>
        <charset val="129"/>
      </rPr>
      <t>균등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</si>
  <si>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최초</t>
    </r>
    <r>
      <rPr>
        <b/>
        <sz val="9"/>
        <color theme="1"/>
        <rFont val="Open Sans"/>
        <family val="2"/>
      </rPr>
      <t xml:space="preserve"> </t>
    </r>
    <r>
      <rPr>
        <b/>
        <sz val="9"/>
        <color theme="1"/>
        <rFont val="나눔바른고딕"/>
        <family val="3"/>
        <charset val="129"/>
      </rPr>
      <t>파이낸싱</t>
    </r>
    <phoneticPr fontId="1" type="noConversion"/>
  </si>
  <si>
    <r>
      <rPr>
        <sz val="9"/>
        <color theme="1"/>
        <rFont val="나눔바른고딕"/>
        <family val="3"/>
        <charset val="129"/>
      </rPr>
      <t>대출금액</t>
    </r>
    <phoneticPr fontId="1" type="noConversion"/>
  </si>
  <si>
    <r>
      <rPr>
        <sz val="9"/>
        <color theme="1"/>
        <rFont val="나눔바른고딕"/>
        <family val="3"/>
        <charset val="129"/>
      </rPr>
      <t>만기</t>
    </r>
    <phoneticPr fontId="1" type="noConversion"/>
  </si>
  <si>
    <r>
      <rPr>
        <sz val="9"/>
        <color theme="1"/>
        <rFont val="나눔바른고딕"/>
        <family val="3"/>
        <charset val="129"/>
      </rPr>
      <t>년</t>
    </r>
    <phoneticPr fontId="1" type="noConversion"/>
  </si>
  <si>
    <r>
      <rPr>
        <sz val="9"/>
        <color theme="1"/>
        <rFont val="나눔바른고딕"/>
        <family val="3"/>
        <charset val="129"/>
      </rPr>
      <t>거치</t>
    </r>
    <phoneticPr fontId="1" type="noConversion"/>
  </si>
  <si>
    <r>
      <rPr>
        <sz val="9"/>
        <color theme="1"/>
        <rFont val="나눔바른고딕"/>
        <family val="3"/>
        <charset val="129"/>
      </rPr>
      <t>이자율</t>
    </r>
    <phoneticPr fontId="1" type="noConversion"/>
  </si>
  <si>
    <r>
      <rPr>
        <sz val="9"/>
        <color theme="1"/>
        <rFont val="나눔바른고딕"/>
        <family val="3"/>
        <charset val="129"/>
      </rPr>
      <t>년</t>
    </r>
    <r>
      <rPr>
        <sz val="9"/>
        <color theme="1"/>
        <rFont val="Open Sans"/>
        <family val="2"/>
      </rPr>
      <t xml:space="preserve"> </t>
    </r>
    <r>
      <rPr>
        <sz val="9"/>
        <color theme="1"/>
        <rFont val="나눔바른고딕"/>
        <family val="3"/>
        <charset val="129"/>
      </rPr>
      <t>기준</t>
    </r>
    <phoneticPr fontId="1" type="noConversion"/>
  </si>
  <si>
    <r>
      <rPr>
        <b/>
        <sz val="9"/>
        <color theme="1"/>
        <rFont val="나눔바른고딕"/>
        <family val="3"/>
        <charset val="129"/>
      </rPr>
      <t>회차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</si>
  <si>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연도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</si>
  <si>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월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</si>
  <si>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차입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</si>
  <si>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상환원리금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</si>
  <si>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원금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</si>
  <si>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이자</t>
    </r>
    <phoneticPr fontId="1" type="noConversion"/>
  </si>
  <si>
    <r>
      <rPr>
        <b/>
        <sz val="9"/>
        <color theme="1"/>
        <rFont val="나눔바른고딕"/>
        <family val="3"/>
        <charset val="129"/>
      </rPr>
      <t>리</t>
    </r>
    <r>
      <rPr>
        <b/>
        <sz val="9"/>
        <color theme="1"/>
        <rFont val="Open Sans"/>
        <family val="2"/>
      </rPr>
      <t xml:space="preserve"> </t>
    </r>
    <r>
      <rPr>
        <b/>
        <sz val="9"/>
        <color theme="1"/>
        <rFont val="나눔바른고딕"/>
        <family val="3"/>
        <charset val="129"/>
      </rPr>
      <t>파이낸싱</t>
    </r>
    <phoneticPr fontId="1" type="noConversion"/>
  </si>
  <si>
    <r>
      <rPr>
        <sz val="9"/>
        <color theme="0"/>
        <rFont val="나눔바른고딕"/>
        <family val="3"/>
        <charset val="129"/>
      </rPr>
      <t>연금현가계수</t>
    </r>
    <phoneticPr fontId="1" type="noConversion"/>
  </si>
  <si>
    <r>
      <rPr>
        <b/>
        <u/>
        <sz val="9"/>
        <color theme="1"/>
        <rFont val="나눔바른고딕"/>
        <family val="3"/>
        <charset val="129"/>
      </rPr>
      <t>연금현가계수</t>
    </r>
    <phoneticPr fontId="1" type="noConversion"/>
  </si>
  <si>
    <r>
      <rPr>
        <b/>
        <sz val="9"/>
        <color theme="1"/>
        <rFont val="나눔바른고딕"/>
        <family val="3"/>
        <charset val="129"/>
      </rPr>
      <t>현가계수</t>
    </r>
    <phoneticPr fontId="1" type="noConversion"/>
  </si>
  <si>
    <t>IRR</t>
    <phoneticPr fontId="1" type="noConversion"/>
  </si>
  <si>
    <t>잔액</t>
    <phoneticPr fontId="1" type="noConversion"/>
  </si>
  <si>
    <r>
      <t>1</t>
    </r>
    <r>
      <rPr>
        <sz val="9"/>
        <color theme="1"/>
        <rFont val="나눔바른고딕"/>
        <family val="3"/>
        <charset val="129"/>
      </rPr>
      <t>종</t>
    </r>
    <r>
      <rPr>
        <sz val="9"/>
        <color theme="1"/>
        <rFont val="Open Sans"/>
        <family val="2"/>
      </rPr>
      <t xml:space="preserve"> </t>
    </r>
    <r>
      <rPr>
        <sz val="9"/>
        <color theme="1"/>
        <rFont val="나눔바른고딕"/>
        <family val="3"/>
        <charset val="129"/>
      </rPr>
      <t>수익증권</t>
    </r>
    <phoneticPr fontId="1" type="noConversion"/>
  </si>
  <si>
    <r>
      <rPr>
        <sz val="9"/>
        <color theme="1"/>
        <rFont val="나눔바른고딕"/>
        <family val="3"/>
        <charset val="129"/>
      </rPr>
      <t>백만원</t>
    </r>
    <phoneticPr fontId="1" type="noConversion"/>
  </si>
  <si>
    <r>
      <t>2</t>
    </r>
    <r>
      <rPr>
        <sz val="9"/>
        <color theme="1"/>
        <rFont val="나눔바른고딕"/>
        <family val="3"/>
        <charset val="129"/>
      </rPr>
      <t>종</t>
    </r>
    <r>
      <rPr>
        <sz val="9"/>
        <color theme="1"/>
        <rFont val="Open Sans"/>
        <family val="2"/>
      </rPr>
      <t xml:space="preserve"> </t>
    </r>
    <r>
      <rPr>
        <sz val="9"/>
        <color theme="1"/>
        <rFont val="나눔바른고딕"/>
        <family val="3"/>
        <charset val="129"/>
      </rPr>
      <t>수익증권</t>
    </r>
    <phoneticPr fontId="1" type="noConversion"/>
  </si>
  <si>
    <r>
      <rPr>
        <sz val="9"/>
        <color theme="1"/>
        <rFont val="나눔바른고딕"/>
        <family val="3"/>
        <charset val="129"/>
      </rPr>
      <t>분기</t>
    </r>
    <phoneticPr fontId="1" type="noConversion"/>
  </si>
  <si>
    <r>
      <rPr>
        <sz val="9"/>
        <color theme="1"/>
        <rFont val="나눔바른고딕"/>
        <family val="3"/>
        <charset val="129"/>
      </rPr>
      <t>분기</t>
    </r>
    <r>
      <rPr>
        <sz val="9"/>
        <color theme="1"/>
        <rFont val="Open Sans"/>
        <family val="2"/>
      </rPr>
      <t xml:space="preserve"> </t>
    </r>
    <r>
      <rPr>
        <sz val="9"/>
        <color theme="1"/>
        <rFont val="나눔바른고딕"/>
        <family val="3"/>
        <charset val="129"/>
      </rPr>
      <t>기준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</si>
  <si>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이자율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</si>
  <si>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연이율</t>
    </r>
    <phoneticPr fontId="1" type="noConversion"/>
  </si>
  <si>
    <r>
      <rPr>
        <b/>
        <sz val="9"/>
        <color theme="1"/>
        <rFont val="나눔바른고딕"/>
        <family val="3"/>
        <charset val="129"/>
      </rPr>
      <t>경과일수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</si>
  <si>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연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</si>
  <si>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상환원리금</t>
    </r>
    <r>
      <rPr>
        <b/>
        <sz val="9"/>
        <color theme="1"/>
        <rFont val="Open Sans"/>
        <family val="2"/>
      </rPr>
      <t xml:space="preserve"> </t>
    </r>
    <r>
      <rPr>
        <b/>
        <sz val="9"/>
        <color theme="1"/>
        <rFont val="나눔바른고딕"/>
        <family val="3"/>
        <charset val="129"/>
      </rPr>
      <t>비율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</si>
  <si>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운용보수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</si>
  <si>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신탁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</si>
  <si>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사무수탁</t>
    </r>
    <phoneticPr fontId="1" type="noConversion"/>
  </si>
  <si>
    <r>
      <rPr>
        <b/>
        <sz val="9"/>
        <color theme="1"/>
        <rFont val="나눔바른고딕"/>
        <family val="3"/>
        <charset val="129"/>
      </rPr>
      <t>판매</t>
    </r>
    <phoneticPr fontId="1" type="noConversion"/>
  </si>
  <si>
    <r>
      <rPr>
        <b/>
        <sz val="9"/>
        <color theme="1"/>
        <rFont val="나눔바른고딕"/>
        <family val="3"/>
        <charset val="129"/>
      </rPr>
      <t>기타</t>
    </r>
    <phoneticPr fontId="1" type="noConversion"/>
  </si>
  <si>
    <r>
      <rPr>
        <b/>
        <sz val="9"/>
        <color theme="1"/>
        <rFont val="나눔바른고딕"/>
        <family val="3"/>
        <charset val="129"/>
      </rPr>
      <t>보수총액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</si>
  <si>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연이자율</t>
    </r>
    <phoneticPr fontId="1" type="noConversion"/>
  </si>
  <si>
    <r>
      <rPr>
        <b/>
        <sz val="9"/>
        <color theme="1"/>
        <rFont val="나눔바른고딕"/>
        <family val="3"/>
        <charset val="129"/>
      </rPr>
      <t>보수공제후</t>
    </r>
    <r>
      <rPr>
        <b/>
        <sz val="9"/>
        <color theme="1"/>
        <rFont val="Open Sans"/>
        <family val="2"/>
      </rPr>
      <t xml:space="preserve"> </t>
    </r>
    <r>
      <rPr>
        <b/>
        <sz val="9"/>
        <color theme="1"/>
        <rFont val="나눔바른고딕"/>
        <family val="3"/>
        <charset val="129"/>
      </rPr>
      <t>이자</t>
    </r>
    <phoneticPr fontId="1" type="noConversion"/>
  </si>
  <si>
    <r>
      <rPr>
        <b/>
        <sz val="9"/>
        <color theme="1"/>
        <rFont val="나눔바른고딕"/>
        <family val="3"/>
        <charset val="129"/>
      </rPr>
      <t>보수공제후</t>
    </r>
    <r>
      <rPr>
        <b/>
        <sz val="9"/>
        <color theme="1"/>
        <rFont val="Open Sans"/>
        <family val="2"/>
      </rPr>
      <t xml:space="preserve"> </t>
    </r>
    <r>
      <rPr>
        <b/>
        <sz val="9"/>
        <color theme="1"/>
        <rFont val="나눔바른고딕"/>
        <family val="3"/>
        <charset val="129"/>
      </rPr>
      <t>이자율</t>
    </r>
    <phoneticPr fontId="1" type="noConversion"/>
  </si>
  <si>
    <r>
      <t>1</t>
    </r>
    <r>
      <rPr>
        <b/>
        <sz val="9"/>
        <color theme="1"/>
        <rFont val="나눔바른고딕"/>
        <family val="3"/>
        <charset val="129"/>
      </rPr>
      <t>종원본</t>
    </r>
    <phoneticPr fontId="1" type="noConversion"/>
  </si>
  <si>
    <r>
      <t>1</t>
    </r>
    <r>
      <rPr>
        <b/>
        <sz val="9"/>
        <color theme="1"/>
        <rFont val="나눔바른고딕"/>
        <family val="3"/>
        <charset val="129"/>
      </rPr>
      <t>종원금상환</t>
    </r>
    <phoneticPr fontId="1" type="noConversion"/>
  </si>
  <si>
    <r>
      <t>1</t>
    </r>
    <r>
      <rPr>
        <b/>
        <sz val="9"/>
        <color theme="1"/>
        <rFont val="나눔바른고딕"/>
        <family val="3"/>
        <charset val="129"/>
      </rPr>
      <t>종</t>
    </r>
    <r>
      <rPr>
        <b/>
        <sz val="9"/>
        <color theme="1"/>
        <rFont val="Open Sans"/>
        <family val="2"/>
      </rPr>
      <t xml:space="preserve"> </t>
    </r>
    <r>
      <rPr>
        <b/>
        <sz val="9"/>
        <color theme="1"/>
        <rFont val="나눔바른고딕"/>
        <family val="3"/>
        <charset val="129"/>
      </rPr>
      <t>배당</t>
    </r>
    <phoneticPr fontId="1" type="noConversion"/>
  </si>
  <si>
    <r>
      <t>1</t>
    </r>
    <r>
      <rPr>
        <b/>
        <sz val="9"/>
        <color theme="1"/>
        <rFont val="나눔바른고딕"/>
        <family val="3"/>
        <charset val="129"/>
      </rPr>
      <t>종</t>
    </r>
    <r>
      <rPr>
        <b/>
        <sz val="9"/>
        <color theme="1"/>
        <rFont val="Open Sans"/>
        <family val="2"/>
      </rPr>
      <t xml:space="preserve"> </t>
    </r>
    <r>
      <rPr>
        <b/>
        <sz val="9"/>
        <color theme="1"/>
        <rFont val="나눔바른고딕"/>
        <family val="3"/>
        <charset val="129"/>
      </rPr>
      <t>상환원리금</t>
    </r>
    <phoneticPr fontId="1" type="noConversion"/>
  </si>
  <si>
    <r>
      <t>1</t>
    </r>
    <r>
      <rPr>
        <b/>
        <sz val="9"/>
        <color theme="1"/>
        <rFont val="나눔바른고딕"/>
        <family val="3"/>
        <charset val="129"/>
      </rPr>
      <t>종배당률</t>
    </r>
    <phoneticPr fontId="1" type="noConversion"/>
  </si>
  <si>
    <r>
      <t>2</t>
    </r>
    <r>
      <rPr>
        <b/>
        <sz val="9"/>
        <color theme="1"/>
        <rFont val="나눔바른고딕"/>
        <family val="3"/>
        <charset val="129"/>
      </rPr>
      <t>종원본</t>
    </r>
    <phoneticPr fontId="1" type="noConversion"/>
  </si>
  <si>
    <r>
      <t>2</t>
    </r>
    <r>
      <rPr>
        <b/>
        <sz val="9"/>
        <color theme="1"/>
        <rFont val="나눔바른고딕"/>
        <family val="3"/>
        <charset val="129"/>
      </rPr>
      <t>종원금상환</t>
    </r>
    <phoneticPr fontId="1" type="noConversion"/>
  </si>
  <si>
    <r>
      <t>2</t>
    </r>
    <r>
      <rPr>
        <b/>
        <sz val="9"/>
        <color theme="1"/>
        <rFont val="나눔바른고딕"/>
        <family val="3"/>
        <charset val="129"/>
      </rPr>
      <t>종</t>
    </r>
    <r>
      <rPr>
        <b/>
        <sz val="9"/>
        <color theme="1"/>
        <rFont val="Open Sans"/>
        <family val="2"/>
      </rPr>
      <t xml:space="preserve"> </t>
    </r>
    <r>
      <rPr>
        <b/>
        <sz val="9"/>
        <color theme="1"/>
        <rFont val="나눔바른고딕"/>
        <family val="3"/>
        <charset val="129"/>
      </rPr>
      <t>배당</t>
    </r>
    <phoneticPr fontId="1" type="noConversion"/>
  </si>
  <si>
    <r>
      <t>2</t>
    </r>
    <r>
      <rPr>
        <b/>
        <sz val="9"/>
        <color theme="1"/>
        <rFont val="나눔바른고딕"/>
        <family val="3"/>
        <charset val="129"/>
      </rPr>
      <t>종</t>
    </r>
    <r>
      <rPr>
        <b/>
        <sz val="9"/>
        <color theme="1"/>
        <rFont val="Open Sans"/>
        <family val="2"/>
      </rPr>
      <t xml:space="preserve"> </t>
    </r>
    <r>
      <rPr>
        <b/>
        <sz val="9"/>
        <color theme="1"/>
        <rFont val="나눔바른고딕"/>
        <family val="3"/>
        <charset val="129"/>
      </rPr>
      <t>상환원리금</t>
    </r>
    <phoneticPr fontId="1" type="noConversion"/>
  </si>
  <si>
    <r>
      <t>2</t>
    </r>
    <r>
      <rPr>
        <b/>
        <sz val="9"/>
        <color theme="1"/>
        <rFont val="나눔바른고딕"/>
        <family val="3"/>
        <charset val="129"/>
      </rPr>
      <t>종배당률</t>
    </r>
    <phoneticPr fontId="1" type="noConversion"/>
  </si>
  <si>
    <t>보수율</t>
    <phoneticPr fontId="1" type="noConversion"/>
  </si>
  <si>
    <r>
      <rPr>
        <sz val="10"/>
        <color theme="1"/>
        <rFont val="나눔바른고딕"/>
        <family val="3"/>
        <charset val="129"/>
      </rPr>
      <t>대출금액</t>
    </r>
    <phoneticPr fontId="1" type="noConversion"/>
  </si>
  <si>
    <r>
      <rPr>
        <sz val="10"/>
        <color theme="1"/>
        <rFont val="나눔바른고딕"/>
        <family val="3"/>
        <charset val="129"/>
      </rPr>
      <t>백만원</t>
    </r>
    <phoneticPr fontId="1" type="noConversion"/>
  </si>
  <si>
    <r>
      <rPr>
        <sz val="10"/>
        <color theme="1"/>
        <rFont val="나눔바른고딕"/>
        <family val="3"/>
        <charset val="129"/>
      </rPr>
      <t>만기</t>
    </r>
    <phoneticPr fontId="1" type="noConversion"/>
  </si>
  <si>
    <r>
      <rPr>
        <sz val="10"/>
        <color theme="1"/>
        <rFont val="나눔바른고딕"/>
        <family val="3"/>
        <charset val="129"/>
      </rPr>
      <t>년</t>
    </r>
    <phoneticPr fontId="1" type="noConversion"/>
  </si>
  <si>
    <r>
      <rPr>
        <sz val="10"/>
        <color theme="1"/>
        <rFont val="나눔바른고딕"/>
        <family val="3"/>
        <charset val="129"/>
      </rPr>
      <t>분기</t>
    </r>
    <phoneticPr fontId="1" type="noConversion"/>
  </si>
  <si>
    <r>
      <rPr>
        <sz val="10"/>
        <color theme="1"/>
        <rFont val="나눔바른고딕"/>
        <family val="3"/>
        <charset val="129"/>
      </rPr>
      <t>거치</t>
    </r>
    <phoneticPr fontId="1" type="noConversion"/>
  </si>
  <si>
    <r>
      <rPr>
        <sz val="10"/>
        <color theme="1"/>
        <rFont val="나눔바른고딕"/>
        <family val="3"/>
        <charset val="129"/>
      </rPr>
      <t>이자율</t>
    </r>
    <phoneticPr fontId="1" type="noConversion"/>
  </si>
  <si>
    <r>
      <rPr>
        <sz val="10"/>
        <color theme="1"/>
        <rFont val="나눔바른고딕"/>
        <family val="3"/>
        <charset val="129"/>
      </rPr>
      <t>년</t>
    </r>
    <r>
      <rPr>
        <sz val="10"/>
        <color theme="1"/>
        <rFont val="Open Sans"/>
        <family val="2"/>
      </rPr>
      <t xml:space="preserve"> </t>
    </r>
    <r>
      <rPr>
        <sz val="10"/>
        <color theme="1"/>
        <rFont val="나눔바른고딕"/>
        <family val="3"/>
        <charset val="129"/>
      </rPr>
      <t>기준</t>
    </r>
    <phoneticPr fontId="1" type="noConversion"/>
  </si>
  <si>
    <r>
      <rPr>
        <sz val="10"/>
        <color theme="1"/>
        <rFont val="나눔바른고딕"/>
        <family val="3"/>
        <charset val="129"/>
      </rPr>
      <t>분기</t>
    </r>
    <r>
      <rPr>
        <sz val="10"/>
        <color theme="1"/>
        <rFont val="Open Sans"/>
        <family val="2"/>
      </rPr>
      <t xml:space="preserve"> </t>
    </r>
    <r>
      <rPr>
        <sz val="10"/>
        <color theme="1"/>
        <rFont val="나눔바른고딕"/>
        <family val="3"/>
        <charset val="129"/>
      </rPr>
      <t>기준</t>
    </r>
    <phoneticPr fontId="1" type="noConversion"/>
  </si>
  <si>
    <r>
      <rPr>
        <b/>
        <sz val="10"/>
        <color theme="1"/>
        <rFont val="나눔바른고딕"/>
        <family val="3"/>
        <charset val="129"/>
      </rPr>
      <t>회차</t>
    </r>
    <phoneticPr fontId="1" type="noConversion"/>
  </si>
  <si>
    <r>
      <rPr>
        <b/>
        <sz val="10"/>
        <color theme="1"/>
        <rFont val="나눔바른고딕"/>
        <family val="3"/>
        <charset val="129"/>
      </rPr>
      <t>원금</t>
    </r>
    <phoneticPr fontId="1" type="noConversion"/>
  </si>
  <si>
    <r>
      <rPr>
        <b/>
        <sz val="10"/>
        <color theme="1"/>
        <rFont val="나눔바른고딕"/>
        <family val="3"/>
        <charset val="129"/>
      </rPr>
      <t>이자</t>
    </r>
    <phoneticPr fontId="1" type="noConversion"/>
  </si>
  <si>
    <r>
      <rPr>
        <b/>
        <sz val="10"/>
        <color theme="1"/>
        <rFont val="나눔바른고딕"/>
        <family val="3"/>
        <charset val="129"/>
      </rPr>
      <t>원리금</t>
    </r>
    <phoneticPr fontId="1" type="noConversion"/>
  </si>
  <si>
    <r>
      <t>3.60%</t>
    </r>
    <r>
      <rPr>
        <i/>
        <sz val="10"/>
        <color theme="1"/>
        <rFont val="나눔바른고딕"/>
        <family val="3"/>
        <charset val="129"/>
      </rPr>
      <t>이</t>
    </r>
    <r>
      <rPr>
        <i/>
        <sz val="10"/>
        <color theme="1"/>
        <rFont val="Open Sans"/>
        <family val="2"/>
      </rPr>
      <t xml:space="preserve"> </t>
    </r>
    <r>
      <rPr>
        <i/>
        <sz val="10"/>
        <color theme="1"/>
        <rFont val="나눔바른고딕"/>
        <family val="3"/>
        <charset val="129"/>
      </rPr>
      <t>아닌</t>
    </r>
    <r>
      <rPr>
        <i/>
        <sz val="10"/>
        <color theme="1"/>
        <rFont val="Open Sans"/>
        <family val="2"/>
      </rPr>
      <t xml:space="preserve"> </t>
    </r>
    <r>
      <rPr>
        <i/>
        <sz val="10"/>
        <color theme="1"/>
        <rFont val="나눔바른고딕"/>
        <family val="3"/>
        <charset val="129"/>
      </rPr>
      <t>이유는</t>
    </r>
    <r>
      <rPr>
        <i/>
        <sz val="10"/>
        <color theme="1"/>
        <rFont val="Open Sans"/>
        <family val="2"/>
      </rPr>
      <t xml:space="preserve">, </t>
    </r>
    <r>
      <rPr>
        <i/>
        <sz val="10"/>
        <color theme="1"/>
        <rFont val="나눔바른고딕"/>
        <family val="3"/>
        <charset val="129"/>
      </rPr>
      <t>분기이자율</t>
    </r>
    <r>
      <rPr>
        <i/>
        <sz val="10"/>
        <color theme="1"/>
        <rFont val="Open Sans"/>
        <family val="2"/>
      </rPr>
      <t xml:space="preserve"> 0.9%</t>
    </r>
    <r>
      <rPr>
        <i/>
        <sz val="10"/>
        <color theme="1"/>
        <rFont val="나눔바른고딕"/>
        <family val="3"/>
        <charset val="129"/>
      </rPr>
      <t>가</t>
    </r>
    <r>
      <rPr>
        <i/>
        <sz val="10"/>
        <color theme="1"/>
        <rFont val="Open Sans"/>
        <family val="2"/>
      </rPr>
      <t xml:space="preserve"> </t>
    </r>
    <r>
      <rPr>
        <i/>
        <sz val="10"/>
        <color theme="1"/>
        <rFont val="나눔바른고딕"/>
        <family val="3"/>
        <charset val="129"/>
      </rPr>
      <t>복리로</t>
    </r>
    <r>
      <rPr>
        <i/>
        <sz val="10"/>
        <color theme="1"/>
        <rFont val="Open Sans"/>
        <family val="2"/>
      </rPr>
      <t xml:space="preserve"> </t>
    </r>
    <r>
      <rPr>
        <i/>
        <sz val="10"/>
        <color theme="1"/>
        <rFont val="나눔바른고딕"/>
        <family val="3"/>
        <charset val="129"/>
      </rPr>
      <t>계산됨에</t>
    </r>
    <r>
      <rPr>
        <i/>
        <sz val="10"/>
        <color theme="1"/>
        <rFont val="Open Sans"/>
        <family val="2"/>
      </rPr>
      <t xml:space="preserve"> </t>
    </r>
    <r>
      <rPr>
        <i/>
        <sz val="10"/>
        <color theme="1"/>
        <rFont val="나눔바른고딕"/>
        <family val="3"/>
        <charset val="129"/>
      </rPr>
      <t>따름</t>
    </r>
    <phoneticPr fontId="1" type="noConversion"/>
  </si>
  <si>
    <t>요일</t>
    <phoneticPr fontId="1" type="noConversion"/>
  </si>
  <si>
    <t>펀드보수</t>
    <phoneticPr fontId="1" type="noConversion"/>
  </si>
  <si>
    <t>합계</t>
    <phoneticPr fontId="1" type="noConversion"/>
  </si>
  <si>
    <t>금액</t>
    <phoneticPr fontId="1" type="noConversion"/>
  </si>
  <si>
    <t>구   분</t>
    <phoneticPr fontId="1" type="noConversion"/>
  </si>
  <si>
    <r>
      <rPr>
        <b/>
        <sz val="9"/>
        <color theme="1"/>
        <rFont val="나눔바른고딕"/>
        <family val="3"/>
        <charset val="129"/>
      </rPr>
      <t>운용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</si>
  <si>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총보수</t>
    </r>
    <phoneticPr fontId="1" type="noConversion"/>
  </si>
  <si>
    <r>
      <rPr>
        <b/>
        <sz val="9"/>
        <color theme="1"/>
        <rFont val="나눔바른고딕"/>
        <family val="3"/>
        <charset val="129"/>
      </rPr>
      <t>비율</t>
    </r>
    <phoneticPr fontId="1" type="noConversion"/>
  </si>
  <si>
    <r>
      <rPr>
        <sz val="8"/>
        <color theme="1"/>
        <rFont val="나눔바른고딕"/>
        <family val="3"/>
        <charset val="129"/>
      </rPr>
      <t>백만원</t>
    </r>
    <phoneticPr fontId="1" type="noConversion"/>
  </si>
  <si>
    <r>
      <rPr>
        <b/>
        <sz val="8"/>
        <color theme="1"/>
        <rFont val="나눔바른고딕"/>
        <family val="3"/>
        <charset val="129"/>
      </rPr>
      <t>백만원</t>
    </r>
    <phoneticPr fontId="1" type="noConversion"/>
  </si>
  <si>
    <r>
      <t>1</t>
    </r>
    <r>
      <rPr>
        <b/>
        <sz val="9"/>
        <color theme="1"/>
        <rFont val="돋움"/>
        <family val="3"/>
        <charset val="129"/>
      </rPr>
      <t>종</t>
    </r>
    <r>
      <rPr>
        <b/>
        <sz val="9"/>
        <color theme="1"/>
        <rFont val="Open Sans"/>
        <family val="2"/>
      </rPr>
      <t xml:space="preserve"> </t>
    </r>
    <r>
      <rPr>
        <b/>
        <sz val="9"/>
        <color theme="1"/>
        <rFont val="돋움"/>
        <family val="3"/>
        <charset val="129"/>
      </rPr>
      <t>수익증권</t>
    </r>
    <phoneticPr fontId="1" type="noConversion"/>
  </si>
  <si>
    <r>
      <t>2</t>
    </r>
    <r>
      <rPr>
        <b/>
        <sz val="9"/>
        <rFont val="돋움"/>
        <family val="3"/>
        <charset val="129"/>
      </rPr>
      <t>종수익증권</t>
    </r>
    <phoneticPr fontId="1" type="noConversion"/>
  </si>
  <si>
    <t>연이자율</t>
    <phoneticPr fontId="1" type="noConversion"/>
  </si>
  <si>
    <r>
      <rPr>
        <b/>
        <sz val="9"/>
        <color theme="1"/>
        <rFont val="돋움"/>
        <family val="3"/>
        <charset val="129"/>
      </rPr>
      <t>펀드보수</t>
    </r>
    <r>
      <rPr>
        <b/>
        <sz val="9"/>
        <color theme="1"/>
        <rFont val="Open Sans"/>
        <family val="2"/>
      </rPr>
      <t xml:space="preserve"> </t>
    </r>
    <r>
      <rPr>
        <b/>
        <sz val="9"/>
        <color theme="1"/>
        <rFont val="돋움"/>
        <family val="3"/>
        <charset val="129"/>
      </rPr>
      <t>공제</t>
    </r>
    <r>
      <rPr>
        <b/>
        <sz val="9"/>
        <color theme="1"/>
        <rFont val="Open Sans"/>
        <family val="2"/>
      </rPr>
      <t xml:space="preserve"> </t>
    </r>
    <r>
      <rPr>
        <b/>
        <sz val="9"/>
        <color theme="1"/>
        <rFont val="돋움"/>
        <family val="3"/>
        <charset val="129"/>
      </rPr>
      <t>후</t>
    </r>
    <r>
      <rPr>
        <b/>
        <sz val="9"/>
        <color theme="1"/>
        <rFont val="Open Sans"/>
        <family val="2"/>
      </rPr>
      <t xml:space="preserve"> </t>
    </r>
    <r>
      <rPr>
        <b/>
        <sz val="9"/>
        <color theme="1"/>
        <rFont val="돋움"/>
        <family val="3"/>
        <charset val="129"/>
      </rPr>
      <t>잔여금액</t>
    </r>
    <phoneticPr fontId="1" type="noConversion"/>
  </si>
  <si>
    <t>연도</t>
    <phoneticPr fontId="1" type="noConversion"/>
  </si>
  <si>
    <r>
      <t>조기상환</t>
    </r>
    <r>
      <rPr>
        <b/>
        <sz val="9"/>
        <color theme="1"/>
        <rFont val="맑은 고딕"/>
        <family val="2"/>
        <charset val="129"/>
      </rPr>
      <t xml:space="preserve"> 시 </t>
    </r>
    <r>
      <rPr>
        <b/>
        <sz val="9"/>
        <color theme="1"/>
        <rFont val="Open Sans"/>
        <family val="2"/>
      </rPr>
      <t>IRR (9년</t>
    </r>
    <r>
      <rPr>
        <b/>
        <sz val="9"/>
        <color theme="1"/>
        <rFont val="맑은 고딕"/>
        <family val="2"/>
        <charset val="129"/>
      </rPr>
      <t>)</t>
    </r>
    <phoneticPr fontId="1" type="noConversion"/>
  </si>
  <si>
    <r>
      <t>조기상환</t>
    </r>
    <r>
      <rPr>
        <b/>
        <sz val="9"/>
        <color theme="1"/>
        <rFont val="맑은 고딕"/>
        <family val="2"/>
        <charset val="129"/>
      </rPr>
      <t xml:space="preserve"> 시 </t>
    </r>
    <r>
      <rPr>
        <b/>
        <sz val="9"/>
        <color theme="1"/>
        <rFont val="Open Sans"/>
        <family val="2"/>
      </rPr>
      <t>IRR (12년</t>
    </r>
    <r>
      <rPr>
        <b/>
        <sz val="9"/>
        <color theme="1"/>
        <rFont val="맑은 고딕"/>
        <family val="2"/>
        <charset val="129"/>
      </rPr>
      <t>)</t>
    </r>
    <phoneticPr fontId="1" type="noConversion"/>
  </si>
  <si>
    <t>9년</t>
    <phoneticPr fontId="1" type="noConversion"/>
  </si>
  <si>
    <t>12년</t>
    <phoneticPr fontId="1" type="noConversion"/>
  </si>
  <si>
    <r>
      <rPr>
        <b/>
        <sz val="9"/>
        <color theme="1"/>
        <rFont val="맑은 고딕"/>
        <family val="3"/>
        <charset val="129"/>
      </rPr>
      <t>1종수익증권 조기</t>
    </r>
    <r>
      <rPr>
        <b/>
        <sz val="9"/>
        <color theme="1"/>
        <rFont val="Open Sans"/>
        <family val="3"/>
      </rPr>
      <t xml:space="preserve"> </t>
    </r>
    <r>
      <rPr>
        <b/>
        <sz val="9"/>
        <color theme="1"/>
        <rFont val="맑은 고딕"/>
        <family val="3"/>
        <charset val="129"/>
      </rPr>
      <t>상환</t>
    </r>
    <r>
      <rPr>
        <b/>
        <sz val="9"/>
        <color theme="1"/>
        <rFont val="Open Sans"/>
        <family val="3"/>
      </rPr>
      <t xml:space="preserve"> </t>
    </r>
    <r>
      <rPr>
        <b/>
        <sz val="9"/>
        <color theme="1"/>
        <rFont val="맑은 고딕"/>
        <family val="3"/>
        <charset val="129"/>
      </rPr>
      <t>시</t>
    </r>
    <r>
      <rPr>
        <b/>
        <sz val="9"/>
        <color theme="1"/>
        <rFont val="Open Sans"/>
        <family val="3"/>
      </rPr>
      <t xml:space="preserve"> CF</t>
    </r>
    <phoneticPr fontId="1" type="noConversion"/>
  </si>
  <si>
    <t>잔여대출금</t>
    <phoneticPr fontId="1" type="noConversion"/>
  </si>
  <si>
    <t>조기상환수수료</t>
    <phoneticPr fontId="1" type="noConversion"/>
  </si>
  <si>
    <r>
      <rPr>
        <i/>
        <sz val="10"/>
        <color theme="1"/>
        <rFont val="나눔바른고딕"/>
        <family val="3"/>
        <charset val="129"/>
      </rPr>
      <t>분기이자율이</t>
    </r>
    <r>
      <rPr>
        <i/>
        <sz val="10"/>
        <color theme="1"/>
        <rFont val="Open Sans"/>
        <family val="2"/>
      </rPr>
      <t xml:space="preserve"> </t>
    </r>
    <r>
      <rPr>
        <i/>
        <sz val="10"/>
        <color theme="1"/>
        <rFont val="나눔바른고딕"/>
        <family val="3"/>
        <charset val="129"/>
      </rPr>
      <t>복리로</t>
    </r>
    <r>
      <rPr>
        <i/>
        <sz val="10"/>
        <color theme="1"/>
        <rFont val="Open Sans"/>
        <family val="2"/>
      </rPr>
      <t xml:space="preserve"> </t>
    </r>
    <r>
      <rPr>
        <i/>
        <sz val="10"/>
        <color theme="1"/>
        <rFont val="나눔바른고딕"/>
        <family val="3"/>
        <charset val="129"/>
      </rPr>
      <t>계산됨에</t>
    </r>
    <r>
      <rPr>
        <i/>
        <sz val="10"/>
        <color theme="1"/>
        <rFont val="Open Sans"/>
        <family val="2"/>
      </rPr>
      <t xml:space="preserve"> </t>
    </r>
    <r>
      <rPr>
        <i/>
        <sz val="10"/>
        <color theme="1"/>
        <rFont val="나눔바른고딕"/>
        <family val="3"/>
        <charset val="129"/>
      </rPr>
      <t>따라</t>
    </r>
    <r>
      <rPr>
        <i/>
        <sz val="10"/>
        <color theme="1"/>
        <rFont val="Open Sans"/>
        <family val="2"/>
      </rPr>
      <t xml:space="preserve"> 3.40%</t>
    </r>
    <r>
      <rPr>
        <i/>
        <sz val="10"/>
        <color theme="1"/>
        <rFont val="나눔바른고딕"/>
        <family val="3"/>
        <charset val="129"/>
      </rPr>
      <t>와</t>
    </r>
    <r>
      <rPr>
        <i/>
        <sz val="10"/>
        <color theme="1"/>
        <rFont val="Open Sans"/>
        <family val="2"/>
      </rPr>
      <t xml:space="preserve"> </t>
    </r>
    <r>
      <rPr>
        <i/>
        <sz val="10"/>
        <color theme="1"/>
        <rFont val="나눔바른고딕"/>
        <family val="3"/>
        <charset val="129"/>
      </rPr>
      <t>차이</t>
    </r>
    <r>
      <rPr>
        <i/>
        <sz val="10"/>
        <color theme="1"/>
        <rFont val="Open Sans"/>
        <family val="2"/>
      </rPr>
      <t xml:space="preserve"> </t>
    </r>
    <r>
      <rPr>
        <i/>
        <sz val="10"/>
        <color theme="1"/>
        <rFont val="나눔바른고딕"/>
        <family val="3"/>
        <charset val="129"/>
      </rPr>
      <t>발생</t>
    </r>
    <phoneticPr fontId="1" type="noConversion"/>
  </si>
  <si>
    <r>
      <rPr>
        <b/>
        <sz val="10"/>
        <color theme="1"/>
        <rFont val="나눔바른고딕"/>
        <family val="3"/>
        <charset val="129"/>
      </rPr>
      <t>회차</t>
    </r>
    <r>
      <rPr>
        <b/>
        <sz val="10"/>
        <color theme="1"/>
        <rFont val="Open Sans"/>
        <family val="2"/>
      </rPr>
      <t xml:space="preserve"> (</t>
    </r>
    <r>
      <rPr>
        <b/>
        <sz val="10"/>
        <color theme="1"/>
        <rFont val="나눔바른고딕"/>
        <family val="3"/>
        <charset val="129"/>
      </rPr>
      <t>실제</t>
    </r>
    <r>
      <rPr>
        <b/>
        <sz val="10"/>
        <color theme="1"/>
        <rFont val="Open Sans"/>
        <family val="2"/>
      </rPr>
      <t>)</t>
    </r>
    <phoneticPr fontId="1" type="noConversion"/>
  </si>
  <si>
    <r>
      <rPr>
        <b/>
        <sz val="10"/>
        <color theme="1"/>
        <rFont val="나눔바른고딕"/>
        <family val="3"/>
        <charset val="129"/>
      </rPr>
      <t>회차</t>
    </r>
    <r>
      <rPr>
        <b/>
        <sz val="10"/>
        <color theme="1"/>
        <rFont val="Open Sans"/>
        <family val="2"/>
      </rPr>
      <t xml:space="preserve"> (</t>
    </r>
    <r>
      <rPr>
        <b/>
        <sz val="10"/>
        <color theme="1"/>
        <rFont val="나눔바른고딕"/>
        <family val="3"/>
        <charset val="129"/>
      </rPr>
      <t>계산용</t>
    </r>
    <r>
      <rPr>
        <b/>
        <sz val="10"/>
        <color theme="1"/>
        <rFont val="Open Sans"/>
        <family val="2"/>
      </rPr>
      <t>)</t>
    </r>
    <phoneticPr fontId="1" type="noConversion"/>
  </si>
  <si>
    <t>1종수익증권 조기상환 (9년)</t>
    <phoneticPr fontId="1" type="noConversion"/>
  </si>
  <si>
    <t>1종수익증권 조기상환 (12년)</t>
    <phoneticPr fontId="1" type="noConversion"/>
  </si>
  <si>
    <t>잔여대출금액</t>
    <phoneticPr fontId="1" type="noConversion"/>
  </si>
  <si>
    <r>
      <t>원금</t>
    </r>
    <r>
      <rPr>
        <sz val="10"/>
        <color theme="1"/>
        <rFont val="돋움"/>
        <family val="2"/>
        <charset val="129"/>
      </rPr>
      <t xml:space="preserve"> 검증</t>
    </r>
    <phoneticPr fontId="1" type="noConversion"/>
  </si>
  <si>
    <t>원금 검증</t>
    <phoneticPr fontId="1" type="noConversion"/>
  </si>
  <si>
    <t>조기상환시 IRR (9년)</t>
    <phoneticPr fontId="1" type="noConversion"/>
  </si>
  <si>
    <t>조기상환시 IRR (12년)</t>
    <phoneticPr fontId="1" type="noConversion"/>
  </si>
  <si>
    <t>조정금액</t>
    <phoneticPr fontId="1" type="noConversion"/>
  </si>
  <si>
    <t>2차 조정금액</t>
    <phoneticPr fontId="1" type="noConversion"/>
  </si>
  <si>
    <r>
      <t>1차</t>
    </r>
    <r>
      <rPr>
        <sz val="9"/>
        <color theme="1"/>
        <rFont val="돋움"/>
        <family val="2"/>
        <charset val="129"/>
      </rPr>
      <t xml:space="preserve"> 조정금액</t>
    </r>
    <phoneticPr fontId="1" type="noConversion"/>
  </si>
  <si>
    <r>
      <t>1차</t>
    </r>
    <r>
      <rPr>
        <b/>
        <sz val="9"/>
        <color theme="1"/>
        <rFont val="돋움"/>
        <family val="2"/>
        <charset val="129"/>
      </rPr>
      <t xml:space="preserve"> 조정금액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</si>
</sst>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₩&quot;#,##0;[Red]\-&quot;₩&quot;#,##0"/>
    <numFmt numFmtId="8" formatCode="&quot;₩&quot;#,##0.00;[Red]\-&quot;₩&quot;#,##0.00"/>
    <numFmt numFmtId="41" formatCode="_-* #,##0_-;\-* #,##0_-;_-* &quot;-&quot;_-;_-@_-"/>
    <numFmt numFmtId="43" formatCode="_-* #,##0.00_-;\-* #,##0.00_-;_-* &quot;-&quot;??_-;_-@_-"/>
    <numFmt numFmtId="176" formatCode="0.0%"/>
    <numFmt numFmtId="177" formatCode="#,##0.00000"/>
    <numFmt numFmtId="178" formatCode="0.000%"/>
    <numFmt numFmtId="179" formatCode="#,##0_ "/>
    <numFmt numFmtId="180" formatCode="0.0000%"/>
    <numFmt numFmtId="181" formatCode="#,##0.000"/>
    <numFmt numFmtId="182" formatCode="_-* #,##0.0000000_-;\-* #,##0.0000000_-;_-* &quot;-&quot;_-;_-@_-"/>
    <numFmt numFmtId="183" formatCode="_-* #,##0.000000_-;\-* #,##0.000000_-;_-* &quot;-&quot;??_-;_-@_-"/>
    <numFmt numFmtId="184" formatCode="0.0000000000_ "/>
    <numFmt numFmtId="185" formatCode="0.0000000E+00"/>
    <numFmt numFmtId="186" formatCode="0.00000%"/>
    <numFmt numFmtId="187" formatCode="0.00000000%"/>
    <numFmt numFmtId="188" formatCode="#,##0_);[Red]\(#,##0\)"/>
    <numFmt numFmtId="189" formatCode="_-* #,##0.00_-;\-* #,##0.00_-;_-* &quot;-&quot;_-;_-@_-"/>
  </numFmts>
  <fonts count="3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Open Sans"/>
      <family val="2"/>
    </font>
    <font>
      <b/>
      <sz val="9"/>
      <color theme="0"/>
      <name val="Open Sans"/>
      <family val="2"/>
    </font>
    <font>
      <b/>
      <sz val="9"/>
      <color theme="0"/>
      <name val="나눔바른고딕"/>
      <family val="3"/>
      <charset val="129"/>
    </font>
    <font>
      <b/>
      <sz val="9"/>
      <color theme="1"/>
      <name val="Open Sans"/>
      <family val="2"/>
    </font>
    <font>
      <b/>
      <sz val="9"/>
      <color theme="1"/>
      <name val="나눔바른고딕"/>
      <family val="3"/>
      <charset val="129"/>
    </font>
    <font>
      <sz val="9"/>
      <color theme="1"/>
      <name val="나눔바른고딕"/>
      <family val="3"/>
      <charset val="129"/>
    </font>
    <font>
      <sz val="9"/>
      <color theme="0"/>
      <name val="Open Sans"/>
      <family val="2"/>
    </font>
    <font>
      <sz val="9"/>
      <color theme="0"/>
      <name val="나눔바른고딕"/>
      <family val="3"/>
      <charset val="129"/>
    </font>
    <font>
      <b/>
      <u/>
      <sz val="9"/>
      <color theme="1"/>
      <name val="Open Sans"/>
      <family val="2"/>
    </font>
    <font>
      <b/>
      <u/>
      <sz val="9"/>
      <color theme="1"/>
      <name val="나눔바른고딕"/>
      <family val="3"/>
      <charset val="129"/>
    </font>
    <font>
      <b/>
      <sz val="9"/>
      <name val="Open Sans"/>
      <family val="2"/>
    </font>
    <font>
      <sz val="10"/>
      <color theme="1"/>
      <name val="Open Sans"/>
      <family val="2"/>
    </font>
    <font>
      <sz val="10"/>
      <color theme="1"/>
      <name val="나눔바른고딕"/>
      <family val="3"/>
      <charset val="129"/>
    </font>
    <font>
      <b/>
      <sz val="10"/>
      <color theme="1"/>
      <name val="Open Sans"/>
      <family val="2"/>
    </font>
    <font>
      <b/>
      <sz val="10"/>
      <color theme="1"/>
      <name val="나눔바른고딕"/>
      <family val="3"/>
      <charset val="129"/>
    </font>
    <font>
      <i/>
      <sz val="10"/>
      <color theme="1"/>
      <name val="Open Sans"/>
      <family val="2"/>
    </font>
    <font>
      <i/>
      <sz val="10"/>
      <color theme="1"/>
      <name val="나눔바른고딕"/>
      <family val="3"/>
      <charset val="129"/>
    </font>
    <font>
      <sz val="9"/>
      <color rgb="FFFF0000"/>
      <name val="Open Sans"/>
      <family val="2"/>
    </font>
    <font>
      <b/>
      <sz val="9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sz val="8"/>
      <color theme="1"/>
      <name val="Open Sans"/>
      <family val="2"/>
    </font>
    <font>
      <sz val="8"/>
      <color theme="1"/>
      <name val="나눔바른고딕"/>
      <family val="3"/>
      <charset val="129"/>
    </font>
    <font>
      <b/>
      <sz val="8"/>
      <color theme="1"/>
      <name val="Open Sans"/>
      <family val="2"/>
    </font>
    <font>
      <b/>
      <sz val="8"/>
      <color theme="1"/>
      <name val="나눔바른고딕"/>
      <family val="3"/>
      <charset val="129"/>
    </font>
    <font>
      <b/>
      <sz val="9"/>
      <name val="돋움"/>
      <family val="3"/>
      <charset val="129"/>
    </font>
    <font>
      <sz val="9"/>
      <color theme="1"/>
      <name val="돋움"/>
      <family val="2"/>
      <charset val="129"/>
    </font>
    <font>
      <b/>
      <sz val="9"/>
      <color theme="1"/>
      <name val="Open Sans"/>
      <family val="3"/>
      <charset val="129"/>
    </font>
    <font>
      <b/>
      <sz val="9"/>
      <color theme="1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b/>
      <sz val="9"/>
      <color theme="1"/>
      <name val="Open Sans"/>
      <family val="3"/>
    </font>
    <font>
      <sz val="10"/>
      <color theme="1"/>
      <name val="맑은 고딕"/>
      <family val="2"/>
      <charset val="129"/>
    </font>
    <font>
      <sz val="10"/>
      <color theme="1"/>
      <name val="돋움"/>
      <family val="2"/>
      <charset val="129"/>
    </font>
    <font>
      <sz val="9"/>
      <name val="Open Sans"/>
      <family val="2"/>
    </font>
    <font>
      <b/>
      <sz val="9"/>
      <color theme="1"/>
      <name val="돋움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5787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22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3" fontId="3" fillId="0" borderId="5" xfId="0" applyNumberFormat="1" applyFont="1" applyBorder="1">
      <alignment vertical="center"/>
    </xf>
    <xf numFmtId="3" fontId="3" fillId="0" borderId="0" xfId="0" applyNumberFormat="1" applyFont="1">
      <alignment vertical="center"/>
    </xf>
    <xf numFmtId="176" fontId="3" fillId="0" borderId="5" xfId="0" applyNumberFormat="1" applyFont="1" applyBorder="1">
      <alignment vertical="center"/>
    </xf>
    <xf numFmtId="0" fontId="6" fillId="0" borderId="0" xfId="0" applyFont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7" xfId="0" applyFont="1" applyBorder="1" applyAlignment="1">
      <alignment horizontal="center" vertical="center"/>
    </xf>
    <xf numFmtId="3" fontId="3" fillId="0" borderId="3" xfId="0" applyNumberFormat="1" applyFont="1" applyBorder="1">
      <alignment vertical="center"/>
    </xf>
    <xf numFmtId="3" fontId="3" fillId="0" borderId="0" xfId="0" applyNumberFormat="1" applyFont="1" applyBorder="1">
      <alignment vertical="center"/>
    </xf>
    <xf numFmtId="3" fontId="3" fillId="0" borderId="11" xfId="0" applyNumberFormat="1" applyFont="1" applyBorder="1">
      <alignment vertical="center"/>
    </xf>
    <xf numFmtId="3" fontId="3" fillId="0" borderId="12" xfId="0" applyNumberFormat="1" applyFont="1" applyBorder="1">
      <alignment vertical="center"/>
    </xf>
    <xf numFmtId="0" fontId="9" fillId="4" borderId="3" xfId="0" applyFont="1" applyFill="1" applyBorder="1">
      <alignment vertical="center"/>
    </xf>
    <xf numFmtId="0" fontId="3" fillId="4" borderId="0" xfId="0" applyFont="1" applyFill="1">
      <alignment vertical="center"/>
    </xf>
    <xf numFmtId="0" fontId="11" fillId="0" borderId="7" xfId="0" applyFont="1" applyBorder="1" applyAlignment="1">
      <alignment horizontal="left" vertical="center"/>
    </xf>
    <xf numFmtId="177" fontId="3" fillId="0" borderId="0" xfId="0" applyNumberFormat="1" applyFont="1">
      <alignment vertical="center"/>
    </xf>
    <xf numFmtId="0" fontId="3" fillId="0" borderId="11" xfId="0" applyFont="1" applyBorder="1">
      <alignment vertical="center"/>
    </xf>
    <xf numFmtId="177" fontId="3" fillId="0" borderId="12" xfId="0" applyNumberFormat="1" applyFont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Fill="1">
      <alignment vertical="center"/>
    </xf>
    <xf numFmtId="3" fontId="3" fillId="0" borderId="0" xfId="0" applyNumberFormat="1" applyFont="1" applyFill="1">
      <alignment vertical="center"/>
    </xf>
    <xf numFmtId="179" fontId="3" fillId="0" borderId="0" xfId="0" applyNumberFormat="1" applyFont="1" applyFill="1">
      <alignment vertical="center"/>
    </xf>
    <xf numFmtId="10" fontId="3" fillId="0" borderId="0" xfId="1" applyNumberFormat="1" applyFont="1">
      <alignment vertical="center"/>
    </xf>
    <xf numFmtId="43" fontId="3" fillId="0" borderId="0" xfId="0" applyNumberFormat="1" applyFont="1">
      <alignment vertical="center"/>
    </xf>
    <xf numFmtId="0" fontId="6" fillId="0" borderId="6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3" fillId="0" borderId="3" xfId="0" applyFont="1" applyFill="1" applyBorder="1">
      <alignment vertical="center"/>
    </xf>
    <xf numFmtId="182" fontId="3" fillId="0" borderId="0" xfId="0" applyNumberFormat="1" applyFont="1">
      <alignment vertical="center"/>
    </xf>
    <xf numFmtId="183" fontId="3" fillId="0" borderId="0" xfId="0" applyNumberFormat="1" applyFont="1">
      <alignment vertical="center"/>
    </xf>
    <xf numFmtId="14" fontId="3" fillId="0" borderId="0" xfId="0" applyNumberFormat="1" applyFont="1" applyFill="1">
      <alignment vertical="center"/>
    </xf>
    <xf numFmtId="178" fontId="3" fillId="3" borderId="0" xfId="1" applyNumberFormat="1" applyFont="1" applyFill="1">
      <alignment vertical="center"/>
    </xf>
    <xf numFmtId="179" fontId="3" fillId="0" borderId="0" xfId="0" applyNumberFormat="1" applyFont="1" applyBorder="1">
      <alignment vertical="center"/>
    </xf>
    <xf numFmtId="0" fontId="6" fillId="5" borderId="0" xfId="0" applyFont="1" applyFill="1" applyAlignment="1">
      <alignment horizontal="center" vertical="center"/>
    </xf>
    <xf numFmtId="179" fontId="3" fillId="5" borderId="0" xfId="0" applyNumberFormat="1" applyFont="1" applyFill="1">
      <alignment vertical="center"/>
    </xf>
    <xf numFmtId="0" fontId="3" fillId="5" borderId="0" xfId="0" applyFont="1" applyFill="1">
      <alignment vertical="center"/>
    </xf>
    <xf numFmtId="41" fontId="3" fillId="5" borderId="0" xfId="2" applyFont="1" applyFill="1">
      <alignment vertical="center"/>
    </xf>
    <xf numFmtId="2" fontId="3" fillId="5" borderId="0" xfId="0" applyNumberFormat="1" applyFont="1" applyFill="1">
      <alignment vertical="center"/>
    </xf>
    <xf numFmtId="178" fontId="3" fillId="5" borderId="0" xfId="1" applyNumberFormat="1" applyFont="1" applyFill="1">
      <alignment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179" fontId="3" fillId="6" borderId="0" xfId="0" applyNumberFormat="1" applyFont="1" applyFill="1">
      <alignment vertical="center"/>
    </xf>
    <xf numFmtId="0" fontId="3" fillId="6" borderId="0" xfId="0" applyFont="1" applyFill="1">
      <alignment vertical="center"/>
    </xf>
    <xf numFmtId="41" fontId="3" fillId="6" borderId="0" xfId="2" applyFont="1" applyFill="1">
      <alignment vertical="center"/>
    </xf>
    <xf numFmtId="178" fontId="3" fillId="6" borderId="0" xfId="1" applyNumberFormat="1" applyFont="1" applyFill="1">
      <alignment vertical="center"/>
    </xf>
    <xf numFmtId="0" fontId="6" fillId="7" borderId="0" xfId="0" applyFont="1" applyFill="1" applyBorder="1" applyAlignment="1">
      <alignment horizontal="center" vertical="center"/>
    </xf>
    <xf numFmtId="3" fontId="3" fillId="7" borderId="0" xfId="0" applyNumberFormat="1" applyFont="1" applyFill="1">
      <alignment vertical="center"/>
    </xf>
    <xf numFmtId="180" fontId="3" fillId="7" borderId="0" xfId="0" applyNumberFormat="1" applyFont="1" applyFill="1">
      <alignment vertical="center"/>
    </xf>
    <xf numFmtId="4" fontId="3" fillId="7" borderId="0" xfId="0" applyNumberFormat="1" applyFont="1" applyFill="1">
      <alignment vertical="center"/>
    </xf>
    <xf numFmtId="180" fontId="3" fillId="7" borderId="0" xfId="1" applyNumberFormat="1" applyFont="1" applyFill="1">
      <alignment vertical="center"/>
    </xf>
    <xf numFmtId="0" fontId="6" fillId="0" borderId="0" xfId="0" applyFont="1" applyBorder="1">
      <alignment vertical="center"/>
    </xf>
    <xf numFmtId="14" fontId="3" fillId="8" borderId="0" xfId="0" applyNumberFormat="1" applyFont="1" applyFill="1">
      <alignment vertical="center"/>
    </xf>
    <xf numFmtId="0" fontId="3" fillId="8" borderId="0" xfId="0" applyFont="1" applyFill="1">
      <alignment vertical="center"/>
    </xf>
    <xf numFmtId="3" fontId="3" fillId="8" borderId="0" xfId="0" applyNumberFormat="1" applyFont="1" applyFill="1">
      <alignment vertical="center"/>
    </xf>
    <xf numFmtId="178" fontId="3" fillId="8" borderId="0" xfId="1" applyNumberFormat="1" applyFont="1" applyFill="1">
      <alignment vertical="center"/>
    </xf>
    <xf numFmtId="4" fontId="3" fillId="8" borderId="0" xfId="0" applyNumberFormat="1" applyFont="1" applyFill="1">
      <alignment vertical="center"/>
    </xf>
    <xf numFmtId="180" fontId="3" fillId="8" borderId="0" xfId="1" applyNumberFormat="1" applyFont="1" applyFill="1">
      <alignment vertical="center"/>
    </xf>
    <xf numFmtId="179" fontId="3" fillId="8" borderId="0" xfId="0" applyNumberFormat="1" applyFont="1" applyFill="1">
      <alignment vertical="center"/>
    </xf>
    <xf numFmtId="41" fontId="3" fillId="8" borderId="0" xfId="2" applyFont="1" applyFill="1">
      <alignment vertical="center"/>
    </xf>
    <xf numFmtId="2" fontId="3" fillId="8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176" fontId="3" fillId="8" borderId="0" xfId="0" applyNumberFormat="1" applyFont="1" applyFill="1">
      <alignment vertical="center"/>
    </xf>
    <xf numFmtId="178" fontId="3" fillId="0" borderId="0" xfId="0" applyNumberFormat="1" applyFont="1">
      <alignment vertical="center"/>
    </xf>
    <xf numFmtId="176" fontId="3" fillId="0" borderId="0" xfId="0" applyNumberFormat="1" applyFont="1" applyFill="1">
      <alignment vertical="center"/>
    </xf>
    <xf numFmtId="185" fontId="3" fillId="0" borderId="0" xfId="0" applyNumberFormat="1" applyFont="1">
      <alignment vertical="center"/>
    </xf>
    <xf numFmtId="0" fontId="6" fillId="7" borderId="1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7" borderId="0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80" fontId="3" fillId="0" borderId="0" xfId="0" applyNumberFormat="1" applyFont="1">
      <alignment vertical="center"/>
    </xf>
    <xf numFmtId="187" fontId="3" fillId="0" borderId="0" xfId="0" applyNumberFormat="1" applyFont="1">
      <alignment vertical="center"/>
    </xf>
    <xf numFmtId="0" fontId="14" fillId="0" borderId="0" xfId="0" applyFont="1">
      <alignment vertical="center"/>
    </xf>
    <xf numFmtId="3" fontId="14" fillId="0" borderId="5" xfId="0" applyNumberFormat="1" applyFont="1" applyBorder="1">
      <alignment vertical="center"/>
    </xf>
    <xf numFmtId="3" fontId="14" fillId="0" borderId="0" xfId="0" applyNumberFormat="1" applyFont="1">
      <alignment vertical="center"/>
    </xf>
    <xf numFmtId="10" fontId="14" fillId="0" borderId="5" xfId="0" applyNumberFormat="1" applyFont="1" applyBorder="1">
      <alignment vertical="center"/>
    </xf>
    <xf numFmtId="176" fontId="14" fillId="0" borderId="5" xfId="0" applyNumberFormat="1" applyFont="1" applyBorder="1">
      <alignment vertical="center"/>
    </xf>
    <xf numFmtId="0" fontId="16" fillId="0" borderId="7" xfId="0" applyFont="1" applyFill="1" applyBorder="1" applyAlignment="1">
      <alignment horizontal="right" vertical="center"/>
    </xf>
    <xf numFmtId="0" fontId="16" fillId="0" borderId="7" xfId="0" applyFont="1" applyBorder="1" applyAlignment="1">
      <alignment horizontal="right" vertical="center"/>
    </xf>
    <xf numFmtId="14" fontId="14" fillId="0" borderId="0" xfId="0" applyNumberFormat="1" applyFont="1">
      <alignment vertical="center"/>
    </xf>
    <xf numFmtId="6" fontId="14" fillId="0" borderId="0" xfId="0" applyNumberFormat="1" applyFont="1">
      <alignment vertical="center"/>
    </xf>
    <xf numFmtId="186" fontId="14" fillId="0" borderId="0" xfId="0" applyNumberFormat="1" applyFont="1">
      <alignment vertical="center"/>
    </xf>
    <xf numFmtId="180" fontId="14" fillId="0" borderId="0" xfId="0" applyNumberFormat="1" applyFont="1">
      <alignment vertical="center"/>
    </xf>
    <xf numFmtId="0" fontId="16" fillId="0" borderId="1" xfId="0" applyFont="1" applyFill="1" applyBorder="1">
      <alignment vertical="center"/>
    </xf>
    <xf numFmtId="0" fontId="18" fillId="0" borderId="0" xfId="0" applyFont="1" applyAlignment="1">
      <alignment horizontal="left" vertical="center" indent="1"/>
    </xf>
    <xf numFmtId="178" fontId="16" fillId="10" borderId="14" xfId="0" applyNumberFormat="1" applyFont="1" applyFill="1" applyBorder="1">
      <alignment vertical="center"/>
    </xf>
    <xf numFmtId="0" fontId="6" fillId="0" borderId="0" xfId="0" applyFont="1" applyBorder="1" applyAlignment="1">
      <alignment horizontal="right" vertical="center"/>
    </xf>
    <xf numFmtId="14" fontId="3" fillId="0" borderId="0" xfId="0" applyNumberFormat="1" applyFont="1" applyFill="1" applyAlignment="1">
      <alignment horizontal="center" vertical="center"/>
    </xf>
    <xf numFmtId="14" fontId="3" fillId="8" borderId="0" xfId="0" applyNumberFormat="1" applyFont="1" applyFill="1" applyAlignment="1">
      <alignment horizontal="center" vertical="center"/>
    </xf>
    <xf numFmtId="14" fontId="20" fillId="0" borderId="0" xfId="0" applyNumberFormat="1" applyFont="1" applyFill="1" applyAlignment="1">
      <alignment horizontal="center" vertical="center"/>
    </xf>
    <xf numFmtId="14" fontId="20" fillId="8" borderId="0" xfId="0" applyNumberFormat="1" applyFont="1" applyFill="1" applyAlignment="1">
      <alignment horizontal="center" vertical="center"/>
    </xf>
    <xf numFmtId="4" fontId="6" fillId="0" borderId="0" xfId="0" applyNumberFormat="1" applyFont="1" applyBorder="1">
      <alignment vertical="center"/>
    </xf>
    <xf numFmtId="0" fontId="6" fillId="0" borderId="7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" fontId="16" fillId="0" borderId="0" xfId="0" applyNumberFormat="1" applyFont="1" applyBorder="1">
      <alignment vertical="center"/>
    </xf>
    <xf numFmtId="0" fontId="16" fillId="0" borderId="0" xfId="0" applyFont="1">
      <alignment vertical="center"/>
    </xf>
    <xf numFmtId="3" fontId="16" fillId="0" borderId="0" xfId="0" applyNumberFormat="1" applyFont="1">
      <alignment vertical="center"/>
    </xf>
    <xf numFmtId="180" fontId="16" fillId="0" borderId="0" xfId="0" applyNumberFormat="1" applyFont="1">
      <alignment vertical="center"/>
    </xf>
    <xf numFmtId="184" fontId="16" fillId="0" borderId="0" xfId="0" applyNumberFormat="1" applyFont="1">
      <alignment vertical="center"/>
    </xf>
    <xf numFmtId="0" fontId="6" fillId="0" borderId="18" xfId="0" applyFont="1" applyBorder="1" applyAlignment="1">
      <alignment horizontal="center" vertical="center"/>
    </xf>
    <xf numFmtId="178" fontId="6" fillId="0" borderId="19" xfId="0" applyNumberFormat="1" applyFont="1" applyBorder="1">
      <alignment vertical="center"/>
    </xf>
    <xf numFmtId="0" fontId="6" fillId="11" borderId="20" xfId="0" applyFont="1" applyFill="1" applyBorder="1" applyAlignment="1">
      <alignment horizontal="center" vertical="center"/>
    </xf>
    <xf numFmtId="178" fontId="6" fillId="11" borderId="21" xfId="0" applyNumberFormat="1" applyFont="1" applyFill="1" applyBorder="1">
      <alignment vertical="center"/>
    </xf>
    <xf numFmtId="43" fontId="20" fillId="5" borderId="0" xfId="0" applyNumberFormat="1" applyFont="1" applyFill="1">
      <alignment vertical="center"/>
    </xf>
    <xf numFmtId="0" fontId="27" fillId="5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2" fontId="3" fillId="0" borderId="0" xfId="0" applyNumberFormat="1" applyFont="1" applyFill="1">
      <alignment vertical="center"/>
    </xf>
    <xf numFmtId="179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3" fontId="28" fillId="0" borderId="0" xfId="0" applyNumberFormat="1" applyFont="1" applyAlignment="1">
      <alignment horizontal="center" vertical="center"/>
    </xf>
    <xf numFmtId="0" fontId="14" fillId="12" borderId="0" xfId="0" applyFont="1" applyFill="1">
      <alignment vertical="center"/>
    </xf>
    <xf numFmtId="0" fontId="16" fillId="12" borderId="1" xfId="0" applyFont="1" applyFill="1" applyBorder="1">
      <alignment vertical="center"/>
    </xf>
    <xf numFmtId="0" fontId="16" fillId="12" borderId="7" xfId="0" applyFont="1" applyFill="1" applyBorder="1" applyAlignment="1">
      <alignment horizontal="right" vertical="center"/>
    </xf>
    <xf numFmtId="6" fontId="14" fillId="12" borderId="0" xfId="0" applyNumberFormat="1" applyFont="1" applyFill="1">
      <alignment vertical="center"/>
    </xf>
    <xf numFmtId="0" fontId="14" fillId="13" borderId="0" xfId="0" applyFont="1" applyFill="1">
      <alignment vertical="center"/>
    </xf>
    <xf numFmtId="0" fontId="16" fillId="13" borderId="1" xfId="0" applyFont="1" applyFill="1" applyBorder="1">
      <alignment vertical="center"/>
    </xf>
    <xf numFmtId="0" fontId="22" fillId="13" borderId="7" xfId="0" applyFont="1" applyFill="1" applyBorder="1" applyAlignment="1">
      <alignment horizontal="right" vertical="center"/>
    </xf>
    <xf numFmtId="0" fontId="16" fillId="13" borderId="7" xfId="0" applyFont="1" applyFill="1" applyBorder="1" applyAlignment="1">
      <alignment horizontal="right" vertical="center"/>
    </xf>
    <xf numFmtId="6" fontId="14" fillId="13" borderId="0" xfId="0" applyNumberFormat="1" applyFont="1" applyFill="1">
      <alignment vertical="center"/>
    </xf>
    <xf numFmtId="0" fontId="33" fillId="13" borderId="0" xfId="0" applyFont="1" applyFill="1">
      <alignment vertical="center"/>
    </xf>
    <xf numFmtId="8" fontId="14" fillId="13" borderId="0" xfId="0" applyNumberFormat="1" applyFont="1" applyFill="1">
      <alignment vertical="center"/>
    </xf>
    <xf numFmtId="0" fontId="14" fillId="5" borderId="0" xfId="0" applyFont="1" applyFill="1">
      <alignment vertical="center"/>
    </xf>
    <xf numFmtId="0" fontId="16" fillId="5" borderId="1" xfId="0" applyFont="1" applyFill="1" applyBorder="1">
      <alignment vertical="center"/>
    </xf>
    <xf numFmtId="0" fontId="22" fillId="5" borderId="7" xfId="0" applyFont="1" applyFill="1" applyBorder="1" applyAlignment="1">
      <alignment horizontal="right" vertical="center"/>
    </xf>
    <xf numFmtId="0" fontId="16" fillId="5" borderId="7" xfId="0" applyFont="1" applyFill="1" applyBorder="1" applyAlignment="1">
      <alignment horizontal="right" vertical="center"/>
    </xf>
    <xf numFmtId="6" fontId="14" fillId="5" borderId="0" xfId="0" applyNumberFormat="1" applyFont="1" applyFill="1">
      <alignment vertical="center"/>
    </xf>
    <xf numFmtId="0" fontId="33" fillId="5" borderId="0" xfId="0" applyFont="1" applyFill="1">
      <alignment vertical="center"/>
    </xf>
    <xf numFmtId="8" fontId="14" fillId="5" borderId="0" xfId="0" applyNumberFormat="1" applyFont="1" applyFill="1">
      <alignment vertical="center"/>
    </xf>
    <xf numFmtId="0" fontId="34" fillId="13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0" fontId="3" fillId="0" borderId="0" xfId="1" applyNumberFormat="1" applyFont="1" applyFill="1">
      <alignment vertical="center"/>
    </xf>
    <xf numFmtId="176" fontId="3" fillId="0" borderId="0" xfId="1" applyNumberFormat="1" applyFont="1" applyFill="1">
      <alignment vertical="center"/>
    </xf>
    <xf numFmtId="10" fontId="20" fillId="8" borderId="0" xfId="1" applyNumberFormat="1" applyFont="1" applyFill="1">
      <alignment vertical="center"/>
    </xf>
    <xf numFmtId="10" fontId="20" fillId="8" borderId="0" xfId="0" applyNumberFormat="1" applyFont="1" applyFill="1">
      <alignment vertical="center"/>
    </xf>
    <xf numFmtId="176" fontId="20" fillId="0" borderId="0" xfId="0" applyNumberFormat="1" applyFont="1" applyFill="1">
      <alignment vertical="center"/>
    </xf>
    <xf numFmtId="176" fontId="20" fillId="8" borderId="0" xfId="1" applyNumberFormat="1" applyFont="1" applyFill="1">
      <alignment vertical="center"/>
    </xf>
    <xf numFmtId="176" fontId="20" fillId="0" borderId="0" xfId="1" applyNumberFormat="1" applyFont="1" applyFill="1">
      <alignment vertical="center"/>
    </xf>
    <xf numFmtId="176" fontId="20" fillId="8" borderId="0" xfId="0" applyNumberFormat="1" applyFont="1" applyFill="1">
      <alignment vertical="center"/>
    </xf>
    <xf numFmtId="10" fontId="3" fillId="8" borderId="0" xfId="1" applyNumberFormat="1" applyFont="1" applyFill="1">
      <alignment vertical="center"/>
    </xf>
    <xf numFmtId="176" fontId="3" fillId="8" borderId="0" xfId="1" applyNumberFormat="1" applyFont="1" applyFill="1">
      <alignment vertical="center"/>
    </xf>
    <xf numFmtId="176" fontId="20" fillId="7" borderId="0" xfId="0" applyNumberFormat="1" applyFont="1" applyFill="1">
      <alignment vertical="center"/>
    </xf>
    <xf numFmtId="176" fontId="20" fillId="7" borderId="0" xfId="1" applyNumberFormat="1" applyFont="1" applyFill="1">
      <alignment vertical="center"/>
    </xf>
    <xf numFmtId="179" fontId="3" fillId="0" borderId="0" xfId="1" applyNumberFormat="1" applyFont="1" applyBorder="1">
      <alignment vertical="center"/>
    </xf>
    <xf numFmtId="188" fontId="3" fillId="5" borderId="0" xfId="0" applyNumberFormat="1" applyFont="1" applyFill="1">
      <alignment vertical="center"/>
    </xf>
    <xf numFmtId="188" fontId="3" fillId="8" borderId="0" xfId="0" applyNumberFormat="1" applyFont="1" applyFill="1">
      <alignment vertical="center"/>
    </xf>
    <xf numFmtId="10" fontId="3" fillId="5" borderId="0" xfId="1" applyNumberFormat="1" applyFont="1" applyFill="1">
      <alignment vertical="center"/>
    </xf>
    <xf numFmtId="0" fontId="21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9" fontId="3" fillId="0" borderId="5" xfId="0" applyNumberFormat="1" applyFont="1" applyBorder="1">
      <alignment vertical="center"/>
    </xf>
    <xf numFmtId="0" fontId="23" fillId="0" borderId="5" xfId="0" applyFont="1" applyBorder="1">
      <alignment vertical="center"/>
    </xf>
    <xf numFmtId="10" fontId="3" fillId="0" borderId="5" xfId="1" applyNumberFormat="1" applyFont="1" applyBorder="1" applyAlignment="1">
      <alignment horizontal="center" vertical="center"/>
    </xf>
    <xf numFmtId="10" fontId="13" fillId="9" borderId="5" xfId="1" applyNumberFormat="1" applyFont="1" applyFill="1" applyBorder="1" applyAlignment="1">
      <alignment horizontal="center" vertical="center"/>
    </xf>
    <xf numFmtId="179" fontId="6" fillId="11" borderId="5" xfId="0" applyNumberFormat="1" applyFont="1" applyFill="1" applyBorder="1">
      <alignment vertical="center"/>
    </xf>
    <xf numFmtId="0" fontId="25" fillId="11" borderId="5" xfId="0" applyFont="1" applyFill="1" applyBorder="1">
      <alignment vertical="center"/>
    </xf>
    <xf numFmtId="10" fontId="6" fillId="11" borderId="5" xfId="1" applyNumberFormat="1" applyFont="1" applyFill="1" applyBorder="1" applyAlignment="1">
      <alignment horizontal="center" vertical="center"/>
    </xf>
    <xf numFmtId="181" fontId="3" fillId="11" borderId="5" xfId="0" applyNumberFormat="1" applyFont="1" applyFill="1" applyBorder="1" applyAlignment="1">
      <alignment horizontal="center" vertical="center"/>
    </xf>
    <xf numFmtId="10" fontId="3" fillId="6" borderId="0" xfId="0" applyNumberFormat="1" applyFont="1" applyFill="1">
      <alignment vertical="center"/>
    </xf>
    <xf numFmtId="10" fontId="20" fillId="6" borderId="0" xfId="0" applyNumberFormat="1" applyFont="1" applyFill="1">
      <alignment vertical="center"/>
    </xf>
    <xf numFmtId="3" fontId="14" fillId="0" borderId="0" xfId="0" applyNumberFormat="1" applyFont="1" applyBorder="1">
      <alignment vertical="center"/>
    </xf>
    <xf numFmtId="10" fontId="14" fillId="0" borderId="0" xfId="0" applyNumberFormat="1" applyFont="1" applyBorder="1">
      <alignment vertical="center"/>
    </xf>
    <xf numFmtId="178" fontId="16" fillId="12" borderId="0" xfId="0" applyNumberFormat="1" applyFont="1" applyFill="1" applyBorder="1">
      <alignment vertical="center"/>
    </xf>
    <xf numFmtId="178" fontId="16" fillId="13" borderId="0" xfId="0" applyNumberFormat="1" applyFont="1" applyFill="1" applyBorder="1">
      <alignment vertical="center"/>
    </xf>
    <xf numFmtId="178" fontId="16" fillId="5" borderId="0" xfId="0" applyNumberFormat="1" applyFont="1" applyFill="1" applyBorder="1">
      <alignment vertical="center"/>
    </xf>
    <xf numFmtId="14" fontId="35" fillId="8" borderId="0" xfId="0" applyNumberFormat="1" applyFont="1" applyFill="1" applyAlignment="1">
      <alignment horizontal="center" vertical="center"/>
    </xf>
    <xf numFmtId="14" fontId="35" fillId="0" borderId="0" xfId="0" applyNumberFormat="1" applyFont="1" applyFill="1" applyAlignment="1">
      <alignment horizontal="center" vertical="center"/>
    </xf>
    <xf numFmtId="0" fontId="28" fillId="0" borderId="0" xfId="0" applyFont="1" applyBorder="1">
      <alignment vertical="center"/>
    </xf>
    <xf numFmtId="189" fontId="3" fillId="0" borderId="0" xfId="2" applyNumberFormat="1" applyFont="1" applyBorder="1">
      <alignment vertical="center"/>
    </xf>
    <xf numFmtId="10" fontId="20" fillId="5" borderId="0" xfId="0" applyNumberFormat="1" applyFont="1" applyFill="1">
      <alignment vertical="center"/>
    </xf>
    <xf numFmtId="41" fontId="3" fillId="0" borderId="0" xfId="2" applyFont="1">
      <alignment vertical="center"/>
    </xf>
    <xf numFmtId="180" fontId="13" fillId="9" borderId="5" xfId="1" applyNumberFormat="1" applyFont="1" applyFill="1" applyBorder="1" applyAlignment="1">
      <alignment horizontal="center" vertical="center"/>
    </xf>
    <xf numFmtId="180" fontId="20" fillId="8" borderId="0" xfId="1" applyNumberFormat="1" applyFont="1" applyFill="1">
      <alignment vertical="center"/>
    </xf>
    <xf numFmtId="180" fontId="20" fillId="5" borderId="0" xfId="1" applyNumberFormat="1" applyFont="1" applyFill="1">
      <alignment vertical="center"/>
    </xf>
    <xf numFmtId="0" fontId="16" fillId="0" borderId="0" xfId="0" applyFont="1" applyAlignment="1">
      <alignment horizontal="center" vertical="center"/>
    </xf>
    <xf numFmtId="41" fontId="14" fillId="0" borderId="0" xfId="2" applyFont="1">
      <alignment vertical="center"/>
    </xf>
    <xf numFmtId="0" fontId="28" fillId="0" borderId="0" xfId="0" applyFont="1">
      <alignment vertical="center"/>
    </xf>
    <xf numFmtId="0" fontId="6" fillId="5" borderId="22" xfId="0" applyFont="1" applyFill="1" applyBorder="1" applyAlignment="1">
      <alignment horizontal="center" vertical="center"/>
    </xf>
    <xf numFmtId="179" fontId="3" fillId="5" borderId="23" xfId="0" applyNumberFormat="1" applyFont="1" applyFill="1" applyBorder="1">
      <alignment vertical="center"/>
    </xf>
    <xf numFmtId="179" fontId="3" fillId="8" borderId="23" xfId="0" applyNumberFormat="1" applyFont="1" applyFill="1" applyBorder="1">
      <alignment vertical="center"/>
    </xf>
    <xf numFmtId="3" fontId="16" fillId="0" borderId="24" xfId="0" applyNumberFormat="1" applyFont="1" applyBorder="1">
      <alignment vertical="center"/>
    </xf>
    <xf numFmtId="0" fontId="16" fillId="12" borderId="0" xfId="0" applyFont="1" applyFill="1" applyBorder="1">
      <alignment vertical="center"/>
    </xf>
    <xf numFmtId="178" fontId="16" fillId="12" borderId="25" xfId="0" applyNumberFormat="1" applyFont="1" applyFill="1" applyBorder="1">
      <alignment vertical="center"/>
    </xf>
    <xf numFmtId="0" fontId="16" fillId="0" borderId="26" xfId="0" applyFont="1" applyBorder="1">
      <alignment vertical="center"/>
    </xf>
    <xf numFmtId="0" fontId="16" fillId="0" borderId="27" xfId="0" applyFont="1" applyBorder="1">
      <alignment vertical="center"/>
    </xf>
    <xf numFmtId="180" fontId="16" fillId="0" borderId="28" xfId="1" applyNumberFormat="1" applyFont="1" applyBorder="1">
      <alignment vertical="center"/>
    </xf>
    <xf numFmtId="0" fontId="16" fillId="13" borderId="26" xfId="0" applyFont="1" applyFill="1" applyBorder="1">
      <alignment vertical="center"/>
    </xf>
    <xf numFmtId="0" fontId="16" fillId="13" borderId="27" xfId="0" applyFont="1" applyFill="1" applyBorder="1">
      <alignment vertical="center"/>
    </xf>
    <xf numFmtId="180" fontId="16" fillId="13" borderId="28" xfId="1" applyNumberFormat="1" applyFont="1" applyFill="1" applyBorder="1">
      <alignment vertical="center"/>
    </xf>
    <xf numFmtId="10" fontId="16" fillId="5" borderId="26" xfId="1" applyNumberFormat="1" applyFont="1" applyFill="1" applyBorder="1">
      <alignment vertical="center"/>
    </xf>
    <xf numFmtId="10" fontId="16" fillId="5" borderId="27" xfId="1" applyNumberFormat="1" applyFont="1" applyFill="1" applyBorder="1">
      <alignment vertical="center"/>
    </xf>
    <xf numFmtId="180" fontId="16" fillId="5" borderId="28" xfId="1" applyNumberFormat="1" applyFont="1" applyFill="1" applyBorder="1">
      <alignment vertical="center"/>
    </xf>
    <xf numFmtId="178" fontId="16" fillId="13" borderId="25" xfId="0" applyNumberFormat="1" applyFont="1" applyFill="1" applyBorder="1">
      <alignment vertical="center"/>
    </xf>
    <xf numFmtId="0" fontId="16" fillId="13" borderId="0" xfId="0" applyFont="1" applyFill="1" applyBorder="1">
      <alignment vertical="center"/>
    </xf>
    <xf numFmtId="178" fontId="16" fillId="5" borderId="25" xfId="0" applyNumberFormat="1" applyFont="1" applyFill="1" applyBorder="1">
      <alignment vertical="center"/>
    </xf>
    <xf numFmtId="0" fontId="16" fillId="5" borderId="0" xfId="0" applyFont="1" applyFill="1" applyBorder="1">
      <alignment vertical="center"/>
    </xf>
    <xf numFmtId="0" fontId="6" fillId="9" borderId="0" xfId="0" applyFont="1" applyFill="1">
      <alignment vertical="center"/>
    </xf>
    <xf numFmtId="41" fontId="6" fillId="9" borderId="0" xfId="2" applyFont="1" applyFill="1">
      <alignment vertical="center"/>
    </xf>
    <xf numFmtId="0" fontId="36" fillId="9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1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52;&#55148;&#51456;\MY%20DOCUMENTS\WINDOWS\&#48148;&#53461;%20&#54868;&#47732;\&#48512;&#51064;&#49440;DOOR.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ncheolshin/Documents/&#50629;&#47924;/&#51060;&#51648;&#49828;&#47932;&#47448;/&#47932;&#47448;/&#47932;&#47448;&#49468;&#53552;%20&#51116;&#47924;&#47784;&#45944;/KPMG_Hwaseong%20Dongtan_160321_v4.2_GIC&#48372;&#49688;&#48152;&#50689;&#5498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경영전략"/>
      <sheetName val="2005년 판매실적 추정"/>
      <sheetName val="2005년실적,2006년 목표 비교"/>
      <sheetName val="물량및영업수익계획"/>
      <sheetName val="부인선DOOR"/>
      <sheetName val="2005년_판매실적_추정"/>
      <sheetName val="2005년실적,2006년_목표_비교"/>
      <sheetName val="Sheet1 (2)"/>
      <sheetName val="INDEX(수정,삭제금지)"/>
    </sheetNames>
    <definedNames>
      <definedName name="EX"/>
    </defined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수산식"/>
      <sheetName val="Summary"/>
      <sheetName val="Assumption"/>
      <sheetName val="&gt;&gt; Consolidated"/>
      <sheetName val="CF(Y)"/>
      <sheetName val="CF(FY)"/>
      <sheetName val="CF(M)"/>
      <sheetName val="IS(M)"/>
      <sheetName val="BS(M)"/>
      <sheetName val="&gt;&gt; A"/>
      <sheetName val="CF(M)_A"/>
      <sheetName val="BS(M)_A"/>
      <sheetName val="IS(M)_A"/>
      <sheetName val="&gt;&gt; B"/>
      <sheetName val="CF(M)_B"/>
      <sheetName val="IS(M)_B"/>
      <sheetName val="BS(M)_B"/>
      <sheetName val="FS_detail"/>
      <sheetName val="Capital Call"/>
      <sheetName val="TIC"/>
      <sheetName val="TIC(M)_A"/>
      <sheetName val="TIC(M)_B"/>
      <sheetName val="NOI"/>
      <sheetName val="Index"/>
      <sheetName val="S-Curve"/>
      <sheetName val="Bond"/>
    </sheetNames>
    <sheetDataSet>
      <sheetData sheetId="0" refreshError="1"/>
      <sheetData sheetId="1" refreshError="1"/>
      <sheetData sheetId="2">
        <row r="31">
          <cell r="L31">
            <v>1000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08080"/>
    <pageSetUpPr fitToPage="1"/>
  </sheetPr>
  <dimension ref="A1:AU779"/>
  <sheetViews>
    <sheetView showGridLines="0" tabSelected="1" zoomScaleNormal="100" workbookViewId="0">
      <pane xSplit="15" ySplit="13" topLeftCell="AC14" activePane="bottomRight" state="frozen"/>
      <selection pane="topRight" activeCell="O1" sqref="O1"/>
      <selection pane="bottomLeft" activeCell="A15" sqref="A15"/>
      <selection pane="bottomRight" activeCell="AA12" sqref="AA12:AH12"/>
    </sheetView>
  </sheetViews>
  <sheetFormatPr defaultColWidth="9" defaultRowHeight="14.25"/>
  <cols>
    <col min="1" max="1" width="1.25" style="1" customWidth="1"/>
    <col min="2" max="2" width="5.25" style="1" bestFit="1" customWidth="1"/>
    <col min="3" max="3" width="11.5" style="1" bestFit="1" customWidth="1"/>
    <col min="4" max="4" width="8.625" style="1" bestFit="1" customWidth="1"/>
    <col min="5" max="5" width="6.375" style="1" bestFit="1" customWidth="1"/>
    <col min="6" max="6" width="12.5" style="1" bestFit="1" customWidth="1"/>
    <col min="7" max="7" width="13.875" style="1" bestFit="1" customWidth="1"/>
    <col min="8" max="9" width="12.875" style="1" bestFit="1" customWidth="1"/>
    <col min="10" max="10" width="7.875" style="1" bestFit="1" customWidth="1"/>
    <col min="11" max="11" width="6.875" style="1" bestFit="1" customWidth="1"/>
    <col min="12" max="12" width="12.5" style="1" bestFit="1" customWidth="1"/>
    <col min="13" max="13" width="9.375" style="1" customWidth="1"/>
    <col min="14" max="14" width="4.375" style="1" customWidth="1"/>
    <col min="15" max="15" width="13.75" style="1" customWidth="1"/>
    <col min="16" max="19" width="10.5" style="1" customWidth="1"/>
    <col min="20" max="20" width="9.25" style="1" customWidth="1"/>
    <col min="21" max="21" width="11.5" style="1" customWidth="1"/>
    <col min="22" max="22" width="7.75" style="1" customWidth="1"/>
    <col min="23" max="23" width="8.125" style="1" customWidth="1"/>
    <col min="24" max="24" width="13.875" style="1" bestFit="1" customWidth="1"/>
    <col min="25" max="25" width="15.75" style="1" bestFit="1" customWidth="1"/>
    <col min="26" max="26" width="8" style="1" bestFit="1" customWidth="1"/>
    <col min="27" max="27" width="13.625" style="1" bestFit="1" customWidth="1"/>
    <col min="28" max="28" width="12.125" style="1" hidden="1" customWidth="1"/>
    <col min="29" max="29" width="12.125" style="1" customWidth="1"/>
    <col min="30" max="30" width="16.875" style="1" hidden="1" customWidth="1"/>
    <col min="31" max="31" width="16.875" style="1" customWidth="1"/>
    <col min="32" max="32" width="17.875" style="1" hidden="1" customWidth="1"/>
    <col min="33" max="33" width="17.875" style="1" customWidth="1"/>
    <col min="34" max="34" width="9.25" style="1" customWidth="1"/>
    <col min="35" max="35" width="10.625" style="1" customWidth="1"/>
    <col min="36" max="37" width="13.625" style="1" bestFit="1" customWidth="1"/>
    <col min="38" max="38" width="12.875" style="1" bestFit="1" customWidth="1"/>
    <col min="39" max="39" width="16" style="1" bestFit="1" customWidth="1"/>
    <col min="40" max="41" width="13" style="1" bestFit="1" customWidth="1"/>
    <col min="42" max="43" width="13.875" style="1" hidden="1" customWidth="1"/>
    <col min="44" max="44" width="18.625" style="1" hidden="1" customWidth="1"/>
    <col min="45" max="45" width="14.75" style="1" hidden="1" customWidth="1"/>
    <col min="46" max="46" width="16.375" style="1" hidden="1" customWidth="1"/>
    <col min="47" max="47" width="13.5" style="1" hidden="1" customWidth="1"/>
    <col min="48" max="48" width="9.125" style="1" bestFit="1" customWidth="1"/>
    <col min="49" max="16384" width="9" style="1"/>
  </cols>
  <sheetData>
    <row r="1" spans="2:47" ht="15" thickBot="1"/>
    <row r="2" spans="2:47" s="5" customFormat="1" ht="15" thickBot="1">
      <c r="B2" s="2" t="s">
        <v>2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B2" s="39"/>
      <c r="AC2" s="39"/>
    </row>
    <row r="3" spans="2:47">
      <c r="B3" s="6"/>
      <c r="AB3" s="30"/>
      <c r="AC3" s="30"/>
    </row>
    <row r="4" spans="2:47">
      <c r="B4" s="6"/>
      <c r="C4" s="58"/>
      <c r="D4" s="58"/>
      <c r="E4" s="8"/>
      <c r="F4" s="8"/>
      <c r="G4" s="8"/>
      <c r="H4" s="8"/>
      <c r="I4" s="8"/>
      <c r="J4" s="8"/>
      <c r="K4" s="8"/>
      <c r="L4" s="179"/>
      <c r="M4" s="180"/>
      <c r="N4" s="8"/>
      <c r="O4" s="8"/>
      <c r="P4" s="8"/>
      <c r="Q4" s="8"/>
      <c r="R4" s="8"/>
      <c r="S4" s="8"/>
      <c r="T4" s="8"/>
      <c r="U4" s="221" t="s">
        <v>68</v>
      </c>
      <c r="V4" s="222"/>
      <c r="X4" s="158" t="s">
        <v>71</v>
      </c>
      <c r="Y4" s="213" t="s">
        <v>70</v>
      </c>
      <c r="Z4" s="214"/>
      <c r="AA4" s="159" t="s">
        <v>74</v>
      </c>
      <c r="AB4" s="159" t="s">
        <v>21</v>
      </c>
      <c r="AC4" s="159" t="s">
        <v>21</v>
      </c>
      <c r="AD4" s="159" t="s">
        <v>82</v>
      </c>
      <c r="AE4" s="160" t="s">
        <v>97</v>
      </c>
      <c r="AF4" s="159" t="s">
        <v>83</v>
      </c>
      <c r="AG4" s="160" t="s">
        <v>98</v>
      </c>
      <c r="AI4" s="208" t="s">
        <v>102</v>
      </c>
      <c r="AJ4" s="209">
        <v>50000</v>
      </c>
    </row>
    <row r="5" spans="2:47">
      <c r="B5" s="6"/>
      <c r="U5" s="108" t="s">
        <v>72</v>
      </c>
      <c r="V5" s="109">
        <f>V10-SUM(V6:V9)</f>
        <v>7.9999999999999993E-4</v>
      </c>
      <c r="X5" s="161" t="s">
        <v>23</v>
      </c>
      <c r="Y5" s="162">
        <v>16500</v>
      </c>
      <c r="Z5" s="163" t="s">
        <v>75</v>
      </c>
      <c r="AA5" s="164">
        <f>Y5/Y7</f>
        <v>0.94285714285714284</v>
      </c>
      <c r="AB5" s="165">
        <f>XIRR(AF14:AF74,C14:C74)</f>
        <v>-0.19355686530470845</v>
      </c>
      <c r="AC5" s="183">
        <f>XIRR(AG14:AG74,C14:C74)</f>
        <v>3.4393373131752017E-2</v>
      </c>
      <c r="AD5" s="165">
        <f>XIRR(AQ14:AQ50, AP14:AP50)</f>
        <v>3.3446666955947877</v>
      </c>
      <c r="AE5" s="183">
        <f>조기상환IRR!V9</f>
        <v>3.5016235709190366E-2</v>
      </c>
      <c r="AF5" s="183">
        <f>XIRR(AT14:AT62,AS14:AS62)</f>
        <v>3.5581657290458674E-2</v>
      </c>
      <c r="AG5" s="183">
        <f>조기상환IRR!AF9</f>
        <v>3.4653654694557195E-2</v>
      </c>
      <c r="AI5" s="210" t="s">
        <v>100</v>
      </c>
      <c r="AJ5" s="209">
        <v>69213</v>
      </c>
    </row>
    <row r="6" spans="2:47">
      <c r="B6" s="6"/>
      <c r="C6" s="1" t="s">
        <v>4</v>
      </c>
      <c r="E6" s="9">
        <v>17500</v>
      </c>
      <c r="F6" s="10" t="s">
        <v>24</v>
      </c>
      <c r="U6" s="108" t="s">
        <v>34</v>
      </c>
      <c r="V6" s="109">
        <v>8.0000000000000004E-4</v>
      </c>
      <c r="W6" s="68"/>
      <c r="X6" s="161" t="s">
        <v>25</v>
      </c>
      <c r="Y6" s="162">
        <v>1000</v>
      </c>
      <c r="Z6" s="163" t="s">
        <v>75</v>
      </c>
      <c r="AA6" s="164">
        <f>Y6/Y7</f>
        <v>5.7142857142857141E-2</v>
      </c>
      <c r="AB6" s="165">
        <f>XIRR(AM14:AM74,C14:C74)</f>
        <v>3.5169312357902535E-2</v>
      </c>
      <c r="AC6" s="183">
        <f>XIRR(AM14:AM74,C14:C74)</f>
        <v>3.5169312357902535E-2</v>
      </c>
      <c r="AD6" s="165"/>
      <c r="AE6" s="165"/>
      <c r="AF6" s="165"/>
      <c r="AG6" s="165"/>
    </row>
    <row r="7" spans="2:47">
      <c r="B7" s="6"/>
      <c r="C7" s="1" t="s">
        <v>0</v>
      </c>
      <c r="E7" s="9">
        <v>0</v>
      </c>
      <c r="F7" s="10"/>
      <c r="U7" s="108" t="s">
        <v>35</v>
      </c>
      <c r="V7" s="109">
        <v>2.0000000000000001E-4</v>
      </c>
      <c r="W7" s="68"/>
      <c r="X7" s="158" t="s">
        <v>69</v>
      </c>
      <c r="Y7" s="166">
        <f>SUM(Y5:Y6)</f>
        <v>17500</v>
      </c>
      <c r="Z7" s="167" t="s">
        <v>76</v>
      </c>
      <c r="AA7" s="168">
        <f>SUM(AA5:AA6)</f>
        <v>1</v>
      </c>
      <c r="AB7" s="169"/>
      <c r="AC7" s="169"/>
      <c r="AD7" s="169"/>
      <c r="AE7" s="169"/>
      <c r="AF7" s="169"/>
      <c r="AG7" s="169"/>
      <c r="AM7" s="31"/>
    </row>
    <row r="8" spans="2:47">
      <c r="B8" s="6"/>
      <c r="C8" s="1" t="s">
        <v>5</v>
      </c>
      <c r="E8" s="9">
        <v>12</v>
      </c>
      <c r="F8" s="1" t="s">
        <v>6</v>
      </c>
      <c r="H8" s="1" t="s">
        <v>5</v>
      </c>
      <c r="I8" s="9">
        <v>48</v>
      </c>
      <c r="J8" s="1" t="s">
        <v>26</v>
      </c>
      <c r="O8" s="1">
        <v>1000000</v>
      </c>
      <c r="U8" s="108" t="s">
        <v>36</v>
      </c>
      <c r="V8" s="109">
        <v>2.0000000000000001E-4</v>
      </c>
      <c r="W8" s="68"/>
      <c r="X8" s="8"/>
      <c r="Y8" s="40"/>
      <c r="Z8" s="8"/>
      <c r="AA8" s="8"/>
      <c r="AB8" s="8"/>
      <c r="AC8" s="8"/>
      <c r="AD8" s="36"/>
      <c r="AE8" s="36"/>
      <c r="AM8" s="117"/>
    </row>
    <row r="9" spans="2:47">
      <c r="B9" s="6"/>
      <c r="C9" s="1" t="s">
        <v>7</v>
      </c>
      <c r="E9" s="9">
        <v>3</v>
      </c>
      <c r="F9" s="1" t="s">
        <v>6</v>
      </c>
      <c r="H9" s="1" t="s">
        <v>7</v>
      </c>
      <c r="I9" s="9">
        <v>12</v>
      </c>
      <c r="J9" s="1" t="s">
        <v>26</v>
      </c>
      <c r="U9" s="108" t="s">
        <v>37</v>
      </c>
      <c r="V9" s="109">
        <v>0</v>
      </c>
      <c r="W9" s="68"/>
      <c r="X9" s="8"/>
      <c r="Y9" s="8"/>
      <c r="Z9" s="8"/>
      <c r="AA9" s="8"/>
      <c r="AB9" s="154">
        <v>1000000</v>
      </c>
      <c r="AC9" s="154"/>
      <c r="AD9" s="80"/>
      <c r="AE9" s="80"/>
      <c r="AF9" s="80"/>
      <c r="AG9" s="80"/>
      <c r="AM9" s="31"/>
    </row>
    <row r="10" spans="2:47">
      <c r="B10" s="6"/>
      <c r="C10" s="1" t="s">
        <v>8</v>
      </c>
      <c r="E10" s="11">
        <v>3.5999999999999997E-2</v>
      </c>
      <c r="F10" s="1" t="s">
        <v>9</v>
      </c>
      <c r="H10" s="1" t="s">
        <v>8</v>
      </c>
      <c r="I10" s="11">
        <f>E10/4</f>
        <v>8.9999999999999993E-3</v>
      </c>
      <c r="J10" s="1" t="s">
        <v>27</v>
      </c>
      <c r="U10" s="110" t="s">
        <v>73</v>
      </c>
      <c r="V10" s="111">
        <v>2E-3</v>
      </c>
      <c r="W10" s="68"/>
      <c r="X10" s="70"/>
      <c r="AB10" s="80"/>
      <c r="AC10" s="80"/>
      <c r="AD10" s="80"/>
      <c r="AE10" s="80"/>
      <c r="AF10" s="80"/>
      <c r="AG10" s="80"/>
      <c r="AH10" s="70"/>
      <c r="AJ10" s="37"/>
      <c r="AK10" s="37"/>
      <c r="AL10" s="37"/>
    </row>
    <row r="11" spans="2:47">
      <c r="B11" s="6"/>
      <c r="L11" s="10"/>
      <c r="V11" s="10"/>
      <c r="AB11" s="70"/>
      <c r="AC11" s="70"/>
      <c r="AF11" s="31"/>
      <c r="AG11" s="31"/>
      <c r="AH11" s="31"/>
      <c r="AI11" s="31"/>
    </row>
    <row r="12" spans="2:47" ht="15" thickBot="1">
      <c r="B12" s="6"/>
      <c r="F12" s="12" t="b">
        <f>SUM(F14:F376)=E$6</f>
        <v>0</v>
      </c>
      <c r="H12" s="12" t="b">
        <f>SUM(H14:H74)=E6</f>
        <v>0</v>
      </c>
      <c r="P12" s="223" t="s">
        <v>68</v>
      </c>
      <c r="Q12" s="224"/>
      <c r="R12" s="224"/>
      <c r="S12" s="224"/>
      <c r="T12" s="224"/>
      <c r="U12" s="224"/>
      <c r="V12" s="224"/>
      <c r="W12" s="224"/>
      <c r="X12" s="211" t="s">
        <v>80</v>
      </c>
      <c r="Y12" s="211"/>
      <c r="Z12" s="211"/>
      <c r="AA12" s="215" t="s">
        <v>77</v>
      </c>
      <c r="AB12" s="215"/>
      <c r="AC12" s="215"/>
      <c r="AD12" s="215"/>
      <c r="AE12" s="215"/>
      <c r="AF12" s="215"/>
      <c r="AG12" s="215"/>
      <c r="AH12" s="215"/>
      <c r="AI12" s="112"/>
      <c r="AJ12" s="216" t="s">
        <v>78</v>
      </c>
      <c r="AK12" s="216"/>
      <c r="AL12" s="216"/>
      <c r="AM12" s="216"/>
      <c r="AN12" s="216"/>
      <c r="AO12" s="216"/>
      <c r="AP12" s="212" t="s">
        <v>86</v>
      </c>
      <c r="AQ12" s="212"/>
      <c r="AR12" s="212"/>
      <c r="AS12" s="212"/>
      <c r="AT12" s="212"/>
      <c r="AU12" s="140"/>
    </row>
    <row r="13" spans="2:47">
      <c r="B13" s="32" t="s">
        <v>10</v>
      </c>
      <c r="C13" s="115" t="s">
        <v>81</v>
      </c>
      <c r="D13" s="101" t="s">
        <v>67</v>
      </c>
      <c r="E13" s="33" t="s">
        <v>12</v>
      </c>
      <c r="F13" s="33" t="s">
        <v>13</v>
      </c>
      <c r="G13" s="33" t="s">
        <v>14</v>
      </c>
      <c r="H13" s="33" t="s">
        <v>15</v>
      </c>
      <c r="I13" s="33" t="s">
        <v>16</v>
      </c>
      <c r="J13" s="33" t="s">
        <v>28</v>
      </c>
      <c r="K13" s="33" t="s">
        <v>29</v>
      </c>
      <c r="L13" s="74" t="s">
        <v>22</v>
      </c>
      <c r="M13" s="34" t="s">
        <v>30</v>
      </c>
      <c r="N13" s="34" t="s">
        <v>31</v>
      </c>
      <c r="O13" s="33" t="s">
        <v>32</v>
      </c>
      <c r="P13" s="73" t="s">
        <v>33</v>
      </c>
      <c r="Q13" s="76" t="s">
        <v>34</v>
      </c>
      <c r="R13" s="76" t="s">
        <v>35</v>
      </c>
      <c r="S13" s="76" t="s">
        <v>36</v>
      </c>
      <c r="T13" s="76" t="s">
        <v>37</v>
      </c>
      <c r="U13" s="76" t="s">
        <v>38</v>
      </c>
      <c r="V13" s="75" t="s">
        <v>52</v>
      </c>
      <c r="W13" s="53" t="s">
        <v>39</v>
      </c>
      <c r="X13" s="34" t="s">
        <v>40</v>
      </c>
      <c r="Y13" s="34" t="s">
        <v>41</v>
      </c>
      <c r="Z13" s="77" t="s">
        <v>39</v>
      </c>
      <c r="AA13" s="41" t="s">
        <v>42</v>
      </c>
      <c r="AB13" s="41" t="s">
        <v>43</v>
      </c>
      <c r="AC13" s="141" t="s">
        <v>43</v>
      </c>
      <c r="AD13" s="41" t="s">
        <v>44</v>
      </c>
      <c r="AE13" s="141" t="s">
        <v>44</v>
      </c>
      <c r="AF13" s="41" t="s">
        <v>45</v>
      </c>
      <c r="AG13" s="189" t="s">
        <v>45</v>
      </c>
      <c r="AH13" s="41" t="s">
        <v>46</v>
      </c>
      <c r="AI13" s="113" t="s">
        <v>79</v>
      </c>
      <c r="AJ13" s="78" t="s">
        <v>47</v>
      </c>
      <c r="AK13" s="78" t="s">
        <v>48</v>
      </c>
      <c r="AL13" s="47" t="s">
        <v>49</v>
      </c>
      <c r="AM13" s="48" t="s">
        <v>50</v>
      </c>
      <c r="AN13" s="78" t="s">
        <v>51</v>
      </c>
      <c r="AO13" s="114" t="s">
        <v>79</v>
      </c>
      <c r="AP13" s="211" t="s">
        <v>84</v>
      </c>
      <c r="AQ13" s="211"/>
      <c r="AR13" s="139"/>
      <c r="AS13" s="211" t="s">
        <v>85</v>
      </c>
      <c r="AT13" s="211"/>
      <c r="AU13" s="139"/>
    </row>
    <row r="14" spans="2:47">
      <c r="B14" s="35">
        <v>0</v>
      </c>
      <c r="C14" s="38">
        <v>44543</v>
      </c>
      <c r="D14" s="96" t="str">
        <f>TEXT(C14,"AAAA")</f>
        <v>월요일</v>
      </c>
      <c r="E14" s="27">
        <v>11</v>
      </c>
      <c r="F14" s="28">
        <f>E6*1000000</f>
        <v>17500000000</v>
      </c>
      <c r="G14" s="27">
        <v>0</v>
      </c>
      <c r="H14" s="27">
        <v>0</v>
      </c>
      <c r="I14" s="27">
        <v>0</v>
      </c>
      <c r="J14" s="27"/>
      <c r="K14" s="146"/>
      <c r="L14" s="28">
        <f>F14</f>
        <v>17500000000</v>
      </c>
      <c r="M14" s="28"/>
      <c r="N14" s="28"/>
      <c r="O14" s="71">
        <f>G14/SUM(G$14:G$74)</f>
        <v>0</v>
      </c>
      <c r="P14" s="54"/>
      <c r="Q14" s="54"/>
      <c r="R14" s="54"/>
      <c r="S14" s="54"/>
      <c r="T14" s="54"/>
      <c r="U14" s="54"/>
      <c r="V14" s="55"/>
      <c r="W14" s="152"/>
      <c r="X14" s="27"/>
      <c r="Y14" s="27"/>
      <c r="Z14" s="146"/>
      <c r="AA14" s="42">
        <f>Y5*1000000</f>
        <v>16500000000</v>
      </c>
      <c r="AB14" s="43"/>
      <c r="AC14" s="43"/>
      <c r="AD14" s="43"/>
      <c r="AE14" s="155"/>
      <c r="AF14" s="42">
        <f>-AA14</f>
        <v>-16500000000</v>
      </c>
      <c r="AG14" s="190">
        <f>AF14</f>
        <v>-16500000000</v>
      </c>
      <c r="AH14" s="43"/>
      <c r="AI14" s="181"/>
      <c r="AJ14" s="49">
        <f>Y6*$O$8</f>
        <v>1000000000</v>
      </c>
      <c r="AK14" s="49"/>
      <c r="AL14" s="49"/>
      <c r="AM14" s="49">
        <f>-AJ14</f>
        <v>-1000000000</v>
      </c>
      <c r="AN14" s="50"/>
      <c r="AO14" s="170"/>
      <c r="AP14" s="38">
        <v>44543</v>
      </c>
      <c r="AQ14" s="29">
        <v>-16500</v>
      </c>
      <c r="AR14" s="29">
        <f>AQ14*$O$8</f>
        <v>-16500000000</v>
      </c>
      <c r="AS14" s="38">
        <v>44543</v>
      </c>
      <c r="AT14" s="117">
        <v>-16500</v>
      </c>
      <c r="AU14" s="117">
        <f>AT14*$O$8</f>
        <v>-16500000000</v>
      </c>
    </row>
    <row r="15" spans="2:47">
      <c r="B15" s="35">
        <f t="shared" ref="B15:B74" si="0">B14+1</f>
        <v>1</v>
      </c>
      <c r="C15" s="59">
        <f>+DATE(YEAR(C14),MONTH(C14)+3,DAY(C14))</f>
        <v>44633</v>
      </c>
      <c r="D15" s="99" t="str">
        <f t="shared" ref="D15:D74" si="1">TEXT(C15,"AAAA")</f>
        <v>일요일</v>
      </c>
      <c r="E15" s="60">
        <v>2</v>
      </c>
      <c r="F15" s="60">
        <v>0</v>
      </c>
      <c r="G15" s="61">
        <f t="shared" ref="G15:G26" si="2">IF(AND($B15&gt;I$9,$B15&lt;(I$8+I$9)),(E$6-E$7)/E$414,(H15+I15))</f>
        <v>157500000</v>
      </c>
      <c r="H15" s="61">
        <f t="shared" ref="H15:H46" si="3">IF($B15&lt;=I$9,0,IF(AND($B15&gt;I$9,$B15&lt;(I$8+I$9)),G15-I15,IF($B15=(I$8+I$9),L14,0)))</f>
        <v>0</v>
      </c>
      <c r="I15" s="61">
        <f>L14*I$10</f>
        <v>157500000</v>
      </c>
      <c r="J15" s="151">
        <f>I15/$F$14</f>
        <v>8.9999999999999993E-3</v>
      </c>
      <c r="K15" s="147"/>
      <c r="L15" s="61">
        <f>MAX(L14+$F15-$H15,0)</f>
        <v>17500000000</v>
      </c>
      <c r="M15" s="61">
        <f t="shared" ref="M15:M46" si="4">C15-C14</f>
        <v>90</v>
      </c>
      <c r="N15" s="61">
        <f t="shared" ref="N15:N73" si="5">N16</f>
        <v>365</v>
      </c>
      <c r="O15" s="69">
        <f t="shared" ref="O15:O45" si="6">G15/SUM(G$14:G$74)</f>
        <v>6.6967863521960585E-3</v>
      </c>
      <c r="P15" s="61">
        <f>L14*$V$5*M15/N15</f>
        <v>3452054.7945205471</v>
      </c>
      <c r="Q15" s="61">
        <f>L14*$V$6*M15/N15</f>
        <v>3452054.7945205481</v>
      </c>
      <c r="R15" s="61">
        <f>L14*$V$7*M15/N15</f>
        <v>863013.69863013702</v>
      </c>
      <c r="S15" s="61">
        <f>L14*$V$8*M15/N15</f>
        <v>863013.69863013702</v>
      </c>
      <c r="T15" s="63">
        <f>L14*$V$9*M15/N15</f>
        <v>0</v>
      </c>
      <c r="U15" s="61">
        <f>SUM(P15:T15)</f>
        <v>8630136.98630137</v>
      </c>
      <c r="V15" s="64">
        <f>U15/L14</f>
        <v>4.9315068493150684E-4</v>
      </c>
      <c r="W15" s="147"/>
      <c r="X15" s="65">
        <f>I15-U15</f>
        <v>148869863.01369864</v>
      </c>
      <c r="Y15" s="150">
        <f>X15/L14</f>
        <v>8.5068493150684942E-3</v>
      </c>
      <c r="Z15" s="147"/>
      <c r="AA15" s="66">
        <f>AA14-AC15</f>
        <v>16500000000</v>
      </c>
      <c r="AB15" s="67">
        <f t="shared" ref="AB15:AB26" si="7">H15*$AA$5</f>
        <v>0</v>
      </c>
      <c r="AC15" s="67">
        <f>AB15*$AB$9</f>
        <v>0</v>
      </c>
      <c r="AD15" s="67">
        <f>140.25</f>
        <v>140.25</v>
      </c>
      <c r="AE15" s="156">
        <f t="shared" ref="AE15:AE26" si="8">AD15*$O$8-$AJ$4</f>
        <v>140200000</v>
      </c>
      <c r="AF15" s="67">
        <f>AB15+AD15</f>
        <v>140.25</v>
      </c>
      <c r="AG15" s="191">
        <f>AC15+AE15</f>
        <v>140200000</v>
      </c>
      <c r="AH15" s="62">
        <f>AE15/AA14</f>
        <v>8.4969696969696973E-3</v>
      </c>
      <c r="AI15" s="144"/>
      <c r="AJ15" s="66">
        <f>AJ14-AK15</f>
        <v>1000000000</v>
      </c>
      <c r="AK15" s="65">
        <f t="shared" ref="AK15:AK26" si="9">H15*$AA$6</f>
        <v>0</v>
      </c>
      <c r="AL15" s="65">
        <f>X15-AE15+$AJ$4</f>
        <v>8719863.0136986375</v>
      </c>
      <c r="AM15" s="65">
        <f>AK15+AL15</f>
        <v>8719863.0136986375</v>
      </c>
      <c r="AN15" s="62">
        <f>AL15/AJ14</f>
        <v>8.7198630136986373E-3</v>
      </c>
      <c r="AO15" s="145"/>
      <c r="AP15" s="59">
        <f>+DATE(YEAR(AP14),MONTH(AP14)+3,DAY(AP14))</f>
        <v>44633</v>
      </c>
      <c r="AQ15" s="67">
        <v>140.25</v>
      </c>
      <c r="AR15" s="65">
        <f t="shared" ref="AR15:AR49" si="10">AQ15*$O$8</f>
        <v>140250000</v>
      </c>
      <c r="AS15" s="59">
        <f>+DATE(YEAR(AS14),MONTH(AS14)+3,DAY(AS14))</f>
        <v>44633</v>
      </c>
      <c r="AT15" s="67">
        <v>140.25</v>
      </c>
      <c r="AU15" s="65">
        <f t="shared" ref="AU15:AU62" si="11">AT15*$O$8</f>
        <v>140250000</v>
      </c>
    </row>
    <row r="16" spans="2:47">
      <c r="B16" s="35">
        <f t="shared" si="0"/>
        <v>2</v>
      </c>
      <c r="C16" s="59">
        <f t="shared" ref="C16:C74" si="12">+DATE(YEAR(C15),MONTH(C15)+3,DAY(C15))</f>
        <v>44725</v>
      </c>
      <c r="D16" s="97" t="str">
        <f t="shared" si="1"/>
        <v>월요일</v>
      </c>
      <c r="E16" s="60">
        <v>5</v>
      </c>
      <c r="F16" s="60">
        <v>0</v>
      </c>
      <c r="G16" s="61">
        <f t="shared" si="2"/>
        <v>157500000</v>
      </c>
      <c r="H16" s="61">
        <f t="shared" si="3"/>
        <v>0</v>
      </c>
      <c r="I16" s="61">
        <f t="shared" ref="I16:I46" si="13">L15*I$10</f>
        <v>157500000</v>
      </c>
      <c r="J16" s="151">
        <f t="shared" ref="J16:J25" si="14">I16/$F$14</f>
        <v>8.9999999999999993E-3</v>
      </c>
      <c r="K16" s="147"/>
      <c r="L16" s="61">
        <f t="shared" ref="L16:L46" si="15">MAX(L15+F16-H16,0)</f>
        <v>17500000000</v>
      </c>
      <c r="M16" s="61">
        <f t="shared" si="4"/>
        <v>92</v>
      </c>
      <c r="N16" s="61">
        <f t="shared" si="5"/>
        <v>365</v>
      </c>
      <c r="O16" s="69">
        <f t="shared" si="6"/>
        <v>6.6967863521960585E-3</v>
      </c>
      <c r="P16" s="61">
        <f t="shared" ref="P16:P74" si="16">L15*$V$5*M16/N16</f>
        <v>3528767.1232876708</v>
      </c>
      <c r="Q16" s="61">
        <f t="shared" ref="Q16:Q74" si="17">L15*$V$6*M16/N16</f>
        <v>3528767.1232876712</v>
      </c>
      <c r="R16" s="61">
        <f t="shared" ref="R16:R74" si="18">L15*$V$7*M16/N16</f>
        <v>882191.78082191781</v>
      </c>
      <c r="S16" s="61">
        <f t="shared" ref="S16:S74" si="19">L15*$V$8*M16/N16</f>
        <v>882191.78082191781</v>
      </c>
      <c r="T16" s="63">
        <f t="shared" ref="T16:T74" si="20">L15*$V$9*M16/N16</f>
        <v>0</v>
      </c>
      <c r="U16" s="61">
        <f t="shared" ref="U16:U74" si="21">SUM(P16:T16)</f>
        <v>8821917.8082191776</v>
      </c>
      <c r="V16" s="64">
        <f t="shared" ref="V16:V46" si="22">U16/L15</f>
        <v>5.0410958904109583E-4</v>
      </c>
      <c r="W16" s="147"/>
      <c r="X16" s="65">
        <f t="shared" ref="X16:X46" si="23">I16-U16</f>
        <v>148678082.19178084</v>
      </c>
      <c r="Y16" s="150">
        <f t="shared" ref="Y16:Y46" si="24">X16/L15</f>
        <v>8.4958904109589048E-3</v>
      </c>
      <c r="Z16" s="147"/>
      <c r="AA16" s="66">
        <f t="shared" ref="AA16:AA74" si="25">AA15-AC16</f>
        <v>16500000000</v>
      </c>
      <c r="AB16" s="67">
        <f t="shared" si="7"/>
        <v>0</v>
      </c>
      <c r="AC16" s="67">
        <f t="shared" ref="AC16:AC25" si="26">AB16*$AB$9</f>
        <v>0</v>
      </c>
      <c r="AD16" s="67">
        <v>140.25</v>
      </c>
      <c r="AE16" s="156">
        <f t="shared" si="8"/>
        <v>140200000</v>
      </c>
      <c r="AF16" s="67">
        <f t="shared" ref="AF16:AF47" si="27">AB16+AD16</f>
        <v>140.25</v>
      </c>
      <c r="AG16" s="191">
        <f t="shared" ref="AG16:AG26" si="28">AC16+AE16</f>
        <v>140200000</v>
      </c>
      <c r="AH16" s="62">
        <f>AE16/AA15</f>
        <v>8.4969696969696973E-3</v>
      </c>
      <c r="AI16" s="144"/>
      <c r="AJ16" s="66">
        <f t="shared" ref="AJ16:AJ74" si="29">AJ15-AK16</f>
        <v>1000000000</v>
      </c>
      <c r="AK16" s="65">
        <f t="shared" si="9"/>
        <v>0</v>
      </c>
      <c r="AL16" s="65">
        <f t="shared" ref="AL16:AL26" si="30">X16-AE16+$AJ$4</f>
        <v>8528082.1917808354</v>
      </c>
      <c r="AM16" s="65">
        <f t="shared" ref="AM16:AM26" si="31">AK16+AL16</f>
        <v>8528082.1917808354</v>
      </c>
      <c r="AN16" s="62">
        <f>AL16/AJ15</f>
        <v>8.5280821917808353E-3</v>
      </c>
      <c r="AO16" s="145"/>
      <c r="AP16" s="59">
        <f t="shared" ref="AP16:AP50" si="32">+DATE(YEAR(AP15),MONTH(AP15)+3,DAY(AP15))</f>
        <v>44725</v>
      </c>
      <c r="AQ16" s="67">
        <v>140.25</v>
      </c>
      <c r="AR16" s="65">
        <f t="shared" si="10"/>
        <v>140250000</v>
      </c>
      <c r="AS16" s="59">
        <f t="shared" ref="AS16:AS62" si="33">+DATE(YEAR(AS15),MONTH(AS15)+3,DAY(AS15))</f>
        <v>44725</v>
      </c>
      <c r="AT16" s="67">
        <v>140.25</v>
      </c>
      <c r="AU16" s="65">
        <f t="shared" si="11"/>
        <v>140250000</v>
      </c>
    </row>
    <row r="17" spans="2:47">
      <c r="B17" s="35">
        <f t="shared" si="0"/>
        <v>3</v>
      </c>
      <c r="C17" s="59">
        <f t="shared" si="12"/>
        <v>44817</v>
      </c>
      <c r="D17" s="177" t="str">
        <f t="shared" si="1"/>
        <v>화요일</v>
      </c>
      <c r="E17" s="60">
        <v>8</v>
      </c>
      <c r="F17" s="60">
        <v>0</v>
      </c>
      <c r="G17" s="61">
        <f t="shared" si="2"/>
        <v>157500000</v>
      </c>
      <c r="H17" s="61">
        <f t="shared" si="3"/>
        <v>0</v>
      </c>
      <c r="I17" s="61">
        <f t="shared" si="13"/>
        <v>157500000</v>
      </c>
      <c r="J17" s="151">
        <f t="shared" si="14"/>
        <v>8.9999999999999993E-3</v>
      </c>
      <c r="K17" s="147"/>
      <c r="L17" s="61">
        <f t="shared" si="15"/>
        <v>17500000000</v>
      </c>
      <c r="M17" s="61">
        <f t="shared" si="4"/>
        <v>92</v>
      </c>
      <c r="N17" s="61">
        <f t="shared" si="5"/>
        <v>365</v>
      </c>
      <c r="O17" s="69">
        <f t="shared" si="6"/>
        <v>6.6967863521960585E-3</v>
      </c>
      <c r="P17" s="61">
        <f t="shared" si="16"/>
        <v>3528767.1232876708</v>
      </c>
      <c r="Q17" s="61">
        <f t="shared" si="17"/>
        <v>3528767.1232876712</v>
      </c>
      <c r="R17" s="61">
        <f t="shared" si="18"/>
        <v>882191.78082191781</v>
      </c>
      <c r="S17" s="61">
        <f t="shared" si="19"/>
        <v>882191.78082191781</v>
      </c>
      <c r="T17" s="63">
        <f t="shared" si="20"/>
        <v>0</v>
      </c>
      <c r="U17" s="61">
        <f t="shared" si="21"/>
        <v>8821917.8082191776</v>
      </c>
      <c r="V17" s="64">
        <f t="shared" si="22"/>
        <v>5.0410958904109583E-4</v>
      </c>
      <c r="W17" s="147"/>
      <c r="X17" s="65">
        <f t="shared" si="23"/>
        <v>148678082.19178084</v>
      </c>
      <c r="Y17" s="150">
        <f t="shared" si="24"/>
        <v>8.4958904109589048E-3</v>
      </c>
      <c r="Z17" s="147"/>
      <c r="AA17" s="66">
        <f t="shared" si="25"/>
        <v>16500000000</v>
      </c>
      <c r="AB17" s="67">
        <f t="shared" si="7"/>
        <v>0</v>
      </c>
      <c r="AC17" s="67">
        <f t="shared" si="26"/>
        <v>0</v>
      </c>
      <c r="AD17" s="67">
        <v>140.25</v>
      </c>
      <c r="AE17" s="156">
        <f t="shared" si="8"/>
        <v>140200000</v>
      </c>
      <c r="AF17" s="67">
        <f t="shared" si="27"/>
        <v>140.25</v>
      </c>
      <c r="AG17" s="191">
        <f t="shared" si="28"/>
        <v>140200000</v>
      </c>
      <c r="AH17" s="62">
        <f t="shared" ref="AH17:AH74" si="34">AE17/AA16</f>
        <v>8.4969696969696973E-3</v>
      </c>
      <c r="AI17" s="184"/>
      <c r="AJ17" s="66">
        <f t="shared" si="29"/>
        <v>1000000000</v>
      </c>
      <c r="AK17" s="65">
        <f t="shared" si="9"/>
        <v>0</v>
      </c>
      <c r="AL17" s="65">
        <f t="shared" si="30"/>
        <v>8528082.1917808354</v>
      </c>
      <c r="AM17" s="65">
        <f t="shared" si="31"/>
        <v>8528082.1917808354</v>
      </c>
      <c r="AN17" s="62">
        <f t="shared" ref="AN17:AN46" si="35">AL17/AJ16</f>
        <v>8.5280821917808353E-3</v>
      </c>
      <c r="AO17" s="145"/>
      <c r="AP17" s="59">
        <f t="shared" si="32"/>
        <v>44817</v>
      </c>
      <c r="AQ17" s="67">
        <v>140.25</v>
      </c>
      <c r="AR17" s="65">
        <f t="shared" si="10"/>
        <v>140250000</v>
      </c>
      <c r="AS17" s="59">
        <f t="shared" si="33"/>
        <v>44817</v>
      </c>
      <c r="AT17" s="67">
        <v>140.25</v>
      </c>
      <c r="AU17" s="65">
        <f t="shared" si="11"/>
        <v>140250000</v>
      </c>
    </row>
    <row r="18" spans="2:47">
      <c r="B18" s="35">
        <f t="shared" si="0"/>
        <v>4</v>
      </c>
      <c r="C18" s="59">
        <f t="shared" si="12"/>
        <v>44908</v>
      </c>
      <c r="D18" s="177" t="str">
        <f t="shared" si="1"/>
        <v>화요일</v>
      </c>
      <c r="E18" s="60">
        <v>11</v>
      </c>
      <c r="F18" s="60">
        <v>0</v>
      </c>
      <c r="G18" s="61">
        <f t="shared" si="2"/>
        <v>157500000</v>
      </c>
      <c r="H18" s="61">
        <f t="shared" si="3"/>
        <v>0</v>
      </c>
      <c r="I18" s="61">
        <f t="shared" si="13"/>
        <v>157500000</v>
      </c>
      <c r="J18" s="151">
        <f t="shared" si="14"/>
        <v>8.9999999999999993E-3</v>
      </c>
      <c r="K18" s="147">
        <f>SUM(J15:J18)</f>
        <v>3.5999999999999997E-2</v>
      </c>
      <c r="L18" s="61">
        <f t="shared" si="15"/>
        <v>17500000000</v>
      </c>
      <c r="M18" s="61">
        <f t="shared" si="4"/>
        <v>91</v>
      </c>
      <c r="N18" s="61">
        <f>C18-C14</f>
        <v>365</v>
      </c>
      <c r="O18" s="69">
        <f t="shared" si="6"/>
        <v>6.6967863521960585E-3</v>
      </c>
      <c r="P18" s="61">
        <f t="shared" si="16"/>
        <v>3490410.958904109</v>
      </c>
      <c r="Q18" s="61">
        <f t="shared" si="17"/>
        <v>3490410.9589041094</v>
      </c>
      <c r="R18" s="61">
        <f t="shared" si="18"/>
        <v>872602.73972602736</v>
      </c>
      <c r="S18" s="61">
        <f t="shared" si="19"/>
        <v>872602.73972602736</v>
      </c>
      <c r="T18" s="63">
        <f t="shared" si="20"/>
        <v>0</v>
      </c>
      <c r="U18" s="61">
        <f t="shared" si="21"/>
        <v>8726027.3972602729</v>
      </c>
      <c r="V18" s="64">
        <f t="shared" si="22"/>
        <v>4.9863013698630133E-4</v>
      </c>
      <c r="W18" s="147">
        <f>SUM(V15:V18)</f>
        <v>2E-3</v>
      </c>
      <c r="X18" s="65">
        <f t="shared" si="23"/>
        <v>148773972.60273972</v>
      </c>
      <c r="Y18" s="150">
        <f t="shared" si="24"/>
        <v>8.5013698630136986E-3</v>
      </c>
      <c r="Z18" s="147">
        <f>SUM(Y15:Y18)</f>
        <v>3.4000000000000002E-2</v>
      </c>
      <c r="AA18" s="66">
        <f t="shared" si="25"/>
        <v>16500000000</v>
      </c>
      <c r="AB18" s="67">
        <f t="shared" si="7"/>
        <v>0</v>
      </c>
      <c r="AC18" s="67">
        <f t="shared" si="26"/>
        <v>0</v>
      </c>
      <c r="AD18" s="67">
        <v>140.25</v>
      </c>
      <c r="AE18" s="156">
        <f t="shared" si="8"/>
        <v>140200000</v>
      </c>
      <c r="AF18" s="67">
        <f t="shared" si="27"/>
        <v>140.25</v>
      </c>
      <c r="AG18" s="191">
        <f t="shared" si="28"/>
        <v>140200000</v>
      </c>
      <c r="AH18" s="62">
        <f t="shared" si="34"/>
        <v>8.4969696969696973E-3</v>
      </c>
      <c r="AI18" s="184">
        <f>SUM(AH15:AH18)</f>
        <v>3.3987878787878789E-2</v>
      </c>
      <c r="AJ18" s="66">
        <f t="shared" si="29"/>
        <v>1000000000</v>
      </c>
      <c r="AK18" s="65">
        <f t="shared" si="9"/>
        <v>0</v>
      </c>
      <c r="AL18" s="65">
        <f t="shared" si="30"/>
        <v>8623972.6027397215</v>
      </c>
      <c r="AM18" s="65">
        <f t="shared" si="31"/>
        <v>8623972.6027397215</v>
      </c>
      <c r="AN18" s="62">
        <f t="shared" si="35"/>
        <v>8.6239726027397216E-3</v>
      </c>
      <c r="AO18" s="145">
        <f>SUM(AN15:AN18)</f>
        <v>3.4400000000000028E-2</v>
      </c>
      <c r="AP18" s="59">
        <f t="shared" si="32"/>
        <v>44908</v>
      </c>
      <c r="AQ18" s="67">
        <v>140.25</v>
      </c>
      <c r="AR18" s="65">
        <f t="shared" si="10"/>
        <v>140250000</v>
      </c>
      <c r="AS18" s="59">
        <f t="shared" si="33"/>
        <v>44908</v>
      </c>
      <c r="AT18" s="67">
        <v>140.25</v>
      </c>
      <c r="AU18" s="65">
        <f t="shared" si="11"/>
        <v>140250000</v>
      </c>
    </row>
    <row r="19" spans="2:47">
      <c r="B19" s="35">
        <f t="shared" si="0"/>
        <v>5</v>
      </c>
      <c r="C19" s="38">
        <f t="shared" si="12"/>
        <v>44998</v>
      </c>
      <c r="D19" s="178" t="str">
        <f t="shared" si="1"/>
        <v>월요일</v>
      </c>
      <c r="E19" s="27">
        <v>2</v>
      </c>
      <c r="F19" s="27">
        <v>0</v>
      </c>
      <c r="G19" s="28">
        <f t="shared" si="2"/>
        <v>157500000</v>
      </c>
      <c r="H19" s="28">
        <f t="shared" si="3"/>
        <v>0</v>
      </c>
      <c r="I19" s="28">
        <f t="shared" si="13"/>
        <v>157500000</v>
      </c>
      <c r="J19" s="143">
        <f t="shared" si="14"/>
        <v>8.9999999999999993E-3</v>
      </c>
      <c r="K19" s="148"/>
      <c r="L19" s="28">
        <f t="shared" si="15"/>
        <v>17500000000</v>
      </c>
      <c r="M19" s="28">
        <f t="shared" si="4"/>
        <v>90</v>
      </c>
      <c r="N19" s="28">
        <f t="shared" si="5"/>
        <v>365</v>
      </c>
      <c r="O19" s="71">
        <f t="shared" si="6"/>
        <v>6.6967863521960585E-3</v>
      </c>
      <c r="P19" s="54">
        <f>L18*$V$5*M19/N19</f>
        <v>3452054.7945205471</v>
      </c>
      <c r="Q19" s="54">
        <f t="shared" si="17"/>
        <v>3452054.7945205481</v>
      </c>
      <c r="R19" s="54">
        <f t="shared" si="18"/>
        <v>863013.69863013702</v>
      </c>
      <c r="S19" s="54">
        <f t="shared" si="19"/>
        <v>863013.69863013702</v>
      </c>
      <c r="T19" s="56">
        <f t="shared" si="20"/>
        <v>0</v>
      </c>
      <c r="U19" s="54">
        <f t="shared" si="21"/>
        <v>8630136.98630137</v>
      </c>
      <c r="V19" s="57">
        <f t="shared" si="22"/>
        <v>4.9315068493150684E-4</v>
      </c>
      <c r="W19" s="153"/>
      <c r="X19" s="29">
        <f t="shared" si="23"/>
        <v>148869863.01369864</v>
      </c>
      <c r="Y19" s="142">
        <f t="shared" si="24"/>
        <v>8.5068493150684942E-3</v>
      </c>
      <c r="Z19" s="148"/>
      <c r="AA19" s="44">
        <f t="shared" si="25"/>
        <v>16500000000</v>
      </c>
      <c r="AB19" s="45">
        <f t="shared" si="7"/>
        <v>0</v>
      </c>
      <c r="AC19" s="45">
        <f t="shared" si="26"/>
        <v>0</v>
      </c>
      <c r="AD19" s="45">
        <v>140.25</v>
      </c>
      <c r="AE19" s="155">
        <f t="shared" si="8"/>
        <v>140200000</v>
      </c>
      <c r="AF19" s="45">
        <f t="shared" si="27"/>
        <v>140.25</v>
      </c>
      <c r="AG19" s="190">
        <f t="shared" si="28"/>
        <v>140200000</v>
      </c>
      <c r="AH19" s="46">
        <f t="shared" si="34"/>
        <v>8.4969696969696973E-3</v>
      </c>
      <c r="AI19" s="185"/>
      <c r="AJ19" s="51">
        <f t="shared" si="29"/>
        <v>1000000000</v>
      </c>
      <c r="AK19" s="49">
        <f t="shared" si="9"/>
        <v>0</v>
      </c>
      <c r="AL19" s="49">
        <f t="shared" si="30"/>
        <v>8719863.0136986375</v>
      </c>
      <c r="AM19" s="49">
        <f t="shared" si="31"/>
        <v>8719863.0136986375</v>
      </c>
      <c r="AN19" s="52">
        <f t="shared" si="35"/>
        <v>8.7198630136986373E-3</v>
      </c>
      <c r="AO19" s="171"/>
      <c r="AP19" s="38">
        <f t="shared" si="32"/>
        <v>44998</v>
      </c>
      <c r="AQ19" s="116">
        <v>140.25</v>
      </c>
      <c r="AR19" s="29">
        <f t="shared" si="10"/>
        <v>140250000</v>
      </c>
      <c r="AS19" s="38">
        <f t="shared" si="33"/>
        <v>44998</v>
      </c>
      <c r="AT19" s="118">
        <v>140.25</v>
      </c>
      <c r="AU19" s="117">
        <f t="shared" si="11"/>
        <v>140250000</v>
      </c>
    </row>
    <row r="20" spans="2:47">
      <c r="B20" s="35">
        <f t="shared" si="0"/>
        <v>6</v>
      </c>
      <c r="C20" s="38">
        <f t="shared" si="12"/>
        <v>45090</v>
      </c>
      <c r="D20" s="178" t="str">
        <f t="shared" si="1"/>
        <v>화요일</v>
      </c>
      <c r="E20" s="27">
        <v>5</v>
      </c>
      <c r="F20" s="27">
        <v>0</v>
      </c>
      <c r="G20" s="28">
        <f t="shared" si="2"/>
        <v>157500000</v>
      </c>
      <c r="H20" s="28">
        <f t="shared" si="3"/>
        <v>0</v>
      </c>
      <c r="I20" s="28">
        <f t="shared" si="13"/>
        <v>157500000</v>
      </c>
      <c r="J20" s="143">
        <f t="shared" si="14"/>
        <v>8.9999999999999993E-3</v>
      </c>
      <c r="K20" s="148"/>
      <c r="L20" s="28">
        <f>MAX(L19+F20-H20,0)</f>
        <v>17500000000</v>
      </c>
      <c r="M20" s="28">
        <f t="shared" si="4"/>
        <v>92</v>
      </c>
      <c r="N20" s="28">
        <f t="shared" si="5"/>
        <v>365</v>
      </c>
      <c r="O20" s="71">
        <f t="shared" si="6"/>
        <v>6.6967863521960585E-3</v>
      </c>
      <c r="P20" s="54">
        <f t="shared" si="16"/>
        <v>3528767.1232876708</v>
      </c>
      <c r="Q20" s="54">
        <f t="shared" si="17"/>
        <v>3528767.1232876712</v>
      </c>
      <c r="R20" s="54">
        <f t="shared" si="18"/>
        <v>882191.78082191781</v>
      </c>
      <c r="S20" s="54">
        <f t="shared" si="19"/>
        <v>882191.78082191781</v>
      </c>
      <c r="T20" s="56">
        <f t="shared" si="20"/>
        <v>0</v>
      </c>
      <c r="U20" s="54">
        <f t="shared" si="21"/>
        <v>8821917.8082191776</v>
      </c>
      <c r="V20" s="57">
        <f t="shared" si="22"/>
        <v>5.0410958904109583E-4</v>
      </c>
      <c r="W20" s="153"/>
      <c r="X20" s="29">
        <f t="shared" si="23"/>
        <v>148678082.19178084</v>
      </c>
      <c r="Y20" s="142">
        <f t="shared" si="24"/>
        <v>8.4958904109589048E-3</v>
      </c>
      <c r="Z20" s="148"/>
      <c r="AA20" s="44">
        <f t="shared" si="25"/>
        <v>16500000000</v>
      </c>
      <c r="AB20" s="45">
        <f t="shared" si="7"/>
        <v>0</v>
      </c>
      <c r="AC20" s="45">
        <f t="shared" si="26"/>
        <v>0</v>
      </c>
      <c r="AD20" s="45">
        <v>140.25</v>
      </c>
      <c r="AE20" s="155">
        <f t="shared" si="8"/>
        <v>140200000</v>
      </c>
      <c r="AF20" s="45">
        <f t="shared" si="27"/>
        <v>140.25</v>
      </c>
      <c r="AG20" s="190">
        <f t="shared" si="28"/>
        <v>140200000</v>
      </c>
      <c r="AH20" s="46">
        <f t="shared" si="34"/>
        <v>8.4969696969696973E-3</v>
      </c>
      <c r="AI20" s="185"/>
      <c r="AJ20" s="51">
        <f t="shared" si="29"/>
        <v>1000000000</v>
      </c>
      <c r="AK20" s="49">
        <f t="shared" si="9"/>
        <v>0</v>
      </c>
      <c r="AL20" s="49">
        <f t="shared" si="30"/>
        <v>8528082.1917808354</v>
      </c>
      <c r="AM20" s="49">
        <f t="shared" si="31"/>
        <v>8528082.1917808354</v>
      </c>
      <c r="AN20" s="52">
        <f>AL20/AJ19</f>
        <v>8.5280821917808353E-3</v>
      </c>
      <c r="AO20" s="171"/>
      <c r="AP20" s="38">
        <f t="shared" si="32"/>
        <v>45090</v>
      </c>
      <c r="AQ20" s="116">
        <v>140.25</v>
      </c>
      <c r="AR20" s="29">
        <f t="shared" si="10"/>
        <v>140250000</v>
      </c>
      <c r="AS20" s="38">
        <f t="shared" si="33"/>
        <v>45090</v>
      </c>
      <c r="AT20" s="118">
        <v>140.25</v>
      </c>
      <c r="AU20" s="117">
        <f t="shared" si="11"/>
        <v>140250000</v>
      </c>
    </row>
    <row r="21" spans="2:47">
      <c r="B21" s="35">
        <f t="shared" si="0"/>
        <v>7</v>
      </c>
      <c r="C21" s="38">
        <f t="shared" si="12"/>
        <v>45182</v>
      </c>
      <c r="D21" s="178" t="str">
        <f t="shared" si="1"/>
        <v>수요일</v>
      </c>
      <c r="E21" s="27">
        <v>8</v>
      </c>
      <c r="F21" s="27">
        <v>0</v>
      </c>
      <c r="G21" s="28">
        <f t="shared" si="2"/>
        <v>157500000</v>
      </c>
      <c r="H21" s="28">
        <f t="shared" si="3"/>
        <v>0</v>
      </c>
      <c r="I21" s="28">
        <f t="shared" si="13"/>
        <v>157500000</v>
      </c>
      <c r="J21" s="143">
        <f t="shared" si="14"/>
        <v>8.9999999999999993E-3</v>
      </c>
      <c r="K21" s="148"/>
      <c r="L21" s="28">
        <f t="shared" si="15"/>
        <v>17500000000</v>
      </c>
      <c r="M21" s="28">
        <f t="shared" si="4"/>
        <v>92</v>
      </c>
      <c r="N21" s="28">
        <f t="shared" si="5"/>
        <v>365</v>
      </c>
      <c r="O21" s="71">
        <f t="shared" si="6"/>
        <v>6.6967863521960585E-3</v>
      </c>
      <c r="P21" s="54">
        <f t="shared" si="16"/>
        <v>3528767.1232876708</v>
      </c>
      <c r="Q21" s="54">
        <f t="shared" si="17"/>
        <v>3528767.1232876712</v>
      </c>
      <c r="R21" s="54">
        <f t="shared" si="18"/>
        <v>882191.78082191781</v>
      </c>
      <c r="S21" s="54">
        <f t="shared" si="19"/>
        <v>882191.78082191781</v>
      </c>
      <c r="T21" s="56">
        <f t="shared" si="20"/>
        <v>0</v>
      </c>
      <c r="U21" s="54">
        <f t="shared" si="21"/>
        <v>8821917.8082191776</v>
      </c>
      <c r="V21" s="57">
        <f t="shared" si="22"/>
        <v>5.0410958904109583E-4</v>
      </c>
      <c r="W21" s="153"/>
      <c r="X21" s="29">
        <f t="shared" si="23"/>
        <v>148678082.19178084</v>
      </c>
      <c r="Y21" s="142">
        <f t="shared" si="24"/>
        <v>8.4958904109589048E-3</v>
      </c>
      <c r="Z21" s="148"/>
      <c r="AA21" s="44">
        <f t="shared" si="25"/>
        <v>16500000000</v>
      </c>
      <c r="AB21" s="45">
        <f t="shared" si="7"/>
        <v>0</v>
      </c>
      <c r="AC21" s="45">
        <f t="shared" si="26"/>
        <v>0</v>
      </c>
      <c r="AD21" s="45">
        <v>140.25</v>
      </c>
      <c r="AE21" s="155">
        <f t="shared" si="8"/>
        <v>140200000</v>
      </c>
      <c r="AF21" s="45">
        <f t="shared" si="27"/>
        <v>140.25</v>
      </c>
      <c r="AG21" s="190">
        <f t="shared" si="28"/>
        <v>140200000</v>
      </c>
      <c r="AH21" s="46">
        <f t="shared" si="34"/>
        <v>8.4969696969696973E-3</v>
      </c>
      <c r="AI21" s="185"/>
      <c r="AJ21" s="51">
        <f t="shared" si="29"/>
        <v>1000000000</v>
      </c>
      <c r="AK21" s="49">
        <f t="shared" si="9"/>
        <v>0</v>
      </c>
      <c r="AL21" s="49">
        <f t="shared" si="30"/>
        <v>8528082.1917808354</v>
      </c>
      <c r="AM21" s="49">
        <f t="shared" si="31"/>
        <v>8528082.1917808354</v>
      </c>
      <c r="AN21" s="52">
        <f t="shared" si="35"/>
        <v>8.5280821917808353E-3</v>
      </c>
      <c r="AO21" s="171"/>
      <c r="AP21" s="38">
        <f t="shared" si="32"/>
        <v>45182</v>
      </c>
      <c r="AQ21" s="116">
        <v>140.25</v>
      </c>
      <c r="AR21" s="29">
        <f t="shared" si="10"/>
        <v>140250000</v>
      </c>
      <c r="AS21" s="38">
        <f t="shared" si="33"/>
        <v>45182</v>
      </c>
      <c r="AT21" s="118">
        <v>140.25</v>
      </c>
      <c r="AU21" s="117">
        <f t="shared" si="11"/>
        <v>140250000</v>
      </c>
    </row>
    <row r="22" spans="2:47">
      <c r="B22" s="35">
        <f t="shared" si="0"/>
        <v>8</v>
      </c>
      <c r="C22" s="38">
        <f t="shared" si="12"/>
        <v>45273</v>
      </c>
      <c r="D22" s="178" t="str">
        <f t="shared" si="1"/>
        <v>수요일</v>
      </c>
      <c r="E22" s="27">
        <v>11</v>
      </c>
      <c r="F22" s="27">
        <v>0</v>
      </c>
      <c r="G22" s="28">
        <f t="shared" si="2"/>
        <v>157500000</v>
      </c>
      <c r="H22" s="28">
        <f t="shared" si="3"/>
        <v>0</v>
      </c>
      <c r="I22" s="28">
        <f t="shared" si="13"/>
        <v>157500000</v>
      </c>
      <c r="J22" s="143">
        <f t="shared" si="14"/>
        <v>8.9999999999999993E-3</v>
      </c>
      <c r="K22" s="148">
        <f>SUM(J19:J22)</f>
        <v>3.5999999999999997E-2</v>
      </c>
      <c r="L22" s="28">
        <f t="shared" si="15"/>
        <v>17500000000</v>
      </c>
      <c r="M22" s="28">
        <f t="shared" si="4"/>
        <v>91</v>
      </c>
      <c r="N22" s="28">
        <f>C22-C18</f>
        <v>365</v>
      </c>
      <c r="O22" s="71">
        <f t="shared" si="6"/>
        <v>6.6967863521960585E-3</v>
      </c>
      <c r="P22" s="54">
        <f t="shared" si="16"/>
        <v>3490410.958904109</v>
      </c>
      <c r="Q22" s="54">
        <f t="shared" si="17"/>
        <v>3490410.9589041094</v>
      </c>
      <c r="R22" s="54">
        <f t="shared" si="18"/>
        <v>872602.73972602736</v>
      </c>
      <c r="S22" s="54">
        <f t="shared" si="19"/>
        <v>872602.73972602736</v>
      </c>
      <c r="T22" s="56">
        <f t="shared" si="20"/>
        <v>0</v>
      </c>
      <c r="U22" s="54">
        <f t="shared" si="21"/>
        <v>8726027.3972602729</v>
      </c>
      <c r="V22" s="57">
        <f t="shared" si="22"/>
        <v>4.9863013698630133E-4</v>
      </c>
      <c r="W22" s="153">
        <f>SUM(V19:V22)</f>
        <v>2E-3</v>
      </c>
      <c r="X22" s="29">
        <f t="shared" si="23"/>
        <v>148773972.60273972</v>
      </c>
      <c r="Y22" s="142">
        <f t="shared" si="24"/>
        <v>8.5013698630136986E-3</v>
      </c>
      <c r="Z22" s="148">
        <f>SUM(Y19:Y22)</f>
        <v>3.4000000000000002E-2</v>
      </c>
      <c r="AA22" s="44">
        <f t="shared" si="25"/>
        <v>16500000000</v>
      </c>
      <c r="AB22" s="45">
        <f t="shared" si="7"/>
        <v>0</v>
      </c>
      <c r="AC22" s="45">
        <f t="shared" si="26"/>
        <v>0</v>
      </c>
      <c r="AD22" s="45">
        <v>140.25</v>
      </c>
      <c r="AE22" s="155">
        <f t="shared" si="8"/>
        <v>140200000</v>
      </c>
      <c r="AF22" s="45">
        <f t="shared" si="27"/>
        <v>140.25</v>
      </c>
      <c r="AG22" s="190">
        <f t="shared" si="28"/>
        <v>140200000</v>
      </c>
      <c r="AH22" s="46">
        <f t="shared" si="34"/>
        <v>8.4969696969696973E-3</v>
      </c>
      <c r="AI22" s="185">
        <f>SUM(AH19:AH22)</f>
        <v>3.3987878787878789E-2</v>
      </c>
      <c r="AJ22" s="51">
        <f t="shared" si="29"/>
        <v>1000000000</v>
      </c>
      <c r="AK22" s="49">
        <f t="shared" si="9"/>
        <v>0</v>
      </c>
      <c r="AL22" s="49">
        <f t="shared" si="30"/>
        <v>8623972.6027397215</v>
      </c>
      <c r="AM22" s="49">
        <f t="shared" si="31"/>
        <v>8623972.6027397215</v>
      </c>
      <c r="AN22" s="52">
        <f t="shared" si="35"/>
        <v>8.6239726027397216E-3</v>
      </c>
      <c r="AO22" s="171">
        <f>SUM(AN19:AN22)</f>
        <v>3.4400000000000028E-2</v>
      </c>
      <c r="AP22" s="38">
        <f t="shared" si="32"/>
        <v>45273</v>
      </c>
      <c r="AQ22" s="116">
        <v>140.25</v>
      </c>
      <c r="AR22" s="29">
        <f t="shared" si="10"/>
        <v>140250000</v>
      </c>
      <c r="AS22" s="38">
        <f t="shared" si="33"/>
        <v>45273</v>
      </c>
      <c r="AT22" s="118">
        <v>140.25</v>
      </c>
      <c r="AU22" s="117">
        <f t="shared" si="11"/>
        <v>140250000</v>
      </c>
    </row>
    <row r="23" spans="2:47">
      <c r="B23" s="35">
        <f t="shared" si="0"/>
        <v>9</v>
      </c>
      <c r="C23" s="59">
        <f t="shared" si="12"/>
        <v>45364</v>
      </c>
      <c r="D23" s="177" t="str">
        <f t="shared" si="1"/>
        <v>수요일</v>
      </c>
      <c r="E23" s="60">
        <v>2</v>
      </c>
      <c r="F23" s="60">
        <v>0</v>
      </c>
      <c r="G23" s="61">
        <f t="shared" si="2"/>
        <v>157500000</v>
      </c>
      <c r="H23" s="61">
        <f t="shared" si="3"/>
        <v>0</v>
      </c>
      <c r="I23" s="61">
        <f t="shared" si="13"/>
        <v>157500000</v>
      </c>
      <c r="J23" s="151">
        <f t="shared" si="14"/>
        <v>8.9999999999999993E-3</v>
      </c>
      <c r="K23" s="147"/>
      <c r="L23" s="61">
        <f t="shared" si="15"/>
        <v>17500000000</v>
      </c>
      <c r="M23" s="61">
        <f t="shared" si="4"/>
        <v>91</v>
      </c>
      <c r="N23" s="61">
        <f t="shared" si="5"/>
        <v>366</v>
      </c>
      <c r="O23" s="69">
        <f t="shared" si="6"/>
        <v>6.6967863521960585E-3</v>
      </c>
      <c r="P23" s="61">
        <f>L22*$V$5*M23/N23</f>
        <v>3480874.3169398899</v>
      </c>
      <c r="Q23" s="61">
        <f t="shared" si="17"/>
        <v>3480874.3169398909</v>
      </c>
      <c r="R23" s="61">
        <f t="shared" si="18"/>
        <v>870218.57923497271</v>
      </c>
      <c r="S23" s="61">
        <f t="shared" si="19"/>
        <v>870218.57923497271</v>
      </c>
      <c r="T23" s="63">
        <f t="shared" si="20"/>
        <v>0</v>
      </c>
      <c r="U23" s="61">
        <f t="shared" si="21"/>
        <v>8702185.792349726</v>
      </c>
      <c r="V23" s="64">
        <f t="shared" si="22"/>
        <v>4.9726775956284146E-4</v>
      </c>
      <c r="W23" s="147"/>
      <c r="X23" s="65">
        <f t="shared" si="23"/>
        <v>148797814.20765027</v>
      </c>
      <c r="Y23" s="150">
        <f t="shared" si="24"/>
        <v>8.5027322404371587E-3</v>
      </c>
      <c r="Z23" s="147"/>
      <c r="AA23" s="66">
        <f t="shared" si="25"/>
        <v>16500000000</v>
      </c>
      <c r="AB23" s="67">
        <f t="shared" si="7"/>
        <v>0</v>
      </c>
      <c r="AC23" s="67">
        <f t="shared" si="26"/>
        <v>0</v>
      </c>
      <c r="AD23" s="67">
        <v>140.25</v>
      </c>
      <c r="AE23" s="156">
        <f t="shared" si="8"/>
        <v>140200000</v>
      </c>
      <c r="AF23" s="67">
        <f t="shared" si="27"/>
        <v>140.25</v>
      </c>
      <c r="AG23" s="191">
        <f t="shared" si="28"/>
        <v>140200000</v>
      </c>
      <c r="AH23" s="150">
        <f t="shared" si="34"/>
        <v>8.4969696969696973E-3</v>
      </c>
      <c r="AI23" s="184"/>
      <c r="AJ23" s="66">
        <f t="shared" si="29"/>
        <v>1000000000</v>
      </c>
      <c r="AK23" s="65">
        <f t="shared" si="9"/>
        <v>0</v>
      </c>
      <c r="AL23" s="65">
        <f t="shared" si="30"/>
        <v>8647814.207650274</v>
      </c>
      <c r="AM23" s="65">
        <f t="shared" si="31"/>
        <v>8647814.207650274</v>
      </c>
      <c r="AN23" s="62">
        <f t="shared" si="35"/>
        <v>8.6478142076502739E-3</v>
      </c>
      <c r="AO23" s="145"/>
      <c r="AP23" s="59">
        <f t="shared" si="32"/>
        <v>45364</v>
      </c>
      <c r="AQ23" s="67">
        <v>140.25</v>
      </c>
      <c r="AR23" s="65">
        <f t="shared" si="10"/>
        <v>140250000</v>
      </c>
      <c r="AS23" s="59">
        <f t="shared" si="33"/>
        <v>45364</v>
      </c>
      <c r="AT23" s="67">
        <v>140.25</v>
      </c>
      <c r="AU23" s="65">
        <f t="shared" si="11"/>
        <v>140250000</v>
      </c>
    </row>
    <row r="24" spans="2:47">
      <c r="B24" s="35">
        <f t="shared" si="0"/>
        <v>10</v>
      </c>
      <c r="C24" s="59">
        <f t="shared" si="12"/>
        <v>45456</v>
      </c>
      <c r="D24" s="97" t="str">
        <f t="shared" si="1"/>
        <v>목요일</v>
      </c>
      <c r="E24" s="60">
        <v>5</v>
      </c>
      <c r="F24" s="60">
        <v>0</v>
      </c>
      <c r="G24" s="61">
        <f t="shared" si="2"/>
        <v>157500000</v>
      </c>
      <c r="H24" s="61">
        <f t="shared" si="3"/>
        <v>0</v>
      </c>
      <c r="I24" s="61">
        <f t="shared" si="13"/>
        <v>157500000</v>
      </c>
      <c r="J24" s="151">
        <f t="shared" si="14"/>
        <v>8.9999999999999993E-3</v>
      </c>
      <c r="K24" s="147"/>
      <c r="L24" s="61">
        <f>MAX(L23+F24-H24,0)</f>
        <v>17500000000</v>
      </c>
      <c r="M24" s="61">
        <f t="shared" si="4"/>
        <v>92</v>
      </c>
      <c r="N24" s="61">
        <f t="shared" si="5"/>
        <v>366</v>
      </c>
      <c r="O24" s="69">
        <f t="shared" si="6"/>
        <v>6.6967863521960585E-3</v>
      </c>
      <c r="P24" s="61">
        <f t="shared" si="16"/>
        <v>3519125.6830601087</v>
      </c>
      <c r="Q24" s="61">
        <f t="shared" si="17"/>
        <v>3519125.6830601091</v>
      </c>
      <c r="R24" s="61">
        <f t="shared" si="18"/>
        <v>879781.42076502729</v>
      </c>
      <c r="S24" s="61">
        <f t="shared" si="19"/>
        <v>879781.42076502729</v>
      </c>
      <c r="T24" s="63">
        <f t="shared" si="20"/>
        <v>0</v>
      </c>
      <c r="U24" s="61">
        <f t="shared" si="21"/>
        <v>8797814.2076502722</v>
      </c>
      <c r="V24" s="64">
        <f t="shared" si="22"/>
        <v>5.0273224043715845E-4</v>
      </c>
      <c r="W24" s="147"/>
      <c r="X24" s="65">
        <f t="shared" si="23"/>
        <v>148702185.79234973</v>
      </c>
      <c r="Y24" s="150">
        <f t="shared" si="24"/>
        <v>8.4972677595628408E-3</v>
      </c>
      <c r="Z24" s="147"/>
      <c r="AA24" s="66">
        <f t="shared" si="25"/>
        <v>16500000000</v>
      </c>
      <c r="AB24" s="67">
        <f t="shared" si="7"/>
        <v>0</v>
      </c>
      <c r="AC24" s="67">
        <f t="shared" si="26"/>
        <v>0</v>
      </c>
      <c r="AD24" s="67">
        <v>140.25</v>
      </c>
      <c r="AE24" s="156">
        <f t="shared" si="8"/>
        <v>140200000</v>
      </c>
      <c r="AF24" s="67">
        <f t="shared" si="27"/>
        <v>140.25</v>
      </c>
      <c r="AG24" s="191">
        <f t="shared" si="28"/>
        <v>140200000</v>
      </c>
      <c r="AH24" s="150">
        <f t="shared" si="34"/>
        <v>8.4969696969696973E-3</v>
      </c>
      <c r="AI24" s="184"/>
      <c r="AJ24" s="66">
        <f t="shared" si="29"/>
        <v>1000000000</v>
      </c>
      <c r="AK24" s="65">
        <f t="shared" si="9"/>
        <v>0</v>
      </c>
      <c r="AL24" s="65">
        <f t="shared" si="30"/>
        <v>8552185.792349726</v>
      </c>
      <c r="AM24" s="65">
        <f t="shared" si="31"/>
        <v>8552185.792349726</v>
      </c>
      <c r="AN24" s="62">
        <f t="shared" si="35"/>
        <v>8.5521857923497261E-3</v>
      </c>
      <c r="AO24" s="145"/>
      <c r="AP24" s="59">
        <f t="shared" si="32"/>
        <v>45456</v>
      </c>
      <c r="AQ24" s="67">
        <v>140.25</v>
      </c>
      <c r="AR24" s="65">
        <f t="shared" si="10"/>
        <v>140250000</v>
      </c>
      <c r="AS24" s="59">
        <f t="shared" si="33"/>
        <v>45456</v>
      </c>
      <c r="AT24" s="67">
        <v>140.25</v>
      </c>
      <c r="AU24" s="65">
        <f t="shared" si="11"/>
        <v>140250000</v>
      </c>
    </row>
    <row r="25" spans="2:47">
      <c r="B25" s="35">
        <f t="shared" si="0"/>
        <v>11</v>
      </c>
      <c r="C25" s="59">
        <f t="shared" si="12"/>
        <v>45548</v>
      </c>
      <c r="D25" s="97" t="str">
        <f t="shared" si="1"/>
        <v>금요일</v>
      </c>
      <c r="E25" s="60">
        <v>8</v>
      </c>
      <c r="F25" s="60">
        <v>0</v>
      </c>
      <c r="G25" s="61">
        <f t="shared" si="2"/>
        <v>157500000</v>
      </c>
      <c r="H25" s="61">
        <f t="shared" si="3"/>
        <v>0</v>
      </c>
      <c r="I25" s="61">
        <f t="shared" si="13"/>
        <v>157500000</v>
      </c>
      <c r="J25" s="151">
        <f t="shared" si="14"/>
        <v>8.9999999999999993E-3</v>
      </c>
      <c r="K25" s="147"/>
      <c r="L25" s="61">
        <f t="shared" si="15"/>
        <v>17500000000</v>
      </c>
      <c r="M25" s="61">
        <f t="shared" si="4"/>
        <v>92</v>
      </c>
      <c r="N25" s="61">
        <f t="shared" si="5"/>
        <v>366</v>
      </c>
      <c r="O25" s="69">
        <f t="shared" si="6"/>
        <v>6.6967863521960585E-3</v>
      </c>
      <c r="P25" s="61">
        <f t="shared" si="16"/>
        <v>3519125.6830601087</v>
      </c>
      <c r="Q25" s="61">
        <f t="shared" si="17"/>
        <v>3519125.6830601091</v>
      </c>
      <c r="R25" s="61">
        <f t="shared" si="18"/>
        <v>879781.42076502729</v>
      </c>
      <c r="S25" s="61">
        <f t="shared" si="19"/>
        <v>879781.42076502729</v>
      </c>
      <c r="T25" s="63">
        <f t="shared" si="20"/>
        <v>0</v>
      </c>
      <c r="U25" s="61">
        <f t="shared" si="21"/>
        <v>8797814.2076502722</v>
      </c>
      <c r="V25" s="64">
        <f t="shared" si="22"/>
        <v>5.0273224043715845E-4</v>
      </c>
      <c r="W25" s="147"/>
      <c r="X25" s="65">
        <f t="shared" si="23"/>
        <v>148702185.79234973</v>
      </c>
      <c r="Y25" s="150">
        <f t="shared" si="24"/>
        <v>8.4972677595628408E-3</v>
      </c>
      <c r="Z25" s="147"/>
      <c r="AA25" s="66">
        <f t="shared" si="25"/>
        <v>16500000000</v>
      </c>
      <c r="AB25" s="67">
        <f t="shared" si="7"/>
        <v>0</v>
      </c>
      <c r="AC25" s="67">
        <f t="shared" si="26"/>
        <v>0</v>
      </c>
      <c r="AD25" s="67">
        <v>140.25</v>
      </c>
      <c r="AE25" s="156">
        <f t="shared" si="8"/>
        <v>140200000</v>
      </c>
      <c r="AF25" s="67">
        <f t="shared" si="27"/>
        <v>140.25</v>
      </c>
      <c r="AG25" s="191">
        <f t="shared" si="28"/>
        <v>140200000</v>
      </c>
      <c r="AH25" s="150">
        <f t="shared" si="34"/>
        <v>8.4969696969696973E-3</v>
      </c>
      <c r="AI25" s="184"/>
      <c r="AJ25" s="66">
        <f t="shared" si="29"/>
        <v>1000000000</v>
      </c>
      <c r="AK25" s="65">
        <f t="shared" si="9"/>
        <v>0</v>
      </c>
      <c r="AL25" s="65">
        <f t="shared" si="30"/>
        <v>8552185.792349726</v>
      </c>
      <c r="AM25" s="65">
        <f t="shared" si="31"/>
        <v>8552185.792349726</v>
      </c>
      <c r="AN25" s="62">
        <f t="shared" si="35"/>
        <v>8.5521857923497261E-3</v>
      </c>
      <c r="AO25" s="145"/>
      <c r="AP25" s="59">
        <f t="shared" si="32"/>
        <v>45548</v>
      </c>
      <c r="AQ25" s="67">
        <v>140.25</v>
      </c>
      <c r="AR25" s="65">
        <f t="shared" si="10"/>
        <v>140250000</v>
      </c>
      <c r="AS25" s="59">
        <f t="shared" si="33"/>
        <v>45548</v>
      </c>
      <c r="AT25" s="67">
        <v>140.25</v>
      </c>
      <c r="AU25" s="65">
        <f t="shared" si="11"/>
        <v>140250000</v>
      </c>
    </row>
    <row r="26" spans="2:47">
      <c r="B26" s="35">
        <f t="shared" si="0"/>
        <v>12</v>
      </c>
      <c r="C26" s="59">
        <f t="shared" si="12"/>
        <v>45639</v>
      </c>
      <c r="D26" s="97" t="str">
        <f t="shared" si="1"/>
        <v>금요일</v>
      </c>
      <c r="E26" s="60">
        <v>11</v>
      </c>
      <c r="F26" s="60">
        <v>0</v>
      </c>
      <c r="G26" s="61">
        <f t="shared" si="2"/>
        <v>157500000</v>
      </c>
      <c r="H26" s="61">
        <f t="shared" si="3"/>
        <v>0</v>
      </c>
      <c r="I26" s="61">
        <f t="shared" si="13"/>
        <v>157500000</v>
      </c>
      <c r="J26" s="151">
        <f>I26/$F$14</f>
        <v>8.9999999999999993E-3</v>
      </c>
      <c r="K26" s="147">
        <f>SUM(J23:J26)</f>
        <v>3.5999999999999997E-2</v>
      </c>
      <c r="L26" s="61">
        <f t="shared" si="15"/>
        <v>17500000000</v>
      </c>
      <c r="M26" s="61">
        <f t="shared" si="4"/>
        <v>91</v>
      </c>
      <c r="N26" s="61">
        <f>C26-C22</f>
        <v>366</v>
      </c>
      <c r="O26" s="69">
        <f t="shared" si="6"/>
        <v>6.6967863521960585E-3</v>
      </c>
      <c r="P26" s="61">
        <f t="shared" si="16"/>
        <v>3480874.3169398899</v>
      </c>
      <c r="Q26" s="61">
        <f t="shared" si="17"/>
        <v>3480874.3169398909</v>
      </c>
      <c r="R26" s="61">
        <f t="shared" si="18"/>
        <v>870218.57923497271</v>
      </c>
      <c r="S26" s="61">
        <f t="shared" si="19"/>
        <v>870218.57923497271</v>
      </c>
      <c r="T26" s="63">
        <f t="shared" si="20"/>
        <v>0</v>
      </c>
      <c r="U26" s="61">
        <f t="shared" si="21"/>
        <v>8702185.792349726</v>
      </c>
      <c r="V26" s="64">
        <f t="shared" si="22"/>
        <v>4.9726775956284146E-4</v>
      </c>
      <c r="W26" s="147">
        <f>SUM(V23:V26)</f>
        <v>2E-3</v>
      </c>
      <c r="X26" s="65">
        <f t="shared" si="23"/>
        <v>148797814.20765027</v>
      </c>
      <c r="Y26" s="150">
        <f t="shared" si="24"/>
        <v>8.5027322404371587E-3</v>
      </c>
      <c r="Z26" s="147">
        <f>SUM(Y23:Y26)</f>
        <v>3.4000000000000002E-2</v>
      </c>
      <c r="AA26" s="66">
        <f t="shared" si="25"/>
        <v>16500000000</v>
      </c>
      <c r="AB26" s="67">
        <f t="shared" si="7"/>
        <v>0</v>
      </c>
      <c r="AC26" s="67">
        <f>AB26*$AB$9</f>
        <v>0</v>
      </c>
      <c r="AD26" s="67">
        <v>140.25</v>
      </c>
      <c r="AE26" s="156">
        <f t="shared" si="8"/>
        <v>140200000</v>
      </c>
      <c r="AF26" s="67">
        <f t="shared" si="27"/>
        <v>140.25</v>
      </c>
      <c r="AG26" s="191">
        <f t="shared" si="28"/>
        <v>140200000</v>
      </c>
      <c r="AH26" s="150">
        <f t="shared" si="34"/>
        <v>8.4969696969696973E-3</v>
      </c>
      <c r="AI26" s="184">
        <f>SUM(AH23:AH26)</f>
        <v>3.3987878787878789E-2</v>
      </c>
      <c r="AJ26" s="66">
        <f t="shared" si="29"/>
        <v>1000000000</v>
      </c>
      <c r="AK26" s="65">
        <f t="shared" si="9"/>
        <v>0</v>
      </c>
      <c r="AL26" s="65">
        <f t="shared" si="30"/>
        <v>8647814.207650274</v>
      </c>
      <c r="AM26" s="65">
        <f t="shared" si="31"/>
        <v>8647814.207650274</v>
      </c>
      <c r="AN26" s="62">
        <f t="shared" si="35"/>
        <v>8.6478142076502739E-3</v>
      </c>
      <c r="AO26" s="145">
        <f>SUM(AN23:AN26)</f>
        <v>3.44E-2</v>
      </c>
      <c r="AP26" s="59">
        <f t="shared" si="32"/>
        <v>45639</v>
      </c>
      <c r="AQ26" s="67">
        <v>140.25</v>
      </c>
      <c r="AR26" s="65">
        <f t="shared" si="10"/>
        <v>140250000</v>
      </c>
      <c r="AS26" s="59">
        <f t="shared" si="33"/>
        <v>45639</v>
      </c>
      <c r="AT26" s="67">
        <v>140.25</v>
      </c>
      <c r="AU26" s="65">
        <f t="shared" si="11"/>
        <v>140250000</v>
      </c>
    </row>
    <row r="27" spans="2:47">
      <c r="B27" s="35">
        <f t="shared" si="0"/>
        <v>13</v>
      </c>
      <c r="C27" s="38">
        <f t="shared" si="12"/>
        <v>45729</v>
      </c>
      <c r="D27" s="96" t="str">
        <f t="shared" si="1"/>
        <v>목요일</v>
      </c>
      <c r="E27" s="27">
        <v>2</v>
      </c>
      <c r="F27" s="27">
        <v>0</v>
      </c>
      <c r="G27" s="28">
        <f t="shared" ref="G27:G73" si="36">IF(AND($B27&gt;I$9,$B27&lt;(I$8+I$9)),(E$6-E$7)/E$414,(H27+I27))*1000000</f>
        <v>450598821.38732624</v>
      </c>
      <c r="H27" s="28">
        <f t="shared" si="3"/>
        <v>293098821.38732624</v>
      </c>
      <c r="I27" s="28">
        <f t="shared" si="13"/>
        <v>157500000</v>
      </c>
      <c r="J27" s="143">
        <f t="shared" ref="J27:J73" si="37">I27/L26</f>
        <v>8.9999999999999993E-3</v>
      </c>
      <c r="K27" s="148"/>
      <c r="L27" s="28">
        <f t="shared" si="15"/>
        <v>17206901178.612675</v>
      </c>
      <c r="M27" s="28">
        <f t="shared" si="4"/>
        <v>90</v>
      </c>
      <c r="N27" s="28">
        <f t="shared" si="5"/>
        <v>365</v>
      </c>
      <c r="O27" s="71">
        <f t="shared" si="6"/>
        <v>1.9159136745284293E-2</v>
      </c>
      <c r="P27" s="54">
        <f>L26*$V$5*M27/N27</f>
        <v>3452054.7945205471</v>
      </c>
      <c r="Q27" s="54">
        <f t="shared" si="17"/>
        <v>3452054.7945205481</v>
      </c>
      <c r="R27" s="54">
        <f t="shared" si="18"/>
        <v>863013.69863013702</v>
      </c>
      <c r="S27" s="54">
        <f t="shared" si="19"/>
        <v>863013.69863013702</v>
      </c>
      <c r="T27" s="56">
        <f t="shared" si="20"/>
        <v>0</v>
      </c>
      <c r="U27" s="54">
        <f t="shared" si="21"/>
        <v>8630136.98630137</v>
      </c>
      <c r="V27" s="57">
        <f t="shared" si="22"/>
        <v>4.9315068493150684E-4</v>
      </c>
      <c r="W27" s="153"/>
      <c r="X27" s="29">
        <f t="shared" si="23"/>
        <v>148869863.01369864</v>
      </c>
      <c r="Y27" s="142">
        <f t="shared" si="24"/>
        <v>8.5068493150684942E-3</v>
      </c>
      <c r="Z27" s="148"/>
      <c r="AA27" s="44">
        <f t="shared" si="25"/>
        <v>16220180787.002811</v>
      </c>
      <c r="AB27" s="42">
        <f>279.819212997188*1000000</f>
        <v>279819212.99718803</v>
      </c>
      <c r="AC27" s="42">
        <f>279.819212997188*1000000</f>
        <v>279819212.99718803</v>
      </c>
      <c r="AD27" s="45">
        <v>140.25</v>
      </c>
      <c r="AE27" s="155">
        <f>AD27*$O$8-$AJ$5</f>
        <v>140180787</v>
      </c>
      <c r="AF27" s="45">
        <f t="shared" si="27"/>
        <v>279819353.24718803</v>
      </c>
      <c r="AG27" s="190">
        <f>AC27+AE27</f>
        <v>419999999.99718803</v>
      </c>
      <c r="AH27" s="157">
        <f>AE27/AA26</f>
        <v>8.4958052727272734E-3</v>
      </c>
      <c r="AI27" s="185"/>
      <c r="AJ27" s="51">
        <f>AJ26-AK27</f>
        <v>986720391.60986185</v>
      </c>
      <c r="AK27" s="49">
        <f t="shared" ref="AK27:AK43" si="38">H27-AB27</f>
        <v>13279608.390138209</v>
      </c>
      <c r="AL27" s="49">
        <f>X27-AE27+$AJ$5</f>
        <v>8758289.0136986375</v>
      </c>
      <c r="AM27" s="49">
        <f>AK27+AL27</f>
        <v>22037897.403836846</v>
      </c>
      <c r="AN27" s="52">
        <f>AL27/AJ26</f>
        <v>8.7582890136986367E-3</v>
      </c>
      <c r="AO27" s="171"/>
      <c r="AP27" s="38">
        <f t="shared" si="32"/>
        <v>45729</v>
      </c>
      <c r="AQ27" s="116">
        <v>420.06921299718812</v>
      </c>
      <c r="AR27" s="29">
        <f t="shared" si="10"/>
        <v>420069212.99718809</v>
      </c>
      <c r="AS27" s="38">
        <f t="shared" si="33"/>
        <v>45729</v>
      </c>
      <c r="AT27" s="118">
        <v>420.06921299718812</v>
      </c>
      <c r="AU27" s="117">
        <f t="shared" si="11"/>
        <v>420069212.99718809</v>
      </c>
    </row>
    <row r="28" spans="2:47">
      <c r="B28" s="35">
        <f t="shared" si="0"/>
        <v>14</v>
      </c>
      <c r="C28" s="38">
        <f t="shared" si="12"/>
        <v>45821</v>
      </c>
      <c r="D28" s="96" t="str">
        <f t="shared" si="1"/>
        <v>금요일</v>
      </c>
      <c r="E28" s="27">
        <v>5</v>
      </c>
      <c r="F28" s="27">
        <v>0</v>
      </c>
      <c r="G28" s="28">
        <f t="shared" si="36"/>
        <v>450598821.38732624</v>
      </c>
      <c r="H28" s="28">
        <f t="shared" si="3"/>
        <v>295736710.77981222</v>
      </c>
      <c r="I28" s="28">
        <f t="shared" si="13"/>
        <v>154862110.60751405</v>
      </c>
      <c r="J28" s="143">
        <f t="shared" si="37"/>
        <v>8.9999999999999993E-3</v>
      </c>
      <c r="K28" s="148"/>
      <c r="L28" s="28">
        <f t="shared" si="15"/>
        <v>16911164467.832863</v>
      </c>
      <c r="M28" s="28">
        <f t="shared" si="4"/>
        <v>92</v>
      </c>
      <c r="N28" s="28">
        <f t="shared" si="5"/>
        <v>365</v>
      </c>
      <c r="O28" s="71">
        <f t="shared" si="6"/>
        <v>1.9159136745284293E-2</v>
      </c>
      <c r="P28" s="54">
        <f t="shared" si="16"/>
        <v>3469665.5527284732</v>
      </c>
      <c r="Q28" s="54">
        <f t="shared" si="17"/>
        <v>3469665.5527284741</v>
      </c>
      <c r="R28" s="54">
        <f t="shared" si="18"/>
        <v>867416.38818211854</v>
      </c>
      <c r="S28" s="54">
        <f t="shared" si="19"/>
        <v>867416.38818211854</v>
      </c>
      <c r="T28" s="56">
        <f t="shared" si="20"/>
        <v>0</v>
      </c>
      <c r="U28" s="54">
        <f t="shared" si="21"/>
        <v>8674163.8818211854</v>
      </c>
      <c r="V28" s="57">
        <f t="shared" si="22"/>
        <v>5.0410958904109594E-4</v>
      </c>
      <c r="W28" s="153"/>
      <c r="X28" s="29">
        <f t="shared" si="23"/>
        <v>146187946.72569287</v>
      </c>
      <c r="Y28" s="142">
        <f t="shared" si="24"/>
        <v>8.4958904109589031E-3</v>
      </c>
      <c r="Z28" s="148"/>
      <c r="AA28" s="44">
        <f t="shared" si="25"/>
        <v>15937983110.695147</v>
      </c>
      <c r="AB28" s="42">
        <f>282.197676307664*1000000</f>
        <v>282197676.30766398</v>
      </c>
      <c r="AC28" s="42">
        <f>282.197676307664*1000000</f>
        <v>282197676.30766398</v>
      </c>
      <c r="AD28" s="45">
        <v>137.87153668952394</v>
      </c>
      <c r="AE28" s="155">
        <f t="shared" ref="AE28:AE74" si="39">AD28*$O$8-$AJ$5</f>
        <v>137802323.68952394</v>
      </c>
      <c r="AF28" s="45">
        <f t="shared" si="27"/>
        <v>282197814.17920065</v>
      </c>
      <c r="AG28" s="190">
        <f t="shared" ref="AG28:AG74" si="40">AC28+AE28</f>
        <v>419999999.99718791</v>
      </c>
      <c r="AH28" s="157">
        <f>AE28/AA27</f>
        <v>8.4957329082265588E-3</v>
      </c>
      <c r="AI28" s="185"/>
      <c r="AJ28" s="51">
        <f t="shared" si="29"/>
        <v>973181357.13771367</v>
      </c>
      <c r="AK28" s="49">
        <f t="shared" si="38"/>
        <v>13539034.47214824</v>
      </c>
      <c r="AL28" s="49">
        <f>X28-AE28+$AJ$5</f>
        <v>8454836.0361689329</v>
      </c>
      <c r="AM28" s="49">
        <f t="shared" ref="AM28:AM46" si="41">AK28+AL28</f>
        <v>21993870.508317173</v>
      </c>
      <c r="AN28" s="52">
        <f t="shared" si="35"/>
        <v>8.568624007429939E-3</v>
      </c>
      <c r="AO28" s="171"/>
      <c r="AP28" s="38">
        <f t="shared" si="32"/>
        <v>45821</v>
      </c>
      <c r="AQ28" s="116">
        <v>420.06921299718817</v>
      </c>
      <c r="AR28" s="29">
        <f t="shared" si="10"/>
        <v>420069212.99718815</v>
      </c>
      <c r="AS28" s="38">
        <f t="shared" si="33"/>
        <v>45821</v>
      </c>
      <c r="AT28" s="118">
        <v>420.06921299718817</v>
      </c>
      <c r="AU28" s="117">
        <f t="shared" si="11"/>
        <v>420069212.99718815</v>
      </c>
    </row>
    <row r="29" spans="2:47">
      <c r="B29" s="35">
        <f t="shared" si="0"/>
        <v>15</v>
      </c>
      <c r="C29" s="38">
        <f t="shared" si="12"/>
        <v>45913</v>
      </c>
      <c r="D29" s="98" t="str">
        <f t="shared" si="1"/>
        <v>토요일</v>
      </c>
      <c r="E29" s="27">
        <v>8</v>
      </c>
      <c r="F29" s="27">
        <v>0</v>
      </c>
      <c r="G29" s="28">
        <f t="shared" si="36"/>
        <v>450598821.38732624</v>
      </c>
      <c r="H29" s="28">
        <f t="shared" si="3"/>
        <v>298398341.17683053</v>
      </c>
      <c r="I29" s="28">
        <f t="shared" si="13"/>
        <v>152200480.21049574</v>
      </c>
      <c r="J29" s="143">
        <f t="shared" si="37"/>
        <v>8.9999999999999993E-3</v>
      </c>
      <c r="K29" s="148"/>
      <c r="L29" s="28">
        <f t="shared" si="15"/>
        <v>16612766126.656033</v>
      </c>
      <c r="M29" s="28">
        <f t="shared" si="4"/>
        <v>92</v>
      </c>
      <c r="N29" s="28">
        <f t="shared" si="5"/>
        <v>365</v>
      </c>
      <c r="O29" s="71">
        <f t="shared" si="6"/>
        <v>1.9159136745284293E-2</v>
      </c>
      <c r="P29" s="54">
        <f t="shared" si="16"/>
        <v>3410032.0680342424</v>
      </c>
      <c r="Q29" s="54">
        <f t="shared" si="17"/>
        <v>3410032.0680342433</v>
      </c>
      <c r="R29" s="54">
        <f t="shared" si="18"/>
        <v>852508.01700856083</v>
      </c>
      <c r="S29" s="54">
        <f t="shared" si="19"/>
        <v>852508.01700856083</v>
      </c>
      <c r="T29" s="56">
        <f t="shared" si="20"/>
        <v>0</v>
      </c>
      <c r="U29" s="54">
        <f t="shared" si="21"/>
        <v>8525080.1700856071</v>
      </c>
      <c r="V29" s="57">
        <f t="shared" si="22"/>
        <v>5.0410958904109583E-4</v>
      </c>
      <c r="W29" s="153"/>
      <c r="X29" s="29">
        <f t="shared" si="23"/>
        <v>143675400.04041013</v>
      </c>
      <c r="Y29" s="142">
        <f t="shared" si="24"/>
        <v>8.4958904109589031E-3</v>
      </c>
      <c r="Z29" s="148"/>
      <c r="AA29" s="44">
        <f t="shared" si="25"/>
        <v>15653386754.138868</v>
      </c>
      <c r="AB29" s="42">
        <f>284.596356556279*1000000</f>
        <v>284596356.556279</v>
      </c>
      <c r="AC29" s="42">
        <f>284.596356556279*1000000</f>
        <v>284596356.556279</v>
      </c>
      <c r="AD29" s="45">
        <v>135.47285644090877</v>
      </c>
      <c r="AE29" s="155">
        <f t="shared" si="39"/>
        <v>135403643.44090876</v>
      </c>
      <c r="AF29" s="45">
        <f t="shared" si="27"/>
        <v>284596492.02913547</v>
      </c>
      <c r="AG29" s="190">
        <f t="shared" si="40"/>
        <v>419999999.99718773</v>
      </c>
      <c r="AH29" s="157">
        <f t="shared" si="34"/>
        <v>8.4956573551672587E-3</v>
      </c>
      <c r="AI29" s="185"/>
      <c r="AJ29" s="51">
        <f t="shared" si="29"/>
        <v>959379372.51716208</v>
      </c>
      <c r="AK29" s="49">
        <f t="shared" si="38"/>
        <v>13801984.620551527</v>
      </c>
      <c r="AL29" s="49">
        <f t="shared" ref="AL29:AL73" si="42">X29-AE29+$AJ$5</f>
        <v>8340969.5995013714</v>
      </c>
      <c r="AM29" s="49">
        <f t="shared" si="41"/>
        <v>22142954.220052898</v>
      </c>
      <c r="AN29" s="52">
        <f t="shared" si="35"/>
        <v>8.5708275629462673E-3</v>
      </c>
      <c r="AO29" s="171"/>
      <c r="AP29" s="38">
        <f t="shared" si="32"/>
        <v>45913</v>
      </c>
      <c r="AQ29" s="116">
        <v>420.06921299718817</v>
      </c>
      <c r="AR29" s="29">
        <f t="shared" si="10"/>
        <v>420069212.99718815</v>
      </c>
      <c r="AS29" s="38">
        <f t="shared" si="33"/>
        <v>45913</v>
      </c>
      <c r="AT29" s="118">
        <v>420.06921299718817</v>
      </c>
      <c r="AU29" s="117">
        <f t="shared" si="11"/>
        <v>420069212.99718815</v>
      </c>
    </row>
    <row r="30" spans="2:47">
      <c r="B30" s="35">
        <f t="shared" si="0"/>
        <v>16</v>
      </c>
      <c r="C30" s="38">
        <f t="shared" si="12"/>
        <v>46004</v>
      </c>
      <c r="D30" s="98" t="str">
        <f t="shared" si="1"/>
        <v>토요일</v>
      </c>
      <c r="E30" s="27">
        <v>11</v>
      </c>
      <c r="F30" s="27">
        <v>0</v>
      </c>
      <c r="G30" s="28">
        <f t="shared" si="36"/>
        <v>450598821.38732624</v>
      </c>
      <c r="H30" s="28">
        <f t="shared" si="3"/>
        <v>301083926.24742198</v>
      </c>
      <c r="I30" s="28">
        <f t="shared" si="13"/>
        <v>149514895.13990429</v>
      </c>
      <c r="J30" s="143">
        <f t="shared" si="37"/>
        <v>8.9999999999999993E-3</v>
      </c>
      <c r="K30" s="148">
        <f>SUM(J27:J30)</f>
        <v>3.5999999999999997E-2</v>
      </c>
      <c r="L30" s="28">
        <f t="shared" si="15"/>
        <v>16311682200.408611</v>
      </c>
      <c r="M30" s="28">
        <f t="shared" si="4"/>
        <v>91</v>
      </c>
      <c r="N30" s="28">
        <f>C30-C26</f>
        <v>365</v>
      </c>
      <c r="O30" s="71">
        <f t="shared" si="6"/>
        <v>1.9159136745284293E-2</v>
      </c>
      <c r="P30" s="54">
        <f t="shared" si="16"/>
        <v>3313450.3397823535</v>
      </c>
      <c r="Q30" s="54">
        <f t="shared" si="17"/>
        <v>3313450.3397823544</v>
      </c>
      <c r="R30" s="54">
        <f t="shared" si="18"/>
        <v>828362.58494558861</v>
      </c>
      <c r="S30" s="54">
        <f t="shared" si="19"/>
        <v>828362.58494558861</v>
      </c>
      <c r="T30" s="56">
        <f t="shared" si="20"/>
        <v>0</v>
      </c>
      <c r="U30" s="54">
        <f t="shared" si="21"/>
        <v>8283625.8494558847</v>
      </c>
      <c r="V30" s="57">
        <f t="shared" si="22"/>
        <v>4.9863013698630133E-4</v>
      </c>
      <c r="W30" s="153">
        <f>SUM(V27:V30)</f>
        <v>2E-3</v>
      </c>
      <c r="X30" s="29">
        <f t="shared" si="23"/>
        <v>141231269.2904484</v>
      </c>
      <c r="Y30" s="142">
        <f t="shared" si="24"/>
        <v>8.5013698630136986E-3</v>
      </c>
      <c r="Z30" s="148">
        <f>SUM(Y27:Y30)</f>
        <v>3.3999999999999996E-2</v>
      </c>
      <c r="AA30" s="44">
        <f t="shared" si="25"/>
        <v>15366371328.551861</v>
      </c>
      <c r="AB30" s="42">
        <f>287.015425587008*1000000</f>
        <v>287015425.587008</v>
      </c>
      <c r="AC30" s="42">
        <f>287.015425587008*1000000</f>
        <v>287015425.587008</v>
      </c>
      <c r="AD30" s="45">
        <v>133.05378741018041</v>
      </c>
      <c r="AE30" s="155">
        <f t="shared" si="39"/>
        <v>132984574.4101804</v>
      </c>
      <c r="AF30" s="45">
        <f t="shared" si="27"/>
        <v>287015558.64079541</v>
      </c>
      <c r="AG30" s="190">
        <f t="shared" si="40"/>
        <v>419999999.99718839</v>
      </c>
      <c r="AH30" s="157">
        <f t="shared" si="34"/>
        <v>8.4955784009500893E-3</v>
      </c>
      <c r="AI30" s="185">
        <f>SUM(AH27:AH30)</f>
        <v>3.3982773937071178E-2</v>
      </c>
      <c r="AJ30" s="51">
        <f t="shared" si="29"/>
        <v>945310871.8567481</v>
      </c>
      <c r="AK30" s="49">
        <f t="shared" si="38"/>
        <v>14068500.66041398</v>
      </c>
      <c r="AL30" s="49">
        <f t="shared" si="42"/>
        <v>8315907.8802679926</v>
      </c>
      <c r="AM30" s="49">
        <f t="shared" si="41"/>
        <v>22384408.540681973</v>
      </c>
      <c r="AN30" s="52">
        <f t="shared" si="35"/>
        <v>8.6680077959662739E-3</v>
      </c>
      <c r="AO30" s="171">
        <f>SUM(AN27:AN30)</f>
        <v>3.4565748380041117E-2</v>
      </c>
      <c r="AP30" s="38">
        <f t="shared" si="32"/>
        <v>46004</v>
      </c>
      <c r="AQ30" s="116">
        <v>420.06921299718817</v>
      </c>
      <c r="AR30" s="29">
        <f t="shared" si="10"/>
        <v>420069212.99718815</v>
      </c>
      <c r="AS30" s="38">
        <f t="shared" si="33"/>
        <v>46004</v>
      </c>
      <c r="AT30" s="118">
        <v>420.06921299718817</v>
      </c>
      <c r="AU30" s="117">
        <f t="shared" si="11"/>
        <v>420069212.99718815</v>
      </c>
    </row>
    <row r="31" spans="2:47">
      <c r="B31" s="35">
        <f t="shared" si="0"/>
        <v>17</v>
      </c>
      <c r="C31" s="59">
        <f t="shared" si="12"/>
        <v>46094</v>
      </c>
      <c r="D31" s="97" t="str">
        <f t="shared" si="1"/>
        <v>금요일</v>
      </c>
      <c r="E31" s="60">
        <v>2</v>
      </c>
      <c r="F31" s="60">
        <v>0</v>
      </c>
      <c r="G31" s="61">
        <f t="shared" si="36"/>
        <v>450598821.38732624</v>
      </c>
      <c r="H31" s="61">
        <f t="shared" si="3"/>
        <v>303793681.58364874</v>
      </c>
      <c r="I31" s="61">
        <f t="shared" si="13"/>
        <v>146805139.8036775</v>
      </c>
      <c r="J31" s="151">
        <f t="shared" si="37"/>
        <v>8.9999999999999993E-3</v>
      </c>
      <c r="K31" s="147"/>
      <c r="L31" s="61">
        <f t="shared" si="15"/>
        <v>16007888518.824963</v>
      </c>
      <c r="M31" s="61">
        <f t="shared" si="4"/>
        <v>90</v>
      </c>
      <c r="N31" s="61">
        <f t="shared" si="5"/>
        <v>365</v>
      </c>
      <c r="O31" s="69">
        <f t="shared" si="6"/>
        <v>1.9159136745284293E-2</v>
      </c>
      <c r="P31" s="61">
        <f t="shared" si="16"/>
        <v>3217646.8998066303</v>
      </c>
      <c r="Q31" s="61">
        <f t="shared" si="17"/>
        <v>3217646.8998066308</v>
      </c>
      <c r="R31" s="61">
        <f t="shared" si="18"/>
        <v>804411.7249516577</v>
      </c>
      <c r="S31" s="61">
        <f t="shared" si="19"/>
        <v>804411.7249516577</v>
      </c>
      <c r="T31" s="63">
        <f t="shared" si="20"/>
        <v>0</v>
      </c>
      <c r="U31" s="61">
        <f t="shared" si="21"/>
        <v>8044117.2495165765</v>
      </c>
      <c r="V31" s="64">
        <f t="shared" si="22"/>
        <v>4.9315068493150694E-4</v>
      </c>
      <c r="W31" s="147"/>
      <c r="X31" s="65">
        <f t="shared" si="23"/>
        <v>138761022.55416092</v>
      </c>
      <c r="Y31" s="150">
        <f t="shared" si="24"/>
        <v>8.5068493150684925E-3</v>
      </c>
      <c r="Z31" s="147"/>
      <c r="AA31" s="66">
        <f t="shared" si="25"/>
        <v>15076916271.847364</v>
      </c>
      <c r="AB31" s="65">
        <f>289.455056704497*1000000</f>
        <v>289455056.70449698</v>
      </c>
      <c r="AC31" s="65">
        <f>289.455056704497*1000000</f>
        <v>289455056.70449698</v>
      </c>
      <c r="AD31" s="67">
        <v>130.61415629269084</v>
      </c>
      <c r="AE31" s="156">
        <f t="shared" si="39"/>
        <v>130544943.29269084</v>
      </c>
      <c r="AF31" s="67">
        <f t="shared" si="27"/>
        <v>289455187.31865329</v>
      </c>
      <c r="AG31" s="191">
        <f t="shared" si="40"/>
        <v>419999999.99718785</v>
      </c>
      <c r="AH31" s="150">
        <f t="shared" si="34"/>
        <v>8.4954958136491624E-3</v>
      </c>
      <c r="AI31" s="184"/>
      <c r="AJ31" s="66">
        <f t="shared" si="29"/>
        <v>930972246.97759628</v>
      </c>
      <c r="AK31" s="65">
        <f t="shared" si="38"/>
        <v>14338624.879151762</v>
      </c>
      <c r="AL31" s="65">
        <f t="shared" si="42"/>
        <v>8285292.2614700794</v>
      </c>
      <c r="AM31" s="65">
        <f t="shared" si="41"/>
        <v>22623917.140621841</v>
      </c>
      <c r="AN31" s="62">
        <f t="shared" si="35"/>
        <v>8.7646217854200539E-3</v>
      </c>
      <c r="AO31" s="145"/>
      <c r="AP31" s="59">
        <f t="shared" si="32"/>
        <v>46094</v>
      </c>
      <c r="AQ31" s="67">
        <v>420.06921299718806</v>
      </c>
      <c r="AR31" s="65">
        <f t="shared" si="10"/>
        <v>420069212.99718803</v>
      </c>
      <c r="AS31" s="59">
        <f t="shared" si="33"/>
        <v>46094</v>
      </c>
      <c r="AT31" s="67">
        <v>420.06921299718806</v>
      </c>
      <c r="AU31" s="65">
        <f t="shared" si="11"/>
        <v>420069212.99718803</v>
      </c>
    </row>
    <row r="32" spans="2:47">
      <c r="B32" s="35">
        <f t="shared" si="0"/>
        <v>18</v>
      </c>
      <c r="C32" s="59">
        <f t="shared" si="12"/>
        <v>46186</v>
      </c>
      <c r="D32" s="99" t="str">
        <f t="shared" si="1"/>
        <v>토요일</v>
      </c>
      <c r="E32" s="60">
        <v>5</v>
      </c>
      <c r="F32" s="60">
        <v>0</v>
      </c>
      <c r="G32" s="61">
        <f t="shared" si="36"/>
        <v>450598821.38732624</v>
      </c>
      <c r="H32" s="61">
        <f t="shared" si="3"/>
        <v>306527824.71790159</v>
      </c>
      <c r="I32" s="61">
        <f t="shared" si="13"/>
        <v>144070996.66942465</v>
      </c>
      <c r="J32" s="151">
        <f t="shared" si="37"/>
        <v>8.9999999999999993E-3</v>
      </c>
      <c r="K32" s="147"/>
      <c r="L32" s="61">
        <f t="shared" si="15"/>
        <v>15701360694.107061</v>
      </c>
      <c r="M32" s="61">
        <f t="shared" si="4"/>
        <v>92</v>
      </c>
      <c r="N32" s="61">
        <f t="shared" si="5"/>
        <v>365</v>
      </c>
      <c r="O32" s="69">
        <f t="shared" si="6"/>
        <v>1.9159136745284293E-2</v>
      </c>
      <c r="P32" s="61">
        <f t="shared" si="16"/>
        <v>3227892.0410562116</v>
      </c>
      <c r="Q32" s="61">
        <f t="shared" si="17"/>
        <v>3227892.0410562116</v>
      </c>
      <c r="R32" s="61">
        <f t="shared" si="18"/>
        <v>806973.01026405289</v>
      </c>
      <c r="S32" s="61">
        <f t="shared" si="19"/>
        <v>806973.01026405289</v>
      </c>
      <c r="T32" s="63">
        <f t="shared" si="20"/>
        <v>0</v>
      </c>
      <c r="U32" s="61">
        <f t="shared" si="21"/>
        <v>8069730.1026405292</v>
      </c>
      <c r="V32" s="64">
        <f t="shared" si="22"/>
        <v>5.0410958904109594E-4</v>
      </c>
      <c r="W32" s="147"/>
      <c r="X32" s="65">
        <f t="shared" si="23"/>
        <v>136001266.56678411</v>
      </c>
      <c r="Y32" s="150">
        <f t="shared" si="24"/>
        <v>8.4958904109589031E-3</v>
      </c>
      <c r="Z32" s="147"/>
      <c r="AA32" s="66">
        <f t="shared" si="25"/>
        <v>14785000847.160879</v>
      </c>
      <c r="AB32" s="65">
        <f>291.915424686485*1000000</f>
        <v>291915424.68648499</v>
      </c>
      <c r="AC32" s="65">
        <f>291.915424686485*1000000</f>
        <v>291915424.68648499</v>
      </c>
      <c r="AD32" s="67">
        <v>128.15378831070262</v>
      </c>
      <c r="AE32" s="156">
        <f t="shared" si="39"/>
        <v>128084575.31070262</v>
      </c>
      <c r="AF32" s="67">
        <f t="shared" si="27"/>
        <v>291915552.84027332</v>
      </c>
      <c r="AG32" s="191">
        <f t="shared" si="40"/>
        <v>419999999.99718761</v>
      </c>
      <c r="AH32" s="150">
        <f t="shared" si="34"/>
        <v>8.4954093397647101E-3</v>
      </c>
      <c r="AI32" s="184"/>
      <c r="AJ32" s="66">
        <f t="shared" si="29"/>
        <v>916359846.94617963</v>
      </c>
      <c r="AK32" s="65">
        <f t="shared" si="38"/>
        <v>14612400.031416595</v>
      </c>
      <c r="AL32" s="65">
        <f t="shared" si="42"/>
        <v>7985904.2560814917</v>
      </c>
      <c r="AM32" s="65">
        <f t="shared" si="41"/>
        <v>22598304.287498087</v>
      </c>
      <c r="AN32" s="62">
        <f t="shared" si="35"/>
        <v>8.5780261248471681E-3</v>
      </c>
      <c r="AO32" s="145"/>
      <c r="AP32" s="59">
        <f t="shared" si="32"/>
        <v>46186</v>
      </c>
      <c r="AQ32" s="67">
        <v>420.06921299718812</v>
      </c>
      <c r="AR32" s="65">
        <f t="shared" si="10"/>
        <v>420069212.99718809</v>
      </c>
      <c r="AS32" s="59">
        <f t="shared" si="33"/>
        <v>46186</v>
      </c>
      <c r="AT32" s="67">
        <v>420.06921299718812</v>
      </c>
      <c r="AU32" s="65">
        <f t="shared" si="11"/>
        <v>420069212.99718809</v>
      </c>
    </row>
    <row r="33" spans="2:47">
      <c r="B33" s="35">
        <f t="shared" si="0"/>
        <v>19</v>
      </c>
      <c r="C33" s="59">
        <f t="shared" si="12"/>
        <v>46278</v>
      </c>
      <c r="D33" s="99" t="str">
        <f t="shared" si="1"/>
        <v>일요일</v>
      </c>
      <c r="E33" s="60">
        <v>8</v>
      </c>
      <c r="F33" s="60">
        <v>0</v>
      </c>
      <c r="G33" s="61">
        <f t="shared" si="36"/>
        <v>450598821.38732624</v>
      </c>
      <c r="H33" s="61">
        <f t="shared" si="3"/>
        <v>309286575.14036274</v>
      </c>
      <c r="I33" s="61">
        <f t="shared" si="13"/>
        <v>141312246.24696353</v>
      </c>
      <c r="J33" s="151">
        <f t="shared" si="37"/>
        <v>8.9999999999999993E-3</v>
      </c>
      <c r="K33" s="147"/>
      <c r="L33" s="61">
        <f t="shared" si="15"/>
        <v>15392074118.966698</v>
      </c>
      <c r="M33" s="61">
        <f t="shared" si="4"/>
        <v>92</v>
      </c>
      <c r="N33" s="61">
        <f t="shared" si="5"/>
        <v>365</v>
      </c>
      <c r="O33" s="69">
        <f t="shared" si="6"/>
        <v>1.9159136745284293E-2</v>
      </c>
      <c r="P33" s="61">
        <f t="shared" si="16"/>
        <v>3166082.5947569306</v>
      </c>
      <c r="Q33" s="61">
        <f t="shared" si="17"/>
        <v>3166082.5947569306</v>
      </c>
      <c r="R33" s="61">
        <f t="shared" si="18"/>
        <v>791520.64868923265</v>
      </c>
      <c r="S33" s="61">
        <f t="shared" si="19"/>
        <v>791520.64868923265</v>
      </c>
      <c r="T33" s="63">
        <f t="shared" si="20"/>
        <v>0</v>
      </c>
      <c r="U33" s="61">
        <f t="shared" si="21"/>
        <v>7915206.4868923267</v>
      </c>
      <c r="V33" s="64">
        <f t="shared" si="22"/>
        <v>5.0410958904109594E-4</v>
      </c>
      <c r="W33" s="147"/>
      <c r="X33" s="65">
        <f t="shared" si="23"/>
        <v>133397039.7600712</v>
      </c>
      <c r="Y33" s="150">
        <f t="shared" si="24"/>
        <v>8.4958904109589031E-3</v>
      </c>
      <c r="Z33" s="147"/>
      <c r="AA33" s="66">
        <f t="shared" si="25"/>
        <v>14490604141.364557</v>
      </c>
      <c r="AB33" s="65">
        <f>294.396705796321*1000000</f>
        <v>294396705.79632097</v>
      </c>
      <c r="AC33" s="65">
        <f>294.396705796321*1000000</f>
        <v>294396705.79632097</v>
      </c>
      <c r="AD33" s="67">
        <v>125.67250720086749</v>
      </c>
      <c r="AE33" s="156">
        <f t="shared" si="39"/>
        <v>125603294.20086749</v>
      </c>
      <c r="AF33" s="67">
        <f t="shared" si="27"/>
        <v>294396831.4688282</v>
      </c>
      <c r="AG33" s="191">
        <f t="shared" si="40"/>
        <v>419999999.99718845</v>
      </c>
      <c r="AH33" s="150">
        <f t="shared" si="34"/>
        <v>8.4953187016547742E-3</v>
      </c>
      <c r="AI33" s="184"/>
      <c r="AJ33" s="66">
        <f t="shared" si="29"/>
        <v>901469977.6021378</v>
      </c>
      <c r="AK33" s="65">
        <f t="shared" si="38"/>
        <v>14889869.344041765</v>
      </c>
      <c r="AL33" s="65">
        <f t="shared" si="42"/>
        <v>7862958.5592037141</v>
      </c>
      <c r="AM33" s="65">
        <f t="shared" si="41"/>
        <v>22752827.903245479</v>
      </c>
      <c r="AN33" s="62">
        <f t="shared" si="35"/>
        <v>8.5806450221574664E-3</v>
      </c>
      <c r="AO33" s="145"/>
      <c r="AP33" s="59">
        <f t="shared" si="32"/>
        <v>46278</v>
      </c>
      <c r="AQ33" s="67">
        <v>420.06921299718817</v>
      </c>
      <c r="AR33" s="65">
        <f t="shared" si="10"/>
        <v>420069212.99718815</v>
      </c>
      <c r="AS33" s="59">
        <f t="shared" si="33"/>
        <v>46278</v>
      </c>
      <c r="AT33" s="67">
        <v>420.06921299718817</v>
      </c>
      <c r="AU33" s="65">
        <f t="shared" si="11"/>
        <v>420069212.99718815</v>
      </c>
    </row>
    <row r="34" spans="2:47">
      <c r="B34" s="35">
        <f t="shared" si="0"/>
        <v>20</v>
      </c>
      <c r="C34" s="59">
        <f t="shared" si="12"/>
        <v>46369</v>
      </c>
      <c r="D34" s="99" t="str">
        <f t="shared" si="1"/>
        <v>일요일</v>
      </c>
      <c r="E34" s="60">
        <v>11</v>
      </c>
      <c r="F34" s="60">
        <v>0</v>
      </c>
      <c r="G34" s="61">
        <f t="shared" si="36"/>
        <v>450598821.38732624</v>
      </c>
      <c r="H34" s="61">
        <f t="shared" si="3"/>
        <v>312070154.31662595</v>
      </c>
      <c r="I34" s="61">
        <f t="shared" si="13"/>
        <v>138528667.07070026</v>
      </c>
      <c r="J34" s="151">
        <f t="shared" si="37"/>
        <v>8.9999999999999993E-3</v>
      </c>
      <c r="K34" s="147">
        <f>SUM(J31:J34)</f>
        <v>3.5999999999999997E-2</v>
      </c>
      <c r="L34" s="61">
        <f t="shared" si="15"/>
        <v>15080003964.650072</v>
      </c>
      <c r="M34" s="61">
        <f t="shared" si="4"/>
        <v>91</v>
      </c>
      <c r="N34" s="61">
        <f>C34-C30</f>
        <v>365</v>
      </c>
      <c r="O34" s="69">
        <f t="shared" si="6"/>
        <v>1.9159136745284293E-2</v>
      </c>
      <c r="P34" s="61">
        <f t="shared" si="16"/>
        <v>3069980.8105774671</v>
      </c>
      <c r="Q34" s="61">
        <f t="shared" si="17"/>
        <v>3069980.8105774675</v>
      </c>
      <c r="R34" s="61">
        <f t="shared" si="18"/>
        <v>767495.20264436689</v>
      </c>
      <c r="S34" s="61">
        <f t="shared" si="19"/>
        <v>767495.20264436689</v>
      </c>
      <c r="T34" s="63">
        <f t="shared" si="20"/>
        <v>0</v>
      </c>
      <c r="U34" s="61">
        <f t="shared" si="21"/>
        <v>7674952.0264436677</v>
      </c>
      <c r="V34" s="64">
        <f t="shared" si="22"/>
        <v>4.9863013698630133E-4</v>
      </c>
      <c r="W34" s="147">
        <f>SUM(V31:V34)</f>
        <v>2E-3</v>
      </c>
      <c r="X34" s="65">
        <f t="shared" si="23"/>
        <v>130853715.0442566</v>
      </c>
      <c r="Y34" s="150">
        <f t="shared" si="24"/>
        <v>8.5013698630136986E-3</v>
      </c>
      <c r="Z34" s="147">
        <f>SUM(Y31:Y34)</f>
        <v>3.3999999999999996E-2</v>
      </c>
      <c r="AA34" s="66">
        <f t="shared" si="25"/>
        <v>14193705063.568968</v>
      </c>
      <c r="AB34" s="65">
        <f>296.899077795589*1000000</f>
        <v>296899077.79558897</v>
      </c>
      <c r="AC34" s="65">
        <f>296.899077795589*1000000</f>
        <v>296899077.79558897</v>
      </c>
      <c r="AD34" s="67">
        <v>123.17013520159875</v>
      </c>
      <c r="AE34" s="156">
        <f t="shared" si="39"/>
        <v>123100922.20159875</v>
      </c>
      <c r="AF34" s="67">
        <f t="shared" si="27"/>
        <v>296899200.96572417</v>
      </c>
      <c r="AG34" s="191">
        <f t="shared" si="40"/>
        <v>419999999.99718773</v>
      </c>
      <c r="AH34" s="150">
        <f t="shared" si="34"/>
        <v>8.4952235945910341E-3</v>
      </c>
      <c r="AI34" s="184">
        <f>SUM(AH31:AH34)</f>
        <v>3.3981447449659682E-2</v>
      </c>
      <c r="AJ34" s="66">
        <f t="shared" si="29"/>
        <v>886298901.08110082</v>
      </c>
      <c r="AK34" s="65">
        <f t="shared" si="38"/>
        <v>15171076.521036983</v>
      </c>
      <c r="AL34" s="65">
        <f t="shared" si="42"/>
        <v>7822005.8426578492</v>
      </c>
      <c r="AM34" s="65">
        <f t="shared" si="41"/>
        <v>22993082.363694832</v>
      </c>
      <c r="AN34" s="62">
        <f t="shared" si="35"/>
        <v>8.6769454746168789E-3</v>
      </c>
      <c r="AO34" s="145">
        <f>SUM(AN31:AN34)</f>
        <v>3.4600238407041566E-2</v>
      </c>
      <c r="AP34" s="59">
        <f t="shared" si="32"/>
        <v>46369</v>
      </c>
      <c r="AQ34" s="67">
        <v>420.06921299718817</v>
      </c>
      <c r="AR34" s="65">
        <f t="shared" si="10"/>
        <v>420069212.99718815</v>
      </c>
      <c r="AS34" s="59">
        <f t="shared" si="33"/>
        <v>46369</v>
      </c>
      <c r="AT34" s="67">
        <v>420.06921299718817</v>
      </c>
      <c r="AU34" s="65">
        <f t="shared" si="11"/>
        <v>420069212.99718815</v>
      </c>
    </row>
    <row r="35" spans="2:47">
      <c r="B35" s="35">
        <f t="shared" si="0"/>
        <v>21</v>
      </c>
      <c r="C35" s="38">
        <f t="shared" si="12"/>
        <v>46459</v>
      </c>
      <c r="D35" s="98" t="str">
        <f t="shared" si="1"/>
        <v>토요일</v>
      </c>
      <c r="E35" s="27">
        <v>2</v>
      </c>
      <c r="F35" s="27">
        <v>0</v>
      </c>
      <c r="G35" s="28">
        <f t="shared" si="36"/>
        <v>450598821.38732624</v>
      </c>
      <c r="H35" s="28">
        <f t="shared" si="3"/>
        <v>314878785.70547557</v>
      </c>
      <c r="I35" s="28">
        <f t="shared" si="13"/>
        <v>135720035.68185064</v>
      </c>
      <c r="J35" s="143">
        <f t="shared" si="37"/>
        <v>8.9999999999999993E-3</v>
      </c>
      <c r="K35" s="148"/>
      <c r="L35" s="28">
        <f t="shared" si="15"/>
        <v>14765125178.944597</v>
      </c>
      <c r="M35" s="28">
        <f t="shared" si="4"/>
        <v>90</v>
      </c>
      <c r="N35" s="28">
        <f t="shared" si="5"/>
        <v>365</v>
      </c>
      <c r="O35" s="71">
        <f t="shared" si="6"/>
        <v>1.9159136745284293E-2</v>
      </c>
      <c r="P35" s="54">
        <f t="shared" si="16"/>
        <v>2974685.7135748086</v>
      </c>
      <c r="Q35" s="54">
        <f t="shared" si="17"/>
        <v>2974685.7135748086</v>
      </c>
      <c r="R35" s="54">
        <f t="shared" si="18"/>
        <v>743671.42839370214</v>
      </c>
      <c r="S35" s="54">
        <f t="shared" si="19"/>
        <v>743671.42839370214</v>
      </c>
      <c r="T35" s="56">
        <f t="shared" si="20"/>
        <v>0</v>
      </c>
      <c r="U35" s="54">
        <f t="shared" si="21"/>
        <v>7436714.2839370212</v>
      </c>
      <c r="V35" s="57">
        <f t="shared" si="22"/>
        <v>4.9315068493150684E-4</v>
      </c>
      <c r="W35" s="153"/>
      <c r="X35" s="29">
        <f t="shared" si="23"/>
        <v>128283321.39791362</v>
      </c>
      <c r="Y35" s="142">
        <f t="shared" si="24"/>
        <v>8.5068493150684925E-3</v>
      </c>
      <c r="Z35" s="148"/>
      <c r="AA35" s="44">
        <f t="shared" si="25"/>
        <v>13894282343.612116</v>
      </c>
      <c r="AB35" s="42">
        <f>299.422719956852*1000000</f>
        <v>299422719.95685202</v>
      </c>
      <c r="AC35" s="42">
        <f>299.422719956852*1000000</f>
        <v>299422719.95685202</v>
      </c>
      <c r="AD35" s="45">
        <v>120.64649304033625</v>
      </c>
      <c r="AE35" s="155">
        <f t="shared" si="39"/>
        <v>120577280.04033625</v>
      </c>
      <c r="AF35" s="45">
        <f t="shared" si="27"/>
        <v>299422840.60334504</v>
      </c>
      <c r="AG35" s="190">
        <f t="shared" si="40"/>
        <v>419999999.99718827</v>
      </c>
      <c r="AH35" s="157">
        <f t="shared" si="34"/>
        <v>8.4951236833730164E-3</v>
      </c>
      <c r="AI35" s="185"/>
      <c r="AJ35" s="51">
        <f t="shared" si="29"/>
        <v>870842835.33247733</v>
      </c>
      <c r="AK35" s="49">
        <f t="shared" si="38"/>
        <v>15456065.74862355</v>
      </c>
      <c r="AL35" s="49">
        <f t="shared" si="42"/>
        <v>7775254.3575773686</v>
      </c>
      <c r="AM35" s="49">
        <f t="shared" si="41"/>
        <v>23231320.106200919</v>
      </c>
      <c r="AN35" s="52">
        <f t="shared" si="35"/>
        <v>8.7727225522824994E-3</v>
      </c>
      <c r="AO35" s="171"/>
      <c r="AP35" s="38">
        <f t="shared" si="32"/>
        <v>46459</v>
      </c>
      <c r="AQ35" s="116">
        <v>420.06921299718806</v>
      </c>
      <c r="AR35" s="29">
        <f t="shared" si="10"/>
        <v>420069212.99718803</v>
      </c>
      <c r="AS35" s="38">
        <f t="shared" si="33"/>
        <v>46459</v>
      </c>
      <c r="AT35" s="118">
        <v>420.06921299718806</v>
      </c>
      <c r="AU35" s="117">
        <f t="shared" si="11"/>
        <v>420069212.99718803</v>
      </c>
    </row>
    <row r="36" spans="2:47">
      <c r="B36" s="35">
        <f t="shared" si="0"/>
        <v>22</v>
      </c>
      <c r="C36" s="38">
        <f t="shared" si="12"/>
        <v>46551</v>
      </c>
      <c r="D36" s="98" t="str">
        <f t="shared" si="1"/>
        <v>일요일</v>
      </c>
      <c r="E36" s="27">
        <v>5</v>
      </c>
      <c r="F36" s="27">
        <v>0</v>
      </c>
      <c r="G36" s="28">
        <f t="shared" si="36"/>
        <v>450598821.38732624</v>
      </c>
      <c r="H36" s="28">
        <f t="shared" si="3"/>
        <v>317712694.77682489</v>
      </c>
      <c r="I36" s="28">
        <f t="shared" si="13"/>
        <v>132886126.61050136</v>
      </c>
      <c r="J36" s="143">
        <f t="shared" si="37"/>
        <v>8.9999999999999993E-3</v>
      </c>
      <c r="K36" s="148"/>
      <c r="L36" s="28">
        <f t="shared" si="15"/>
        <v>14447412484.167772</v>
      </c>
      <c r="M36" s="28">
        <f t="shared" si="4"/>
        <v>92</v>
      </c>
      <c r="N36" s="28">
        <f t="shared" si="5"/>
        <v>365</v>
      </c>
      <c r="O36" s="71">
        <f t="shared" si="6"/>
        <v>1.9159136745284293E-2</v>
      </c>
      <c r="P36" s="54">
        <f t="shared" si="16"/>
        <v>2977296.4744392396</v>
      </c>
      <c r="Q36" s="54">
        <f t="shared" si="17"/>
        <v>2977296.4744392396</v>
      </c>
      <c r="R36" s="54">
        <f t="shared" si="18"/>
        <v>744324.1186098099</v>
      </c>
      <c r="S36" s="54">
        <f t="shared" si="19"/>
        <v>744324.1186098099</v>
      </c>
      <c r="T36" s="56">
        <f t="shared" si="20"/>
        <v>0</v>
      </c>
      <c r="U36" s="54">
        <f t="shared" si="21"/>
        <v>7443241.1860980997</v>
      </c>
      <c r="V36" s="57">
        <f t="shared" si="22"/>
        <v>5.0410958904109594E-4</v>
      </c>
      <c r="W36" s="153"/>
      <c r="X36" s="29">
        <f t="shared" si="23"/>
        <v>125442885.42440327</v>
      </c>
      <c r="Y36" s="142">
        <f t="shared" si="24"/>
        <v>8.4958904109589031E-3</v>
      </c>
      <c r="Z36" s="148"/>
      <c r="AA36" s="44">
        <f t="shared" si="25"/>
        <v>13592314530.535631</v>
      </c>
      <c r="AB36" s="42">
        <f>301.967813076485*1000000</f>
        <v>301967813.07648504</v>
      </c>
      <c r="AC36" s="42">
        <f>301.967813076485*1000000</f>
        <v>301967813.07648504</v>
      </c>
      <c r="AD36" s="45">
        <v>118.10139992070302</v>
      </c>
      <c r="AE36" s="155">
        <f t="shared" si="39"/>
        <v>118032186.92070302</v>
      </c>
      <c r="AF36" s="45">
        <f t="shared" si="27"/>
        <v>301967931.17788494</v>
      </c>
      <c r="AG36" s="190">
        <f t="shared" si="40"/>
        <v>419999999.99718809</v>
      </c>
      <c r="AH36" s="157">
        <f t="shared" si="34"/>
        <v>8.495018598421401E-3</v>
      </c>
      <c r="AI36" s="185"/>
      <c r="AJ36" s="51">
        <f t="shared" si="29"/>
        <v>855097953.63213754</v>
      </c>
      <c r="AK36" s="49">
        <f t="shared" si="38"/>
        <v>15744881.700339854</v>
      </c>
      <c r="AL36" s="49">
        <f t="shared" si="42"/>
        <v>7479911.5037002414</v>
      </c>
      <c r="AM36" s="49">
        <f t="shared" si="41"/>
        <v>23224793.204040095</v>
      </c>
      <c r="AN36" s="52">
        <f t="shared" si="35"/>
        <v>8.5892783407289577E-3</v>
      </c>
      <c r="AO36" s="171"/>
      <c r="AP36" s="38">
        <f t="shared" si="32"/>
        <v>46551</v>
      </c>
      <c r="AQ36" s="116">
        <v>420.06921299718817</v>
      </c>
      <c r="AR36" s="29">
        <f t="shared" si="10"/>
        <v>420069212.99718815</v>
      </c>
      <c r="AS36" s="38">
        <f t="shared" si="33"/>
        <v>46551</v>
      </c>
      <c r="AT36" s="118">
        <v>420.06921299718817</v>
      </c>
      <c r="AU36" s="117">
        <f t="shared" si="11"/>
        <v>420069212.99718815</v>
      </c>
    </row>
    <row r="37" spans="2:47">
      <c r="B37" s="35">
        <f t="shared" si="0"/>
        <v>23</v>
      </c>
      <c r="C37" s="38">
        <f t="shared" si="12"/>
        <v>46643</v>
      </c>
      <c r="D37" s="96" t="str">
        <f t="shared" si="1"/>
        <v>월요일</v>
      </c>
      <c r="E37" s="27">
        <v>8</v>
      </c>
      <c r="F37" s="27">
        <v>0</v>
      </c>
      <c r="G37" s="28">
        <f t="shared" si="36"/>
        <v>450598821.38732624</v>
      </c>
      <c r="H37" s="28">
        <f t="shared" si="3"/>
        <v>320572109.02981627</v>
      </c>
      <c r="I37" s="28">
        <f t="shared" si="13"/>
        <v>130026712.35750994</v>
      </c>
      <c r="J37" s="143">
        <f t="shared" si="37"/>
        <v>8.9999999999999993E-3</v>
      </c>
      <c r="K37" s="148"/>
      <c r="L37" s="28">
        <f t="shared" si="15"/>
        <v>14126840375.137957</v>
      </c>
      <c r="M37" s="28">
        <f t="shared" si="4"/>
        <v>92</v>
      </c>
      <c r="N37" s="28">
        <f t="shared" si="5"/>
        <v>365</v>
      </c>
      <c r="O37" s="71">
        <f t="shared" si="6"/>
        <v>1.9159136745284293E-2</v>
      </c>
      <c r="P37" s="54">
        <f t="shared" si="16"/>
        <v>2913231.668040405</v>
      </c>
      <c r="Q37" s="54">
        <f t="shared" si="17"/>
        <v>2913231.6680404055</v>
      </c>
      <c r="R37" s="54">
        <f t="shared" si="18"/>
        <v>728307.91701010137</v>
      </c>
      <c r="S37" s="54">
        <f t="shared" si="19"/>
        <v>728307.91701010137</v>
      </c>
      <c r="T37" s="56">
        <f t="shared" si="20"/>
        <v>0</v>
      </c>
      <c r="U37" s="54">
        <f t="shared" si="21"/>
        <v>7283079.170101013</v>
      </c>
      <c r="V37" s="57">
        <f t="shared" si="22"/>
        <v>5.0410958904109583E-4</v>
      </c>
      <c r="W37" s="153"/>
      <c r="X37" s="29">
        <f t="shared" si="23"/>
        <v>122743633.18740892</v>
      </c>
      <c r="Y37" s="142">
        <f t="shared" si="24"/>
        <v>8.4958904109589031E-3</v>
      </c>
      <c r="Z37" s="148"/>
      <c r="AA37" s="44">
        <f t="shared" si="25"/>
        <v>13287779991.047997</v>
      </c>
      <c r="AB37" s="42">
        <f>304.534539487635*$AB$9</f>
        <v>304534539.48763502</v>
      </c>
      <c r="AC37" s="42">
        <f>304.534539487635*$AB$9</f>
        <v>304534539.48763502</v>
      </c>
      <c r="AD37" s="45">
        <v>115.53467350955287</v>
      </c>
      <c r="AE37" s="155">
        <f t="shared" si="39"/>
        <v>115465460.50955288</v>
      </c>
      <c r="AF37" s="45">
        <f t="shared" si="27"/>
        <v>304534655.02230853</v>
      </c>
      <c r="AG37" s="190">
        <f t="shared" si="40"/>
        <v>419999999.99718791</v>
      </c>
      <c r="AH37" s="157">
        <f t="shared" si="34"/>
        <v>8.4949079312544966E-3</v>
      </c>
      <c r="AI37" s="185"/>
      <c r="AJ37" s="51">
        <f t="shared" si="29"/>
        <v>839060384.08995628</v>
      </c>
      <c r="AK37" s="49">
        <f t="shared" si="38"/>
        <v>16037569.542181253</v>
      </c>
      <c r="AL37" s="49">
        <f t="shared" si="42"/>
        <v>7347385.677856043</v>
      </c>
      <c r="AM37" s="49">
        <f t="shared" si="41"/>
        <v>23384955.220037296</v>
      </c>
      <c r="AN37" s="52">
        <f t="shared" si="35"/>
        <v>8.5924491418171278E-3</v>
      </c>
      <c r="AO37" s="171"/>
      <c r="AP37" s="38">
        <f t="shared" si="32"/>
        <v>46643</v>
      </c>
      <c r="AQ37" s="116">
        <v>420.06921299718806</v>
      </c>
      <c r="AR37" s="29">
        <f t="shared" si="10"/>
        <v>420069212.99718803</v>
      </c>
      <c r="AS37" s="38">
        <f t="shared" si="33"/>
        <v>46643</v>
      </c>
      <c r="AT37" s="118">
        <v>420.06921299718806</v>
      </c>
      <c r="AU37" s="117">
        <f t="shared" si="11"/>
        <v>420069212.99718803</v>
      </c>
    </row>
    <row r="38" spans="2:47">
      <c r="B38" s="35">
        <f t="shared" si="0"/>
        <v>24</v>
      </c>
      <c r="C38" s="38">
        <f t="shared" si="12"/>
        <v>46734</v>
      </c>
      <c r="D38" s="96" t="str">
        <f t="shared" si="1"/>
        <v>월요일</v>
      </c>
      <c r="E38" s="27">
        <v>11</v>
      </c>
      <c r="F38" s="27">
        <v>0</v>
      </c>
      <c r="G38" s="28">
        <f t="shared" si="36"/>
        <v>450598821.38732624</v>
      </c>
      <c r="H38" s="28">
        <f t="shared" si="3"/>
        <v>323457258.01108468</v>
      </c>
      <c r="I38" s="28">
        <f t="shared" si="13"/>
        <v>127141563.37624159</v>
      </c>
      <c r="J38" s="143">
        <f t="shared" si="37"/>
        <v>8.9999999999999993E-3</v>
      </c>
      <c r="K38" s="148">
        <f>SUM(J35:J38)</f>
        <v>3.5999999999999997E-2</v>
      </c>
      <c r="L38" s="28">
        <f t="shared" si="15"/>
        <v>13803383117.126871</v>
      </c>
      <c r="M38" s="28">
        <f t="shared" si="4"/>
        <v>91</v>
      </c>
      <c r="N38" s="28">
        <f>C38-C34</f>
        <v>365</v>
      </c>
      <c r="O38" s="71">
        <f t="shared" si="6"/>
        <v>1.9159136745284293E-2</v>
      </c>
      <c r="P38" s="54">
        <f t="shared" si="16"/>
        <v>2817627.3405754603</v>
      </c>
      <c r="Q38" s="54">
        <f t="shared" si="17"/>
        <v>2817627.3405754613</v>
      </c>
      <c r="R38" s="54">
        <f t="shared" si="18"/>
        <v>704406.83514386532</v>
      </c>
      <c r="S38" s="54">
        <f t="shared" si="19"/>
        <v>704406.83514386532</v>
      </c>
      <c r="T38" s="56">
        <f t="shared" si="20"/>
        <v>0</v>
      </c>
      <c r="U38" s="54">
        <f t="shared" si="21"/>
        <v>7044068.3514386518</v>
      </c>
      <c r="V38" s="57">
        <f t="shared" si="22"/>
        <v>4.9863013698630133E-4</v>
      </c>
      <c r="W38" s="153">
        <f>SUM(V35:V38)</f>
        <v>2E-3</v>
      </c>
      <c r="X38" s="29">
        <f t="shared" si="23"/>
        <v>120097495.02480294</v>
      </c>
      <c r="Y38" s="142">
        <f t="shared" si="24"/>
        <v>8.5013698630136969E-3</v>
      </c>
      <c r="Z38" s="148">
        <f>SUM(Y35:Y38)</f>
        <v>3.3999999999999996E-2</v>
      </c>
      <c r="AA38" s="44">
        <f t="shared" si="25"/>
        <v>12980656907.974716</v>
      </c>
      <c r="AB38" s="42">
        <f>307.12308307328*AB9</f>
        <v>307123083.07327998</v>
      </c>
      <c r="AC38" s="42">
        <f>307.12308307328*AB9</f>
        <v>307123083.07327998</v>
      </c>
      <c r="AD38" s="45">
        <v>112.94612992390799</v>
      </c>
      <c r="AE38" s="155">
        <f t="shared" si="39"/>
        <v>112876916.923908</v>
      </c>
      <c r="AF38" s="45">
        <f t="shared" si="27"/>
        <v>307123196.01940989</v>
      </c>
      <c r="AG38" s="190">
        <f t="shared" si="40"/>
        <v>419999999.99718797</v>
      </c>
      <c r="AH38" s="157">
        <f t="shared" si="34"/>
        <v>8.4947912292311738E-3</v>
      </c>
      <c r="AI38" s="185">
        <f>SUM(AH35:AH38)</f>
        <v>3.3979841442280084E-2</v>
      </c>
      <c r="AJ38" s="51">
        <f t="shared" si="29"/>
        <v>822726209.15215158</v>
      </c>
      <c r="AK38" s="49">
        <f t="shared" si="38"/>
        <v>16334174.937804699</v>
      </c>
      <c r="AL38" s="49">
        <f t="shared" si="42"/>
        <v>7289791.1008949429</v>
      </c>
      <c r="AM38" s="49">
        <f t="shared" si="41"/>
        <v>23623966.038699642</v>
      </c>
      <c r="AN38" s="52">
        <f t="shared" si="35"/>
        <v>8.6880410982595017E-3</v>
      </c>
      <c r="AO38" s="171">
        <f>SUM(AN35:AN38)</f>
        <v>3.4642491133088094E-2</v>
      </c>
      <c r="AP38" s="38">
        <f t="shared" si="32"/>
        <v>46734</v>
      </c>
      <c r="AQ38" s="116">
        <v>420.06921299718806</v>
      </c>
      <c r="AR38" s="29">
        <f t="shared" si="10"/>
        <v>420069212.99718803</v>
      </c>
      <c r="AS38" s="38">
        <f t="shared" si="33"/>
        <v>46734</v>
      </c>
      <c r="AT38" s="118">
        <v>420.06921299718806</v>
      </c>
      <c r="AU38" s="117">
        <f t="shared" si="11"/>
        <v>420069212.99718803</v>
      </c>
    </row>
    <row r="39" spans="2:47">
      <c r="B39" s="35">
        <f t="shared" si="0"/>
        <v>25</v>
      </c>
      <c r="C39" s="59">
        <f t="shared" si="12"/>
        <v>46825</v>
      </c>
      <c r="D39" s="97" t="str">
        <f t="shared" si="1"/>
        <v>월요일</v>
      </c>
      <c r="E39" s="60">
        <v>2</v>
      </c>
      <c r="F39" s="60">
        <v>0</v>
      </c>
      <c r="G39" s="61">
        <f t="shared" si="36"/>
        <v>450598821.38732624</v>
      </c>
      <c r="H39" s="61">
        <f t="shared" si="3"/>
        <v>326368373.33318442</v>
      </c>
      <c r="I39" s="61">
        <f t="shared" si="13"/>
        <v>124230448.05414183</v>
      </c>
      <c r="J39" s="151">
        <f t="shared" si="37"/>
        <v>8.9999999999999993E-3</v>
      </c>
      <c r="K39" s="147"/>
      <c r="L39" s="61">
        <f t="shared" si="15"/>
        <v>13477014743.793686</v>
      </c>
      <c r="M39" s="61">
        <f t="shared" si="4"/>
        <v>91</v>
      </c>
      <c r="N39" s="61">
        <f t="shared" si="5"/>
        <v>366</v>
      </c>
      <c r="O39" s="69">
        <f t="shared" si="6"/>
        <v>1.9159136745284293E-2</v>
      </c>
      <c r="P39" s="61">
        <f t="shared" si="16"/>
        <v>2745590.958816492</v>
      </c>
      <c r="Q39" s="61">
        <f t="shared" si="17"/>
        <v>2745590.9588164925</v>
      </c>
      <c r="R39" s="61">
        <f t="shared" si="18"/>
        <v>686397.73970412312</v>
      </c>
      <c r="S39" s="61">
        <f t="shared" si="19"/>
        <v>686397.73970412312</v>
      </c>
      <c r="T39" s="63">
        <f t="shared" si="20"/>
        <v>0</v>
      </c>
      <c r="U39" s="61">
        <f t="shared" si="21"/>
        <v>6863977.3970412295</v>
      </c>
      <c r="V39" s="64">
        <f t="shared" si="22"/>
        <v>4.9726775956284146E-4</v>
      </c>
      <c r="W39" s="147"/>
      <c r="X39" s="65">
        <f t="shared" si="23"/>
        <v>117366470.6571006</v>
      </c>
      <c r="Y39" s="150">
        <f t="shared" si="24"/>
        <v>8.5027322404371587E-3</v>
      </c>
      <c r="Z39" s="147"/>
      <c r="AA39" s="66">
        <f t="shared" si="25"/>
        <v>12670923278.695313</v>
      </c>
      <c r="AB39" s="65">
        <f>309.733629279403*$AB$9</f>
        <v>309733629.27940297</v>
      </c>
      <c r="AC39" s="65">
        <f>309.733629279403*$AB$9</f>
        <v>309733629.27940297</v>
      </c>
      <c r="AD39" s="67">
        <v>110.33558371778511</v>
      </c>
      <c r="AE39" s="156">
        <f t="shared" si="39"/>
        <v>110266370.71778512</v>
      </c>
      <c r="AF39" s="67">
        <f t="shared" si="27"/>
        <v>309733739.61498672</v>
      </c>
      <c r="AG39" s="191">
        <f t="shared" si="40"/>
        <v>419999999.99718809</v>
      </c>
      <c r="AH39" s="150">
        <f t="shared" si="34"/>
        <v>8.4946679894175887E-3</v>
      </c>
      <c r="AI39" s="184"/>
      <c r="AJ39" s="66">
        <f t="shared" si="29"/>
        <v>806091465.09837008</v>
      </c>
      <c r="AK39" s="65">
        <f t="shared" si="38"/>
        <v>16634744.05378145</v>
      </c>
      <c r="AL39" s="65">
        <f t="shared" si="42"/>
        <v>7169312.939315483</v>
      </c>
      <c r="AM39" s="65">
        <f t="shared" si="41"/>
        <v>23804056.993096933</v>
      </c>
      <c r="AN39" s="62">
        <f t="shared" si="35"/>
        <v>8.7140932907725319E-3</v>
      </c>
      <c r="AO39" s="145"/>
      <c r="AP39" s="59">
        <f t="shared" si="32"/>
        <v>46825</v>
      </c>
      <c r="AQ39" s="67">
        <v>420.06921299718817</v>
      </c>
      <c r="AR39" s="65">
        <f t="shared" si="10"/>
        <v>420069212.99718815</v>
      </c>
      <c r="AS39" s="59">
        <f t="shared" si="33"/>
        <v>46825</v>
      </c>
      <c r="AT39" s="67">
        <v>420.06921299718817</v>
      </c>
      <c r="AU39" s="65">
        <f t="shared" si="11"/>
        <v>420069212.99718815</v>
      </c>
    </row>
    <row r="40" spans="2:47">
      <c r="B40" s="35">
        <f t="shared" si="0"/>
        <v>26</v>
      </c>
      <c r="C40" s="59">
        <f t="shared" si="12"/>
        <v>46917</v>
      </c>
      <c r="D40" s="177" t="str">
        <f t="shared" si="1"/>
        <v>화요일</v>
      </c>
      <c r="E40" s="60">
        <v>5</v>
      </c>
      <c r="F40" s="60">
        <v>0</v>
      </c>
      <c r="G40" s="61">
        <f t="shared" si="36"/>
        <v>450598821.38732624</v>
      </c>
      <c r="H40" s="61">
        <f t="shared" si="3"/>
        <v>329305688.69318306</v>
      </c>
      <c r="I40" s="61">
        <f t="shared" si="13"/>
        <v>121293132.69414316</v>
      </c>
      <c r="J40" s="151">
        <f t="shared" si="37"/>
        <v>8.9999999999999993E-3</v>
      </c>
      <c r="K40" s="147"/>
      <c r="L40" s="61">
        <f t="shared" si="15"/>
        <v>13147709055.100502</v>
      </c>
      <c r="M40" s="61">
        <f t="shared" si="4"/>
        <v>92</v>
      </c>
      <c r="N40" s="61">
        <f t="shared" si="5"/>
        <v>366</v>
      </c>
      <c r="O40" s="69">
        <f t="shared" si="6"/>
        <v>1.9159136745284293E-2</v>
      </c>
      <c r="P40" s="61">
        <f t="shared" si="16"/>
        <v>2710131.9266208061</v>
      </c>
      <c r="Q40" s="61">
        <f t="shared" si="17"/>
        <v>2710131.926620807</v>
      </c>
      <c r="R40" s="61">
        <f t="shared" si="18"/>
        <v>677532.98165520176</v>
      </c>
      <c r="S40" s="61">
        <f t="shared" si="19"/>
        <v>677532.98165520176</v>
      </c>
      <c r="T40" s="63">
        <f t="shared" si="20"/>
        <v>0</v>
      </c>
      <c r="U40" s="61">
        <f t="shared" si="21"/>
        <v>6775329.8165520169</v>
      </c>
      <c r="V40" s="64">
        <f t="shared" si="22"/>
        <v>5.0273224043715845E-4</v>
      </c>
      <c r="W40" s="147"/>
      <c r="X40" s="65">
        <f t="shared" si="23"/>
        <v>114517802.87759115</v>
      </c>
      <c r="Y40" s="150">
        <f t="shared" si="24"/>
        <v>8.4972677595628408E-3</v>
      </c>
      <c r="Z40" s="147"/>
      <c r="AA40" s="66">
        <f t="shared" si="25"/>
        <v>12358556913.567034</v>
      </c>
      <c r="AB40" s="65">
        <f>312.366365128278*AB9</f>
        <v>312366365.12827802</v>
      </c>
      <c r="AC40" s="65">
        <f>312.366365128278*$AB$9</f>
        <v>312366365.12827802</v>
      </c>
      <c r="AD40" s="67">
        <v>107.7028478689102</v>
      </c>
      <c r="AE40" s="156">
        <f t="shared" si="39"/>
        <v>107633634.86891019</v>
      </c>
      <c r="AF40" s="67">
        <f t="shared" si="27"/>
        <v>312366472.83112592</v>
      </c>
      <c r="AG40" s="191">
        <f t="shared" si="40"/>
        <v>419999999.99718821</v>
      </c>
      <c r="AH40" s="150">
        <f t="shared" si="34"/>
        <v>8.494537651402536E-3</v>
      </c>
      <c r="AI40" s="184"/>
      <c r="AJ40" s="66">
        <f t="shared" si="29"/>
        <v>789152141.53346503</v>
      </c>
      <c r="AK40" s="65">
        <f t="shared" si="38"/>
        <v>16939323.564905047</v>
      </c>
      <c r="AL40" s="65">
        <f t="shared" si="42"/>
        <v>6953381.0086809546</v>
      </c>
      <c r="AM40" s="65">
        <f t="shared" si="41"/>
        <v>23892704.573586002</v>
      </c>
      <c r="AN40" s="62">
        <f t="shared" si="35"/>
        <v>8.62604469808201E-3</v>
      </c>
      <c r="AO40" s="145"/>
      <c r="AP40" s="59">
        <f t="shared" si="32"/>
        <v>46917</v>
      </c>
      <c r="AQ40" s="67">
        <v>420.06921299718817</v>
      </c>
      <c r="AR40" s="65">
        <f t="shared" si="10"/>
        <v>420069212.99718815</v>
      </c>
      <c r="AS40" s="59">
        <f t="shared" si="33"/>
        <v>46917</v>
      </c>
      <c r="AT40" s="67">
        <v>420.06921299718817</v>
      </c>
      <c r="AU40" s="65">
        <f t="shared" si="11"/>
        <v>420069212.99718815</v>
      </c>
    </row>
    <row r="41" spans="2:47">
      <c r="B41" s="35">
        <f t="shared" si="0"/>
        <v>27</v>
      </c>
      <c r="C41" s="59">
        <f t="shared" si="12"/>
        <v>47009</v>
      </c>
      <c r="D41" s="177" t="str">
        <f t="shared" si="1"/>
        <v>수요일</v>
      </c>
      <c r="E41" s="60">
        <v>8</v>
      </c>
      <c r="F41" s="60">
        <v>0</v>
      </c>
      <c r="G41" s="61">
        <f t="shared" si="36"/>
        <v>450598821.38732624</v>
      </c>
      <c r="H41" s="61">
        <f t="shared" si="3"/>
        <v>332269439.89142174</v>
      </c>
      <c r="I41" s="61">
        <f t="shared" si="13"/>
        <v>118329381.49590451</v>
      </c>
      <c r="J41" s="151">
        <f t="shared" si="37"/>
        <v>8.9999999999999993E-3</v>
      </c>
      <c r="K41" s="147"/>
      <c r="L41" s="61">
        <f t="shared" si="15"/>
        <v>12815439615.20908</v>
      </c>
      <c r="M41" s="61">
        <f t="shared" si="4"/>
        <v>92</v>
      </c>
      <c r="N41" s="61">
        <f t="shared" si="5"/>
        <v>366</v>
      </c>
      <c r="O41" s="69">
        <f t="shared" si="6"/>
        <v>1.9159136745284293E-2</v>
      </c>
      <c r="P41" s="61">
        <f t="shared" si="16"/>
        <v>2643910.8919546362</v>
      </c>
      <c r="Q41" s="61">
        <f t="shared" si="17"/>
        <v>2643910.8919546367</v>
      </c>
      <c r="R41" s="61">
        <f t="shared" si="18"/>
        <v>660977.72298865917</v>
      </c>
      <c r="S41" s="61">
        <f t="shared" si="19"/>
        <v>660977.72298865917</v>
      </c>
      <c r="T41" s="63">
        <f t="shared" si="20"/>
        <v>0</v>
      </c>
      <c r="U41" s="61">
        <f t="shared" si="21"/>
        <v>6609777.2298865914</v>
      </c>
      <c r="V41" s="64">
        <f t="shared" si="22"/>
        <v>5.0273224043715845E-4</v>
      </c>
      <c r="W41" s="147"/>
      <c r="X41" s="65">
        <f t="shared" si="23"/>
        <v>111719604.26601791</v>
      </c>
      <c r="Y41" s="150">
        <f t="shared" si="24"/>
        <v>8.4972677595628408E-3</v>
      </c>
      <c r="Z41" s="147"/>
      <c r="AA41" s="66">
        <f t="shared" si="25"/>
        <v>12043535434.335165</v>
      </c>
      <c r="AB41" s="65">
        <f>315.021479231868*AB9</f>
        <v>315021479.23186803</v>
      </c>
      <c r="AC41" s="65">
        <f>315.021479231868*AB9</f>
        <v>315021479.23186803</v>
      </c>
      <c r="AD41" s="67">
        <v>105.04773376531979</v>
      </c>
      <c r="AE41" s="156">
        <f t="shared" si="39"/>
        <v>104978520.76531979</v>
      </c>
      <c r="AF41" s="67">
        <f t="shared" si="27"/>
        <v>315021584.27960181</v>
      </c>
      <c r="AG41" s="191">
        <f t="shared" si="40"/>
        <v>419999999.99718785</v>
      </c>
      <c r="AH41" s="150">
        <f t="shared" si="34"/>
        <v>8.4943995888448753E-3</v>
      </c>
      <c r="AI41" s="184"/>
      <c r="AJ41" s="66">
        <f t="shared" si="29"/>
        <v>771904180.87391138</v>
      </c>
      <c r="AK41" s="65">
        <f t="shared" si="38"/>
        <v>17247960.659553707</v>
      </c>
      <c r="AL41" s="65">
        <f t="shared" si="42"/>
        <v>6810296.5006981194</v>
      </c>
      <c r="AM41" s="65">
        <f t="shared" si="41"/>
        <v>24058257.160251826</v>
      </c>
      <c r="AN41" s="62">
        <f t="shared" si="35"/>
        <v>8.6298904131014379E-3</v>
      </c>
      <c r="AO41" s="145"/>
      <c r="AP41" s="59">
        <f t="shared" si="32"/>
        <v>47009</v>
      </c>
      <c r="AQ41" s="67">
        <v>420.06921299718806</v>
      </c>
      <c r="AR41" s="65">
        <f t="shared" si="10"/>
        <v>420069212.99718803</v>
      </c>
      <c r="AS41" s="59">
        <f t="shared" si="33"/>
        <v>47009</v>
      </c>
      <c r="AT41" s="67">
        <v>420.06921299718806</v>
      </c>
      <c r="AU41" s="65">
        <f t="shared" si="11"/>
        <v>420069212.99718803</v>
      </c>
    </row>
    <row r="42" spans="2:47">
      <c r="B42" s="35">
        <f t="shared" si="0"/>
        <v>28</v>
      </c>
      <c r="C42" s="59">
        <f t="shared" si="12"/>
        <v>47100</v>
      </c>
      <c r="D42" s="177" t="str">
        <f t="shared" si="1"/>
        <v>수요일</v>
      </c>
      <c r="E42" s="60">
        <v>11</v>
      </c>
      <c r="F42" s="60">
        <v>0</v>
      </c>
      <c r="G42" s="61">
        <f t="shared" si="36"/>
        <v>450598821.38732624</v>
      </c>
      <c r="H42" s="61">
        <f t="shared" si="3"/>
        <v>335259864.85044456</v>
      </c>
      <c r="I42" s="61">
        <f t="shared" si="13"/>
        <v>115338956.53688172</v>
      </c>
      <c r="J42" s="151">
        <f t="shared" si="37"/>
        <v>8.9999999999999993E-3</v>
      </c>
      <c r="K42" s="147">
        <f>SUM(J39:J42)</f>
        <v>3.5999999999999997E-2</v>
      </c>
      <c r="L42" s="61">
        <f t="shared" si="15"/>
        <v>12480179750.358635</v>
      </c>
      <c r="M42" s="61">
        <f t="shared" si="4"/>
        <v>91</v>
      </c>
      <c r="N42" s="61">
        <f>C42-C38</f>
        <v>366</v>
      </c>
      <c r="O42" s="69">
        <f t="shared" si="6"/>
        <v>1.9159136745284293E-2</v>
      </c>
      <c r="P42" s="61">
        <f t="shared" si="16"/>
        <v>2549081.9781071614</v>
      </c>
      <c r="Q42" s="61">
        <f t="shared" si="17"/>
        <v>2549081.9781071614</v>
      </c>
      <c r="R42" s="61">
        <f t="shared" si="18"/>
        <v>637270.49452679034</v>
      </c>
      <c r="S42" s="61">
        <f t="shared" si="19"/>
        <v>637270.49452679034</v>
      </c>
      <c r="T42" s="63">
        <f t="shared" si="20"/>
        <v>0</v>
      </c>
      <c r="U42" s="61">
        <f t="shared" si="21"/>
        <v>6372704.9452679036</v>
      </c>
      <c r="V42" s="64">
        <f t="shared" si="22"/>
        <v>4.9726775956284157E-4</v>
      </c>
      <c r="W42" s="147">
        <f>SUM(V39:V42)</f>
        <v>2E-3</v>
      </c>
      <c r="X42" s="65">
        <f t="shared" si="23"/>
        <v>108966251.59161381</v>
      </c>
      <c r="Y42" s="150">
        <f t="shared" si="24"/>
        <v>8.5027322404371587E-3</v>
      </c>
      <c r="Z42" s="147">
        <f>SUM(Y39:Y42)</f>
        <v>3.4000000000000002E-2</v>
      </c>
      <c r="AA42" s="66">
        <f t="shared" si="25"/>
        <v>11725836272.529825</v>
      </c>
      <c r="AB42" s="65">
        <f>317.699161805339*AB9</f>
        <v>317699161.80533898</v>
      </c>
      <c r="AC42" s="65">
        <f>317.699161805339*AB9</f>
        <v>317699161.80533898</v>
      </c>
      <c r="AD42" s="67">
        <v>102.37005119184897</v>
      </c>
      <c r="AE42" s="156">
        <f t="shared" si="39"/>
        <v>102300838.19184898</v>
      </c>
      <c r="AF42" s="67">
        <f t="shared" si="27"/>
        <v>317699264.17539018</v>
      </c>
      <c r="AG42" s="191">
        <f t="shared" si="40"/>
        <v>419999999.99718797</v>
      </c>
      <c r="AH42" s="150">
        <f t="shared" si="34"/>
        <v>8.4942530994841763E-3</v>
      </c>
      <c r="AI42" s="184">
        <f>SUM(AH39:AH42)</f>
        <v>3.397785832914918E-2</v>
      </c>
      <c r="AJ42" s="66">
        <f t="shared" si="29"/>
        <v>754343477.8288058</v>
      </c>
      <c r="AK42" s="65">
        <f t="shared" si="38"/>
        <v>17560703.045105577</v>
      </c>
      <c r="AL42" s="65">
        <f t="shared" si="42"/>
        <v>6734626.3997648358</v>
      </c>
      <c r="AM42" s="65">
        <f t="shared" si="41"/>
        <v>24295329.444870412</v>
      </c>
      <c r="AN42" s="62">
        <f t="shared" si="35"/>
        <v>8.724692217808987E-3</v>
      </c>
      <c r="AO42" s="145">
        <f>SUM(AN39:AN42)</f>
        <v>3.4694720619764967E-2</v>
      </c>
      <c r="AP42" s="59">
        <f t="shared" si="32"/>
        <v>47100</v>
      </c>
      <c r="AQ42" s="67">
        <v>420.06921299718817</v>
      </c>
      <c r="AR42" s="65">
        <f t="shared" si="10"/>
        <v>420069212.99718815</v>
      </c>
      <c r="AS42" s="59">
        <f t="shared" si="33"/>
        <v>47100</v>
      </c>
      <c r="AT42" s="67">
        <v>420.06921299718817</v>
      </c>
      <c r="AU42" s="65">
        <f t="shared" si="11"/>
        <v>420069212.99718815</v>
      </c>
    </row>
    <row r="43" spans="2:47">
      <c r="B43" s="35">
        <f t="shared" si="0"/>
        <v>29</v>
      </c>
      <c r="C43" s="38">
        <f t="shared" si="12"/>
        <v>47190</v>
      </c>
      <c r="D43" s="178" t="str">
        <f t="shared" si="1"/>
        <v>화요일</v>
      </c>
      <c r="E43" s="27">
        <v>2</v>
      </c>
      <c r="F43" s="27">
        <v>0</v>
      </c>
      <c r="G43" s="28">
        <f t="shared" si="36"/>
        <v>450598821.38732624</v>
      </c>
      <c r="H43" s="28">
        <f t="shared" si="3"/>
        <v>338277203.63409853</v>
      </c>
      <c r="I43" s="28">
        <f t="shared" si="13"/>
        <v>112321617.75322771</v>
      </c>
      <c r="J43" s="143">
        <f t="shared" si="37"/>
        <v>8.9999999999999993E-3</v>
      </c>
      <c r="K43" s="148"/>
      <c r="L43" s="28">
        <f t="shared" si="15"/>
        <v>12141902546.724537</v>
      </c>
      <c r="M43" s="28">
        <f t="shared" si="4"/>
        <v>90</v>
      </c>
      <c r="N43" s="28">
        <f t="shared" si="5"/>
        <v>365</v>
      </c>
      <c r="O43" s="71">
        <f t="shared" si="6"/>
        <v>1.9159136745284293E-2</v>
      </c>
      <c r="P43" s="54">
        <f t="shared" si="16"/>
        <v>2461843.6767830732</v>
      </c>
      <c r="Q43" s="54">
        <f t="shared" si="17"/>
        <v>2461843.6767830732</v>
      </c>
      <c r="R43" s="54">
        <f t="shared" si="18"/>
        <v>615460.91919576831</v>
      </c>
      <c r="S43" s="54">
        <f t="shared" si="19"/>
        <v>615460.91919576831</v>
      </c>
      <c r="T43" s="56">
        <f t="shared" si="20"/>
        <v>0</v>
      </c>
      <c r="U43" s="54">
        <f t="shared" si="21"/>
        <v>6154609.1919576833</v>
      </c>
      <c r="V43" s="57">
        <f t="shared" si="22"/>
        <v>4.9315068493150684E-4</v>
      </c>
      <c r="W43" s="153"/>
      <c r="X43" s="29">
        <f t="shared" si="23"/>
        <v>106167008.56127003</v>
      </c>
      <c r="Y43" s="142">
        <f t="shared" si="24"/>
        <v>8.5068493150684925E-3</v>
      </c>
      <c r="Z43" s="148"/>
      <c r="AA43" s="44">
        <f t="shared" si="25"/>
        <v>11405436667.84914</v>
      </c>
      <c r="AB43" s="42">
        <f>320.399604680685*$AB$9</f>
        <v>320399604.68068498</v>
      </c>
      <c r="AC43" s="42">
        <f>320.399604680685*AB9</f>
        <v>320399604.68068498</v>
      </c>
      <c r="AD43" s="45">
        <v>99.669608316503542</v>
      </c>
      <c r="AE43" s="155">
        <f t="shared" si="39"/>
        <v>99600395.31650354</v>
      </c>
      <c r="AF43" s="45">
        <f t="shared" si="27"/>
        <v>320399704.35029328</v>
      </c>
      <c r="AG43" s="190">
        <f t="shared" si="40"/>
        <v>419999999.99718851</v>
      </c>
      <c r="AH43" s="157">
        <f t="shared" si="34"/>
        <v>8.494097393278284E-3</v>
      </c>
      <c r="AI43" s="185"/>
      <c r="AJ43" s="51">
        <f t="shared" si="29"/>
        <v>736465878.8753922</v>
      </c>
      <c r="AK43" s="49">
        <f t="shared" si="38"/>
        <v>17877598.953413546</v>
      </c>
      <c r="AL43" s="49">
        <f t="shared" si="42"/>
        <v>6635826.2447664887</v>
      </c>
      <c r="AM43" s="49">
        <f t="shared" si="41"/>
        <v>24513425.198180035</v>
      </c>
      <c r="AN43" s="52">
        <f t="shared" si="35"/>
        <v>8.7968232506842915E-3</v>
      </c>
      <c r="AO43" s="171"/>
      <c r="AP43" s="38">
        <f t="shared" si="32"/>
        <v>47190</v>
      </c>
      <c r="AQ43" s="116">
        <v>420.06921299718817</v>
      </c>
      <c r="AR43" s="29">
        <f t="shared" si="10"/>
        <v>420069212.99718815</v>
      </c>
      <c r="AS43" s="38">
        <f t="shared" si="33"/>
        <v>47190</v>
      </c>
      <c r="AT43" s="118">
        <v>420.06921299718817</v>
      </c>
      <c r="AU43" s="117">
        <f t="shared" si="11"/>
        <v>420069212.99718815</v>
      </c>
    </row>
    <row r="44" spans="2:47">
      <c r="B44" s="35">
        <f t="shared" si="0"/>
        <v>30</v>
      </c>
      <c r="C44" s="38">
        <f t="shared" si="12"/>
        <v>47282</v>
      </c>
      <c r="D44" s="178" t="str">
        <f t="shared" si="1"/>
        <v>수요일</v>
      </c>
      <c r="E44" s="27">
        <v>5</v>
      </c>
      <c r="F44" s="27">
        <v>0</v>
      </c>
      <c r="G44" s="28">
        <f t="shared" si="36"/>
        <v>450598821.38732624</v>
      </c>
      <c r="H44" s="28">
        <f t="shared" si="3"/>
        <v>341321698.4668054</v>
      </c>
      <c r="I44" s="28">
        <f t="shared" si="13"/>
        <v>109277122.92052083</v>
      </c>
      <c r="J44" s="143">
        <f t="shared" si="37"/>
        <v>8.9999999999999993E-3</v>
      </c>
      <c r="K44" s="148"/>
      <c r="L44" s="28">
        <f t="shared" si="15"/>
        <v>11800580848.257732</v>
      </c>
      <c r="M44" s="28">
        <f t="shared" si="4"/>
        <v>92</v>
      </c>
      <c r="N44" s="28">
        <f t="shared" si="5"/>
        <v>365</v>
      </c>
      <c r="O44" s="71">
        <f t="shared" si="6"/>
        <v>1.9159136745284293E-2</v>
      </c>
      <c r="P44" s="54">
        <f t="shared" si="16"/>
        <v>2448339.8012025361</v>
      </c>
      <c r="Q44" s="54">
        <f t="shared" si="17"/>
        <v>2448339.801202537</v>
      </c>
      <c r="R44" s="54">
        <f t="shared" si="18"/>
        <v>612084.95030063426</v>
      </c>
      <c r="S44" s="54">
        <f t="shared" si="19"/>
        <v>612084.95030063426</v>
      </c>
      <c r="T44" s="56">
        <f t="shared" si="20"/>
        <v>0</v>
      </c>
      <c r="U44" s="54">
        <f t="shared" si="21"/>
        <v>6120849.5030063409</v>
      </c>
      <c r="V44" s="57">
        <f t="shared" si="22"/>
        <v>5.0410958904109583E-4</v>
      </c>
      <c r="W44" s="153"/>
      <c r="X44" s="29">
        <f t="shared" si="23"/>
        <v>103156273.41751449</v>
      </c>
      <c r="Y44" s="142">
        <f t="shared" si="24"/>
        <v>8.4958904109589048E-3</v>
      </c>
      <c r="Z44" s="148"/>
      <c r="AA44" s="44">
        <f t="shared" si="25"/>
        <v>11082313666.528669</v>
      </c>
      <c r="AB44" s="42">
        <f>323.12300132047</f>
        <v>323.12300132047</v>
      </c>
      <c r="AC44" s="42">
        <f>AB44*$AB$9</f>
        <v>323123001.32046998</v>
      </c>
      <c r="AD44" s="45">
        <v>96.946211676717738</v>
      </c>
      <c r="AE44" s="155">
        <f t="shared" si="39"/>
        <v>96876998.676717743</v>
      </c>
      <c r="AF44" s="45">
        <f t="shared" si="27"/>
        <v>420.06921299718772</v>
      </c>
      <c r="AG44" s="190">
        <f t="shared" si="40"/>
        <v>419999999.99718773</v>
      </c>
      <c r="AH44" s="157">
        <f t="shared" si="34"/>
        <v>8.4939315782450436E-3</v>
      </c>
      <c r="AI44" s="185"/>
      <c r="AJ44" s="51">
        <f t="shared" si="29"/>
        <v>718267181.72905684</v>
      </c>
      <c r="AK44" s="49">
        <f>H44-AC44</f>
        <v>18198697.146335423</v>
      </c>
      <c r="AL44" s="49">
        <f t="shared" si="42"/>
        <v>6348487.7407967448</v>
      </c>
      <c r="AM44" s="49">
        <f t="shared" si="41"/>
        <v>24547184.887132168</v>
      </c>
      <c r="AN44" s="52">
        <f t="shared" si="35"/>
        <v>8.6202062076400545E-3</v>
      </c>
      <c r="AO44" s="171"/>
      <c r="AP44" s="38">
        <f t="shared" si="32"/>
        <v>47282</v>
      </c>
      <c r="AQ44" s="116">
        <v>420.06921299718812</v>
      </c>
      <c r="AR44" s="29">
        <f t="shared" si="10"/>
        <v>420069212.99718809</v>
      </c>
      <c r="AS44" s="38">
        <f t="shared" si="33"/>
        <v>47282</v>
      </c>
      <c r="AT44" s="118">
        <v>420.06921299718812</v>
      </c>
      <c r="AU44" s="117">
        <f t="shared" si="11"/>
        <v>420069212.99718809</v>
      </c>
    </row>
    <row r="45" spans="2:47">
      <c r="B45" s="35">
        <f t="shared" si="0"/>
        <v>31</v>
      </c>
      <c r="C45" s="38">
        <f t="shared" si="12"/>
        <v>47374</v>
      </c>
      <c r="D45" s="96" t="str">
        <f t="shared" si="1"/>
        <v>목요일</v>
      </c>
      <c r="E45" s="27">
        <v>8</v>
      </c>
      <c r="F45" s="27">
        <v>0</v>
      </c>
      <c r="G45" s="28">
        <f t="shared" si="36"/>
        <v>450598821.38732624</v>
      </c>
      <c r="H45" s="28">
        <f t="shared" si="3"/>
        <v>344393593.75300664</v>
      </c>
      <c r="I45" s="28">
        <f t="shared" si="13"/>
        <v>106205227.63431959</v>
      </c>
      <c r="J45" s="143">
        <f t="shared" si="37"/>
        <v>8.9999999999999993E-3</v>
      </c>
      <c r="K45" s="148"/>
      <c r="L45" s="28">
        <f t="shared" si="15"/>
        <v>11456187254.504726</v>
      </c>
      <c r="M45" s="28">
        <f t="shared" si="4"/>
        <v>92</v>
      </c>
      <c r="N45" s="28">
        <f t="shared" si="5"/>
        <v>365</v>
      </c>
      <c r="O45" s="71">
        <f t="shared" si="6"/>
        <v>1.9159136745284293E-2</v>
      </c>
      <c r="P45" s="54">
        <f t="shared" si="16"/>
        <v>2379514.3847445725</v>
      </c>
      <c r="Q45" s="54">
        <f t="shared" si="17"/>
        <v>2379514.3847445729</v>
      </c>
      <c r="R45" s="54">
        <f t="shared" si="18"/>
        <v>594878.59618614323</v>
      </c>
      <c r="S45" s="54">
        <f t="shared" si="19"/>
        <v>594878.59618614323</v>
      </c>
      <c r="T45" s="56">
        <f t="shared" si="20"/>
        <v>0</v>
      </c>
      <c r="U45" s="54">
        <f t="shared" si="21"/>
        <v>5948785.9618614316</v>
      </c>
      <c r="V45" s="57">
        <f t="shared" si="22"/>
        <v>5.0410958904109583E-4</v>
      </c>
      <c r="W45" s="153"/>
      <c r="X45" s="29">
        <f t="shared" si="23"/>
        <v>100256441.67245816</v>
      </c>
      <c r="Y45" s="142">
        <f t="shared" si="24"/>
        <v>8.4958904109589031E-3</v>
      </c>
      <c r="Z45" s="148"/>
      <c r="AA45" s="44">
        <f t="shared" si="25"/>
        <v>10756444119.696976</v>
      </c>
      <c r="AB45" s="42">
        <f>325.869546831694</f>
        <v>325.86954683169398</v>
      </c>
      <c r="AC45" s="42">
        <f t="shared" ref="AC45:AC46" si="43">AB45*$AB$9</f>
        <v>325869546.83169401</v>
      </c>
      <c r="AD45" s="45">
        <v>94.199666165493753</v>
      </c>
      <c r="AE45" s="155">
        <f t="shared" si="39"/>
        <v>94130453.165493757</v>
      </c>
      <c r="AF45" s="45">
        <f t="shared" si="27"/>
        <v>420.06921299718772</v>
      </c>
      <c r="AG45" s="190">
        <f t="shared" si="40"/>
        <v>419999999.99718773</v>
      </c>
      <c r="AH45" s="157">
        <f t="shared" si="34"/>
        <v>8.49375464347224E-3</v>
      </c>
      <c r="AI45" s="185"/>
      <c r="AJ45" s="51">
        <f t="shared" si="29"/>
        <v>699743134.80774426</v>
      </c>
      <c r="AK45" s="49">
        <f>H45-AC45</f>
        <v>18524046.92131263</v>
      </c>
      <c r="AL45" s="49">
        <f t="shared" si="42"/>
        <v>6195201.5069644004</v>
      </c>
      <c r="AM45" s="49">
        <f t="shared" si="41"/>
        <v>24719248.428277031</v>
      </c>
      <c r="AN45" s="52">
        <f t="shared" si="35"/>
        <v>8.6252047490892325E-3</v>
      </c>
      <c r="AO45" s="171"/>
      <c r="AP45" s="38">
        <f t="shared" si="32"/>
        <v>47374</v>
      </c>
      <c r="AQ45" s="116">
        <v>420.06921299718817</v>
      </c>
      <c r="AR45" s="29">
        <f t="shared" si="10"/>
        <v>420069212.99718815</v>
      </c>
      <c r="AS45" s="38">
        <f t="shared" si="33"/>
        <v>47374</v>
      </c>
      <c r="AT45" s="118">
        <v>420.06921299718817</v>
      </c>
      <c r="AU45" s="117">
        <f t="shared" si="11"/>
        <v>420069212.99718815</v>
      </c>
    </row>
    <row r="46" spans="2:47">
      <c r="B46" s="35">
        <f t="shared" si="0"/>
        <v>32</v>
      </c>
      <c r="C46" s="38">
        <f t="shared" si="12"/>
        <v>47465</v>
      </c>
      <c r="D46" s="178" t="str">
        <f t="shared" si="1"/>
        <v>목요일</v>
      </c>
      <c r="E46" s="27">
        <v>11</v>
      </c>
      <c r="F46" s="27">
        <v>0</v>
      </c>
      <c r="G46" s="28">
        <f t="shared" si="36"/>
        <v>450598821.38732624</v>
      </c>
      <c r="H46" s="28">
        <f t="shared" si="3"/>
        <v>347493136.0967837</v>
      </c>
      <c r="I46" s="28">
        <f t="shared" si="13"/>
        <v>103105685.29054253</v>
      </c>
      <c r="J46" s="143">
        <f t="shared" si="37"/>
        <v>8.9999999999999993E-3</v>
      </c>
      <c r="K46" s="148">
        <f>SUM(J43:J46)</f>
        <v>3.5999999999999997E-2</v>
      </c>
      <c r="L46" s="28">
        <f t="shared" si="15"/>
        <v>11108694118.407942</v>
      </c>
      <c r="M46" s="28">
        <f t="shared" si="4"/>
        <v>91</v>
      </c>
      <c r="N46" s="28">
        <f>C46-C42</f>
        <v>365</v>
      </c>
      <c r="O46" s="71">
        <f t="shared" ref="O46:O74" si="44">G46/SUM(G$14:G$74)</f>
        <v>1.9159136745284293E-2</v>
      </c>
      <c r="P46" s="54">
        <f t="shared" si="16"/>
        <v>2284960.0880217645</v>
      </c>
      <c r="Q46" s="54">
        <f t="shared" si="17"/>
        <v>2284960.0880217645</v>
      </c>
      <c r="R46" s="54">
        <f t="shared" si="18"/>
        <v>571240.02200544113</v>
      </c>
      <c r="S46" s="54">
        <f t="shared" si="19"/>
        <v>571240.02200544113</v>
      </c>
      <c r="T46" s="56">
        <f t="shared" si="20"/>
        <v>0</v>
      </c>
      <c r="U46" s="54">
        <f t="shared" si="21"/>
        <v>5712400.2200544104</v>
      </c>
      <c r="V46" s="57">
        <f t="shared" si="22"/>
        <v>4.9863013698630122E-4</v>
      </c>
      <c r="W46" s="153">
        <f>SUM(V43:V46)</f>
        <v>1.9999999999999996E-3</v>
      </c>
      <c r="X46" s="29">
        <f t="shared" si="23"/>
        <v>97393285.070488125</v>
      </c>
      <c r="Y46" s="142">
        <f t="shared" si="24"/>
        <v>8.5013698630136986E-3</v>
      </c>
      <c r="Z46" s="148">
        <f>SUM(Y43:Y46)</f>
        <v>3.3999999999999996E-2</v>
      </c>
      <c r="AA46" s="44">
        <f t="shared" si="25"/>
        <v>10427804681.717213</v>
      </c>
      <c r="AB46" s="42">
        <f>328.639437979764</f>
        <v>328.63943797976401</v>
      </c>
      <c r="AC46" s="42">
        <f t="shared" si="43"/>
        <v>328639437.97976398</v>
      </c>
      <c r="AD46" s="45">
        <v>91.429775017424333</v>
      </c>
      <c r="AE46" s="155">
        <f t="shared" si="39"/>
        <v>91360562.01742433</v>
      </c>
      <c r="AF46" s="45">
        <f t="shared" si="27"/>
        <v>420.06921299718834</v>
      </c>
      <c r="AG46" s="190">
        <f t="shared" si="40"/>
        <v>419999999.99718833</v>
      </c>
      <c r="AH46" s="157">
        <f>AE46/AA45</f>
        <v>8.4935654386124482E-3</v>
      </c>
      <c r="AI46" s="185">
        <f>SUM(AH43:AH46)</f>
        <v>3.3975349053608016E-2</v>
      </c>
      <c r="AJ46" s="51">
        <f t="shared" si="29"/>
        <v>680889436.69072461</v>
      </c>
      <c r="AK46" s="49">
        <f t="shared" ref="AK46:AK74" si="45">H46-AC46</f>
        <v>18853698.117019713</v>
      </c>
      <c r="AL46" s="49">
        <f t="shared" si="42"/>
        <v>6101936.053063795</v>
      </c>
      <c r="AM46" s="49">
        <f t="shared" si="41"/>
        <v>24955634.170083508</v>
      </c>
      <c r="AN46" s="52">
        <f t="shared" si="35"/>
        <v>8.7202514030242165E-3</v>
      </c>
      <c r="AO46" s="171">
        <f>SUM(AN43:AN46)</f>
        <v>3.4762485610437793E-2</v>
      </c>
      <c r="AP46" s="38">
        <f t="shared" si="32"/>
        <v>47465</v>
      </c>
      <c r="AQ46" s="116">
        <v>420.06921299718812</v>
      </c>
      <c r="AR46" s="29">
        <f t="shared" si="10"/>
        <v>420069212.99718809</v>
      </c>
      <c r="AS46" s="38">
        <f t="shared" si="33"/>
        <v>47465</v>
      </c>
      <c r="AT46" s="118">
        <v>420.06921299718812</v>
      </c>
      <c r="AU46" s="117">
        <f t="shared" si="11"/>
        <v>420069212.99718809</v>
      </c>
    </row>
    <row r="47" spans="2:47">
      <c r="B47" s="35">
        <f t="shared" si="0"/>
        <v>33</v>
      </c>
      <c r="C47" s="59">
        <f t="shared" si="12"/>
        <v>47555</v>
      </c>
      <c r="D47" s="177" t="str">
        <f t="shared" si="1"/>
        <v>수요일</v>
      </c>
      <c r="E47" s="60">
        <v>2</v>
      </c>
      <c r="F47" s="60">
        <v>0</v>
      </c>
      <c r="G47" s="61">
        <f t="shared" si="36"/>
        <v>450598821.38732624</v>
      </c>
      <c r="H47" s="61">
        <f t="shared" ref="H47:H73" si="46">IF($B47&lt;=I$9,0,IF(AND($B47&gt;I$9,$B47&lt;(I$8+I$9)),G47-I47,IF($B47=(I$8+I$9),L46,0)))</f>
        <v>350620574.3216548</v>
      </c>
      <c r="I47" s="61">
        <f t="shared" ref="I47:I73" si="47">L46*I$10</f>
        <v>99978247.065671474</v>
      </c>
      <c r="J47" s="151">
        <f t="shared" si="37"/>
        <v>8.9999999999999993E-3</v>
      </c>
      <c r="K47" s="147"/>
      <c r="L47" s="61">
        <f t="shared" ref="L47:L73" si="48">MAX(L46+F47-H47,0)</f>
        <v>10758073544.086287</v>
      </c>
      <c r="M47" s="61">
        <f t="shared" ref="M47:M74" si="49">C47-C46</f>
        <v>90</v>
      </c>
      <c r="N47" s="61">
        <f t="shared" si="5"/>
        <v>365</v>
      </c>
      <c r="O47" s="69">
        <f t="shared" si="44"/>
        <v>1.9159136745284293E-2</v>
      </c>
      <c r="P47" s="61">
        <f t="shared" si="16"/>
        <v>2191304.0452749911</v>
      </c>
      <c r="Q47" s="61">
        <f t="shared" si="17"/>
        <v>2191304.0452749911</v>
      </c>
      <c r="R47" s="61">
        <f t="shared" si="18"/>
        <v>547826.01131874777</v>
      </c>
      <c r="S47" s="61">
        <f t="shared" si="19"/>
        <v>547826.01131874777</v>
      </c>
      <c r="T47" s="63">
        <f t="shared" si="20"/>
        <v>0</v>
      </c>
      <c r="U47" s="61">
        <f t="shared" si="21"/>
        <v>5478260.1131874779</v>
      </c>
      <c r="V47" s="64">
        <f t="shared" ref="V47:V74" si="50">U47/L46</f>
        <v>4.9315068493150684E-4</v>
      </c>
      <c r="W47" s="147"/>
      <c r="X47" s="65">
        <f t="shared" ref="X47:X74" si="51">I47-U47</f>
        <v>94499986.952483997</v>
      </c>
      <c r="Y47" s="150">
        <f t="shared" ref="Y47:Y74" si="52">X47/L46</f>
        <v>8.5068493150684925E-3</v>
      </c>
      <c r="Z47" s="147"/>
      <c r="AA47" s="66">
        <f t="shared" si="25"/>
        <v>10096371808.51462</v>
      </c>
      <c r="AB47" s="65">
        <f>331.432873202592</f>
        <v>331.43287320259202</v>
      </c>
      <c r="AC47" s="65">
        <f>AB47*$AB$9</f>
        <v>331432873.20259202</v>
      </c>
      <c r="AD47" s="67">
        <v>88.636339794596324</v>
      </c>
      <c r="AE47" s="156">
        <f t="shared" si="39"/>
        <v>88567126.794596329</v>
      </c>
      <c r="AF47" s="67">
        <f t="shared" si="27"/>
        <v>420.06921299718834</v>
      </c>
      <c r="AG47" s="191">
        <f t="shared" si="40"/>
        <v>419999999.99718833</v>
      </c>
      <c r="AH47" s="150">
        <f t="shared" si="34"/>
        <v>8.4933626489838918E-3</v>
      </c>
      <c r="AI47" s="184"/>
      <c r="AJ47" s="66">
        <f t="shared" si="29"/>
        <v>661701735.57166183</v>
      </c>
      <c r="AK47" s="65">
        <f t="shared" si="45"/>
        <v>19187701.119062781</v>
      </c>
      <c r="AL47" s="65">
        <f t="shared" si="42"/>
        <v>6002073.1578876674</v>
      </c>
      <c r="AM47" s="65">
        <f t="shared" ref="AM47:AM74" si="53">AK47+AL47</f>
        <v>25189774.276950449</v>
      </c>
      <c r="AN47" s="62">
        <f t="shared" ref="AN47:AN74" si="54">AL47/AJ46</f>
        <v>8.8150481333050031E-3</v>
      </c>
      <c r="AO47" s="145"/>
      <c r="AP47" s="59">
        <f t="shared" si="32"/>
        <v>47555</v>
      </c>
      <c r="AQ47" s="67">
        <v>420.06921299718812</v>
      </c>
      <c r="AR47" s="65">
        <f t="shared" si="10"/>
        <v>420069212.99718809</v>
      </c>
      <c r="AS47" s="59">
        <f t="shared" si="33"/>
        <v>47555</v>
      </c>
      <c r="AT47" s="67">
        <v>420.06921299718812</v>
      </c>
      <c r="AU47" s="65">
        <f t="shared" si="11"/>
        <v>420069212.99718809</v>
      </c>
    </row>
    <row r="48" spans="2:47">
      <c r="B48" s="35">
        <f t="shared" si="0"/>
        <v>34</v>
      </c>
      <c r="C48" s="59">
        <f t="shared" si="12"/>
        <v>47647</v>
      </c>
      <c r="D48" s="97" t="str">
        <f t="shared" si="1"/>
        <v>목요일</v>
      </c>
      <c r="E48" s="60">
        <v>5</v>
      </c>
      <c r="F48" s="60">
        <v>0</v>
      </c>
      <c r="G48" s="61">
        <f t="shared" si="36"/>
        <v>450598821.38732624</v>
      </c>
      <c r="H48" s="61">
        <f t="shared" si="46"/>
        <v>353776159.49054968</v>
      </c>
      <c r="I48" s="61">
        <f t="shared" si="47"/>
        <v>96822661.896776572</v>
      </c>
      <c r="J48" s="151">
        <f t="shared" si="37"/>
        <v>8.9999999999999993E-3</v>
      </c>
      <c r="K48" s="147"/>
      <c r="L48" s="61">
        <f t="shared" si="48"/>
        <v>10404297384.595737</v>
      </c>
      <c r="M48" s="61">
        <f t="shared" si="49"/>
        <v>92</v>
      </c>
      <c r="N48" s="61">
        <f t="shared" si="5"/>
        <v>365</v>
      </c>
      <c r="O48" s="69">
        <f t="shared" si="44"/>
        <v>1.9159136745284293E-2</v>
      </c>
      <c r="P48" s="61">
        <f t="shared" si="16"/>
        <v>2169299.2132732896</v>
      </c>
      <c r="Q48" s="61">
        <f t="shared" si="17"/>
        <v>2169299.2132732896</v>
      </c>
      <c r="R48" s="61">
        <f t="shared" si="18"/>
        <v>542324.8033183224</v>
      </c>
      <c r="S48" s="61">
        <f t="shared" si="19"/>
        <v>542324.8033183224</v>
      </c>
      <c r="T48" s="63">
        <f t="shared" si="20"/>
        <v>0</v>
      </c>
      <c r="U48" s="61">
        <f t="shared" si="21"/>
        <v>5423248.0331832245</v>
      </c>
      <c r="V48" s="64">
        <f t="shared" si="50"/>
        <v>5.0410958904109594E-4</v>
      </c>
      <c r="W48" s="147"/>
      <c r="X48" s="65">
        <f t="shared" si="51"/>
        <v>91399413.86359334</v>
      </c>
      <c r="Y48" s="150">
        <f t="shared" si="52"/>
        <v>8.4958904109589031E-3</v>
      </c>
      <c r="Z48" s="147"/>
      <c r="AA48" s="66">
        <f t="shared" si="25"/>
        <v>9762121755.8898067</v>
      </c>
      <c r="AB48" s="65">
        <f>334.250052624814</f>
        <v>334.25005262481397</v>
      </c>
      <c r="AC48" s="65">
        <f t="shared" ref="AC48:AC74" si="55">AB48*$AB$9</f>
        <v>334250052.62481397</v>
      </c>
      <c r="AD48" s="67">
        <v>85.819160372374313</v>
      </c>
      <c r="AE48" s="156">
        <f t="shared" si="39"/>
        <v>85749947.372374311</v>
      </c>
      <c r="AF48" s="67">
        <f t="shared" ref="AF48:AF74" si="56">AB48+AD48</f>
        <v>420.06921299718829</v>
      </c>
      <c r="AG48" s="191">
        <f t="shared" si="40"/>
        <v>419999999.99718827</v>
      </c>
      <c r="AH48" s="150">
        <f t="shared" si="34"/>
        <v>8.4931447651381466E-3</v>
      </c>
      <c r="AI48" s="184"/>
      <c r="AJ48" s="66">
        <f t="shared" si="29"/>
        <v>642175628.70592618</v>
      </c>
      <c r="AK48" s="65">
        <f t="shared" si="45"/>
        <v>19526106.86573571</v>
      </c>
      <c r="AL48" s="65">
        <f t="shared" si="42"/>
        <v>5718679.4912190288</v>
      </c>
      <c r="AM48" s="65">
        <f t="shared" si="53"/>
        <v>25244786.356954738</v>
      </c>
      <c r="AN48" s="62">
        <f t="shared" si="54"/>
        <v>8.6423824871465823E-3</v>
      </c>
      <c r="AO48" s="145"/>
      <c r="AP48" s="59">
        <f t="shared" si="32"/>
        <v>47647</v>
      </c>
      <c r="AQ48" s="67">
        <v>420.06921299718812</v>
      </c>
      <c r="AR48" s="65">
        <f t="shared" si="10"/>
        <v>420069212.99718809</v>
      </c>
      <c r="AS48" s="59">
        <f t="shared" si="33"/>
        <v>47647</v>
      </c>
      <c r="AT48" s="67">
        <v>420.06921299718812</v>
      </c>
      <c r="AU48" s="65">
        <f t="shared" si="11"/>
        <v>420069212.99718809</v>
      </c>
    </row>
    <row r="49" spans="2:47">
      <c r="B49" s="35">
        <f t="shared" si="0"/>
        <v>35</v>
      </c>
      <c r="C49" s="59">
        <f t="shared" si="12"/>
        <v>47739</v>
      </c>
      <c r="D49" s="97" t="str">
        <f t="shared" si="1"/>
        <v>금요일</v>
      </c>
      <c r="E49" s="60">
        <v>8</v>
      </c>
      <c r="F49" s="60">
        <v>0</v>
      </c>
      <c r="G49" s="61">
        <f t="shared" si="36"/>
        <v>450598821.38732624</v>
      </c>
      <c r="H49" s="61">
        <f t="shared" si="46"/>
        <v>356960144.92596459</v>
      </c>
      <c r="I49" s="61">
        <f t="shared" si="47"/>
        <v>93638676.461361632</v>
      </c>
      <c r="J49" s="151">
        <f t="shared" si="37"/>
        <v>8.9999999999999993E-3</v>
      </c>
      <c r="K49" s="147"/>
      <c r="L49" s="61">
        <f t="shared" si="48"/>
        <v>10047337239.669773</v>
      </c>
      <c r="M49" s="61">
        <f t="shared" si="49"/>
        <v>92</v>
      </c>
      <c r="N49" s="61">
        <f t="shared" si="5"/>
        <v>365</v>
      </c>
      <c r="O49" s="69">
        <f t="shared" si="44"/>
        <v>1.9159136745284293E-2</v>
      </c>
      <c r="P49" s="61">
        <f t="shared" si="16"/>
        <v>2097962.4315239624</v>
      </c>
      <c r="Q49" s="61">
        <f t="shared" si="17"/>
        <v>2097962.4315239624</v>
      </c>
      <c r="R49" s="61">
        <f t="shared" si="18"/>
        <v>524490.6078809906</v>
      </c>
      <c r="S49" s="61">
        <f t="shared" si="19"/>
        <v>524490.6078809906</v>
      </c>
      <c r="T49" s="63">
        <f t="shared" si="20"/>
        <v>0</v>
      </c>
      <c r="U49" s="61">
        <f t="shared" si="21"/>
        <v>5244906.0788099067</v>
      </c>
      <c r="V49" s="64">
        <f t="shared" si="50"/>
        <v>5.0410958904109594E-4</v>
      </c>
      <c r="W49" s="147"/>
      <c r="X49" s="65">
        <f t="shared" si="51"/>
        <v>88393770.38255173</v>
      </c>
      <c r="Y49" s="150">
        <f t="shared" si="52"/>
        <v>8.4958904109589048E-3</v>
      </c>
      <c r="Z49" s="147"/>
      <c r="AA49" s="66">
        <f t="shared" si="25"/>
        <v>9425030577.8176823</v>
      </c>
      <c r="AB49" s="65">
        <f>337.091178072125</f>
        <v>337.09117807212499</v>
      </c>
      <c r="AC49" s="65">
        <f t="shared" si="55"/>
        <v>337091178.07212502</v>
      </c>
      <c r="AD49" s="67">
        <v>82.978034925063383</v>
      </c>
      <c r="AE49" s="156">
        <f t="shared" si="39"/>
        <v>82908821.925063387</v>
      </c>
      <c r="AF49" s="67">
        <f t="shared" si="56"/>
        <v>420.0692129971884</v>
      </c>
      <c r="AG49" s="191">
        <f t="shared" si="40"/>
        <v>419999999.99718839</v>
      </c>
      <c r="AH49" s="150">
        <f t="shared" si="34"/>
        <v>8.4929100454050159E-3</v>
      </c>
      <c r="AI49" s="184"/>
      <c r="AJ49" s="66">
        <f t="shared" si="29"/>
        <v>622306661.85208654</v>
      </c>
      <c r="AK49" s="65">
        <f t="shared" si="45"/>
        <v>19868966.853839576</v>
      </c>
      <c r="AL49" s="65">
        <f t="shared" si="42"/>
        <v>5554161.4574883431</v>
      </c>
      <c r="AM49" s="65">
        <f t="shared" si="53"/>
        <v>25423128.311327919</v>
      </c>
      <c r="AN49" s="62">
        <f t="shared" si="54"/>
        <v>8.6489757773597804E-3</v>
      </c>
      <c r="AO49" s="145"/>
      <c r="AP49" s="59">
        <f t="shared" si="32"/>
        <v>47739</v>
      </c>
      <c r="AQ49" s="67">
        <v>420.06921299718817</v>
      </c>
      <c r="AR49" s="65">
        <f t="shared" si="10"/>
        <v>420069212.99718815</v>
      </c>
      <c r="AS49" s="59">
        <f t="shared" si="33"/>
        <v>47739</v>
      </c>
      <c r="AT49" s="67">
        <v>420.06921299718817</v>
      </c>
      <c r="AU49" s="65">
        <f t="shared" si="11"/>
        <v>420069212.99718815</v>
      </c>
    </row>
    <row r="50" spans="2:47">
      <c r="B50" s="35">
        <f t="shared" si="0"/>
        <v>36</v>
      </c>
      <c r="C50" s="59">
        <f t="shared" si="12"/>
        <v>47830</v>
      </c>
      <c r="D50" s="97" t="str">
        <f t="shared" si="1"/>
        <v>금요일</v>
      </c>
      <c r="E50" s="60">
        <v>11</v>
      </c>
      <c r="F50" s="60">
        <v>0</v>
      </c>
      <c r="G50" s="61">
        <f t="shared" si="36"/>
        <v>450598821.38732624</v>
      </c>
      <c r="H50" s="61">
        <f t="shared" si="46"/>
        <v>360172786.23029828</v>
      </c>
      <c r="I50" s="61">
        <f t="shared" si="47"/>
        <v>90426035.157027945</v>
      </c>
      <c r="J50" s="151">
        <f t="shared" si="37"/>
        <v>8.9999999999999993E-3</v>
      </c>
      <c r="K50" s="147">
        <f>SUM(J47:J50)</f>
        <v>3.5999999999999997E-2</v>
      </c>
      <c r="L50" s="61">
        <f t="shared" si="48"/>
        <v>9687164453.4394741</v>
      </c>
      <c r="M50" s="61">
        <f t="shared" si="49"/>
        <v>91</v>
      </c>
      <c r="N50" s="61">
        <f>C50-C46</f>
        <v>365</v>
      </c>
      <c r="O50" s="69">
        <f t="shared" si="44"/>
        <v>1.9159136745284293E-2</v>
      </c>
      <c r="P50" s="61">
        <f t="shared" si="16"/>
        <v>2003962.0576656424</v>
      </c>
      <c r="Q50" s="61">
        <f t="shared" si="17"/>
        <v>2003962.0576656424</v>
      </c>
      <c r="R50" s="61">
        <f t="shared" si="18"/>
        <v>500990.51441641059</v>
      </c>
      <c r="S50" s="61">
        <f t="shared" si="19"/>
        <v>500990.51441641059</v>
      </c>
      <c r="T50" s="63">
        <f t="shared" si="20"/>
        <v>0</v>
      </c>
      <c r="U50" s="61">
        <f t="shared" si="21"/>
        <v>5009905.1441641059</v>
      </c>
      <c r="V50" s="64">
        <f t="shared" si="50"/>
        <v>4.9863013698630133E-4</v>
      </c>
      <c r="W50" s="147">
        <f>SUM(V47:V50)</f>
        <v>2E-3</v>
      </c>
      <c r="X50" s="65">
        <f t="shared" si="51"/>
        <v>85416130.012863845</v>
      </c>
      <c r="Y50" s="150">
        <f t="shared" si="52"/>
        <v>8.5013698630136986E-3</v>
      </c>
      <c r="Z50" s="147">
        <f>SUM(Y47:Y50)</f>
        <v>3.3999999999999996E-2</v>
      </c>
      <c r="AA50" s="66">
        <f t="shared" si="25"/>
        <v>9085074124.731945</v>
      </c>
      <c r="AB50" s="65">
        <f>339.956453085738</f>
        <v>339.95645308573802</v>
      </c>
      <c r="AC50" s="65">
        <f t="shared" si="55"/>
        <v>339956453.085738</v>
      </c>
      <c r="AD50" s="67">
        <v>80.11275991145034</v>
      </c>
      <c r="AE50" s="156">
        <f t="shared" si="39"/>
        <v>80043546.911450341</v>
      </c>
      <c r="AF50" s="67">
        <f t="shared" si="56"/>
        <v>420.06921299718834</v>
      </c>
      <c r="AG50" s="191">
        <f t="shared" si="40"/>
        <v>419999999.99718833</v>
      </c>
      <c r="AH50" s="150">
        <f t="shared" si="34"/>
        <v>8.4926564694481881E-3</v>
      </c>
      <c r="AI50" s="184">
        <f>SUM(AH47:AH50)</f>
        <v>3.3972073928975242E-2</v>
      </c>
      <c r="AJ50" s="66">
        <f t="shared" si="29"/>
        <v>602090328.70752621</v>
      </c>
      <c r="AK50" s="65">
        <f t="shared" si="45"/>
        <v>20216333.144560277</v>
      </c>
      <c r="AL50" s="65">
        <f t="shared" si="42"/>
        <v>5441796.1014135033</v>
      </c>
      <c r="AM50" s="65">
        <f t="shared" si="53"/>
        <v>25658129.245973781</v>
      </c>
      <c r="AN50" s="62">
        <f t="shared" si="54"/>
        <v>8.7445570407648013E-3</v>
      </c>
      <c r="AO50" s="145">
        <f>SUM(AN47:AN50)</f>
        <v>3.4850963438576167E-2</v>
      </c>
      <c r="AP50" s="59">
        <f t="shared" si="32"/>
        <v>47830</v>
      </c>
      <c r="AQ50" s="67">
        <f>420.069212997188+AQ59-AQ60</f>
        <v>8994223803.5538387</v>
      </c>
      <c r="AR50" s="65">
        <f>AQ59</f>
        <v>9085074124.731945</v>
      </c>
      <c r="AS50" s="59">
        <f t="shared" si="33"/>
        <v>47830</v>
      </c>
      <c r="AT50" s="67">
        <v>420.06921299718812</v>
      </c>
      <c r="AU50" s="65">
        <f t="shared" si="11"/>
        <v>420069212.99718809</v>
      </c>
    </row>
    <row r="51" spans="2:47">
      <c r="B51" s="35">
        <f t="shared" si="0"/>
        <v>37</v>
      </c>
      <c r="C51" s="38">
        <f t="shared" si="12"/>
        <v>47920</v>
      </c>
      <c r="D51" s="96" t="str">
        <f t="shared" si="1"/>
        <v>목요일</v>
      </c>
      <c r="E51" s="27">
        <v>2</v>
      </c>
      <c r="F51" s="27">
        <v>0</v>
      </c>
      <c r="G51" s="28">
        <f t="shared" si="36"/>
        <v>450598821.38732624</v>
      </c>
      <c r="H51" s="28">
        <f t="shared" si="46"/>
        <v>363414341.30637097</v>
      </c>
      <c r="I51" s="28">
        <f t="shared" si="47"/>
        <v>87184480.080955267</v>
      </c>
      <c r="J51" s="143">
        <f t="shared" si="37"/>
        <v>8.9999999999999993E-3</v>
      </c>
      <c r="K51" s="148"/>
      <c r="L51" s="28">
        <f t="shared" si="48"/>
        <v>9323750112.1331024</v>
      </c>
      <c r="M51" s="28">
        <f t="shared" si="49"/>
        <v>90</v>
      </c>
      <c r="N51" s="28">
        <f t="shared" si="5"/>
        <v>365</v>
      </c>
      <c r="O51" s="71">
        <f t="shared" si="44"/>
        <v>1.9159136745284293E-2</v>
      </c>
      <c r="P51" s="54">
        <f t="shared" si="16"/>
        <v>1910892.7141031288</v>
      </c>
      <c r="Q51" s="54">
        <f t="shared" si="17"/>
        <v>1910892.7141031295</v>
      </c>
      <c r="R51" s="54">
        <f t="shared" si="18"/>
        <v>477723.17852578236</v>
      </c>
      <c r="S51" s="54">
        <f t="shared" si="19"/>
        <v>477723.17852578236</v>
      </c>
      <c r="T51" s="56">
        <f t="shared" si="20"/>
        <v>0</v>
      </c>
      <c r="U51" s="54">
        <f t="shared" si="21"/>
        <v>4777231.7852578228</v>
      </c>
      <c r="V51" s="57">
        <f t="shared" si="50"/>
        <v>4.9315068493150684E-4</v>
      </c>
      <c r="W51" s="153"/>
      <c r="X51" s="29">
        <f t="shared" si="51"/>
        <v>82407248.295697451</v>
      </c>
      <c r="Y51" s="142">
        <f t="shared" si="52"/>
        <v>8.5068493150684942E-3</v>
      </c>
      <c r="Z51" s="148"/>
      <c r="AA51" s="44">
        <f t="shared" si="25"/>
        <v>8742228041.7949772</v>
      </c>
      <c r="AB51" s="42">
        <f>342.846082936967</f>
        <v>342.84608293696698</v>
      </c>
      <c r="AC51" s="42">
        <f t="shared" si="55"/>
        <v>342846082.93696696</v>
      </c>
      <c r="AD51" s="45">
        <v>77.22313006022155</v>
      </c>
      <c r="AE51" s="155">
        <f t="shared" si="39"/>
        <v>77153917.060221553</v>
      </c>
      <c r="AF51" s="45">
        <f t="shared" si="56"/>
        <v>420.06921299718852</v>
      </c>
      <c r="AG51" s="190">
        <f t="shared" si="40"/>
        <v>419999999.99718851</v>
      </c>
      <c r="AH51" s="157">
        <f t="shared" si="34"/>
        <v>8.4923816802097898E-3</v>
      </c>
      <c r="AI51" s="185"/>
      <c r="AJ51" s="51">
        <f t="shared" si="29"/>
        <v>581522070.33812213</v>
      </c>
      <c r="AK51" s="49">
        <f t="shared" si="45"/>
        <v>20568258.369404018</v>
      </c>
      <c r="AL51" s="49">
        <f t="shared" si="42"/>
        <v>5322544.2354758978</v>
      </c>
      <c r="AM51" s="49">
        <f t="shared" si="53"/>
        <v>25890802.604879916</v>
      </c>
      <c r="AN51" s="52">
        <f t="shared" si="54"/>
        <v>8.8401091691698609E-3</v>
      </c>
      <c r="AO51" s="171"/>
      <c r="AP51" s="10"/>
      <c r="AQ51" s="10"/>
      <c r="AR51" s="10"/>
      <c r="AS51" s="38">
        <f t="shared" si="33"/>
        <v>47920</v>
      </c>
      <c r="AT51" s="118">
        <v>420.06921299718812</v>
      </c>
      <c r="AU51" s="117">
        <f t="shared" si="11"/>
        <v>420069212.99718809</v>
      </c>
    </row>
    <row r="52" spans="2:47">
      <c r="B52" s="35">
        <f t="shared" si="0"/>
        <v>38</v>
      </c>
      <c r="C52" s="38">
        <f t="shared" si="12"/>
        <v>48012</v>
      </c>
      <c r="D52" s="96" t="str">
        <f t="shared" si="1"/>
        <v>금요일</v>
      </c>
      <c r="E52" s="27">
        <v>5</v>
      </c>
      <c r="F52" s="27">
        <v>0</v>
      </c>
      <c r="G52" s="28">
        <f t="shared" si="36"/>
        <v>450598821.38732624</v>
      </c>
      <c r="H52" s="28">
        <f t="shared" si="46"/>
        <v>366685070.37812829</v>
      </c>
      <c r="I52" s="28">
        <f t="shared" si="47"/>
        <v>83913751.009197921</v>
      </c>
      <c r="J52" s="143">
        <f t="shared" si="37"/>
        <v>8.9999999999999993E-3</v>
      </c>
      <c r="K52" s="148"/>
      <c r="L52" s="28">
        <f t="shared" si="48"/>
        <v>8957065041.7549744</v>
      </c>
      <c r="M52" s="28">
        <f t="shared" si="49"/>
        <v>92</v>
      </c>
      <c r="N52" s="28">
        <f t="shared" si="5"/>
        <v>365</v>
      </c>
      <c r="O52" s="71">
        <f t="shared" si="44"/>
        <v>1.9159136745284293E-2</v>
      </c>
      <c r="P52" s="54">
        <f t="shared" si="16"/>
        <v>1880076.7349397161</v>
      </c>
      <c r="Q52" s="54">
        <f t="shared" si="17"/>
        <v>1880076.7349397161</v>
      </c>
      <c r="R52" s="54">
        <f t="shared" si="18"/>
        <v>470019.18373492901</v>
      </c>
      <c r="S52" s="54">
        <f t="shared" si="19"/>
        <v>470019.18373492901</v>
      </c>
      <c r="T52" s="56">
        <f t="shared" si="20"/>
        <v>0</v>
      </c>
      <c r="U52" s="54">
        <f t="shared" si="21"/>
        <v>4700191.83734929</v>
      </c>
      <c r="V52" s="57">
        <f t="shared" si="50"/>
        <v>5.0410958904109594E-4</v>
      </c>
      <c r="W52" s="153"/>
      <c r="X52" s="29">
        <f t="shared" si="51"/>
        <v>79213559.171848625</v>
      </c>
      <c r="Y52" s="142">
        <f t="shared" si="52"/>
        <v>8.4958904109589031E-3</v>
      </c>
      <c r="Z52" s="148"/>
      <c r="AA52" s="44">
        <f t="shared" si="25"/>
        <v>8396467767.1530466</v>
      </c>
      <c r="AB52" s="42">
        <f>345.760274641931</f>
        <v>345.76027464193101</v>
      </c>
      <c r="AC52" s="42">
        <f t="shared" si="55"/>
        <v>345760274.641931</v>
      </c>
      <c r="AD52" s="45">
        <v>74.308938355257339</v>
      </c>
      <c r="AE52" s="155">
        <f t="shared" si="39"/>
        <v>74239725.355257332</v>
      </c>
      <c r="AF52" s="45">
        <f t="shared" si="56"/>
        <v>420.06921299718834</v>
      </c>
      <c r="AG52" s="190">
        <f t="shared" si="40"/>
        <v>419999999.99718833</v>
      </c>
      <c r="AH52" s="157">
        <f t="shared" si="34"/>
        <v>8.4920829107100523E-3</v>
      </c>
      <c r="AI52" s="185"/>
      <c r="AJ52" s="51">
        <f t="shared" si="29"/>
        <v>560597274.6019249</v>
      </c>
      <c r="AK52" s="49">
        <f t="shared" si="45"/>
        <v>20924795.736197293</v>
      </c>
      <c r="AL52" s="49">
        <f t="shared" si="42"/>
        <v>5043046.8165912926</v>
      </c>
      <c r="AM52" s="49">
        <f t="shared" si="53"/>
        <v>25967842.552788585</v>
      </c>
      <c r="AN52" s="52">
        <f t="shared" si="54"/>
        <v>8.6721503341378719E-3</v>
      </c>
      <c r="AO52" s="171"/>
      <c r="AP52" s="10"/>
      <c r="AQ52" s="10"/>
      <c r="AR52" s="10"/>
      <c r="AS52" s="38">
        <f t="shared" si="33"/>
        <v>48012</v>
      </c>
      <c r="AT52" s="118">
        <v>420.06921299718812</v>
      </c>
      <c r="AU52" s="117">
        <f t="shared" si="11"/>
        <v>420069212.99718809</v>
      </c>
    </row>
    <row r="53" spans="2:47">
      <c r="B53" s="35">
        <f t="shared" si="0"/>
        <v>39</v>
      </c>
      <c r="C53" s="38">
        <f t="shared" si="12"/>
        <v>48104</v>
      </c>
      <c r="D53" s="98" t="str">
        <f t="shared" si="1"/>
        <v>토요일</v>
      </c>
      <c r="E53" s="27">
        <v>8</v>
      </c>
      <c r="F53" s="27">
        <v>0</v>
      </c>
      <c r="G53" s="28">
        <f t="shared" si="36"/>
        <v>450598821.38732624</v>
      </c>
      <c r="H53" s="28">
        <f t="shared" si="46"/>
        <v>369985236.01153147</v>
      </c>
      <c r="I53" s="28">
        <f t="shared" si="47"/>
        <v>80613585.375794768</v>
      </c>
      <c r="J53" s="143">
        <f t="shared" si="37"/>
        <v>8.9999999999999993E-3</v>
      </c>
      <c r="K53" s="148"/>
      <c r="L53" s="28">
        <f t="shared" si="48"/>
        <v>8587079805.7434425</v>
      </c>
      <c r="M53" s="28">
        <f t="shared" si="49"/>
        <v>92</v>
      </c>
      <c r="N53" s="28">
        <f t="shared" si="5"/>
        <v>365</v>
      </c>
      <c r="O53" s="71">
        <f t="shared" si="44"/>
        <v>1.9159136745284293E-2</v>
      </c>
      <c r="P53" s="54">
        <f t="shared" si="16"/>
        <v>1806136.9508853864</v>
      </c>
      <c r="Q53" s="54">
        <f t="shared" si="17"/>
        <v>1806136.9508853867</v>
      </c>
      <c r="R53" s="54">
        <f t="shared" si="18"/>
        <v>451534.23772134667</v>
      </c>
      <c r="S53" s="54">
        <f t="shared" si="19"/>
        <v>451534.23772134667</v>
      </c>
      <c r="T53" s="56">
        <f t="shared" si="20"/>
        <v>0</v>
      </c>
      <c r="U53" s="54">
        <f t="shared" si="21"/>
        <v>4515342.3772134669</v>
      </c>
      <c r="V53" s="57">
        <f t="shared" si="50"/>
        <v>5.0410958904109594E-4</v>
      </c>
      <c r="W53" s="153"/>
      <c r="X53" s="29">
        <f t="shared" si="51"/>
        <v>76098242.998581305</v>
      </c>
      <c r="Y53" s="142">
        <f t="shared" si="52"/>
        <v>8.4958904109589048E-3</v>
      </c>
      <c r="Z53" s="148"/>
      <c r="AA53" s="44">
        <f t="shared" si="25"/>
        <v>8047768530.1766596</v>
      </c>
      <c r="AB53" s="42">
        <f>348.699236976387</f>
        <v>348.699236976387</v>
      </c>
      <c r="AC53" s="42">
        <f t="shared" si="55"/>
        <v>348699236.97638702</v>
      </c>
      <c r="AD53" s="45">
        <v>71.369976020800934</v>
      </c>
      <c r="AE53" s="155">
        <f t="shared" si="39"/>
        <v>71300763.020800933</v>
      </c>
      <c r="AF53" s="45">
        <f t="shared" si="56"/>
        <v>420.06921299718795</v>
      </c>
      <c r="AG53" s="190">
        <f t="shared" si="40"/>
        <v>419999999.99718797</v>
      </c>
      <c r="AH53" s="157">
        <f t="shared" si="34"/>
        <v>8.4917568908832453E-3</v>
      </c>
      <c r="AI53" s="185"/>
      <c r="AJ53" s="51">
        <f t="shared" si="29"/>
        <v>539311275.56678045</v>
      </c>
      <c r="AK53" s="49">
        <f t="shared" si="45"/>
        <v>21285999.035144448</v>
      </c>
      <c r="AL53" s="49">
        <f t="shared" si="42"/>
        <v>4866692.9777803719</v>
      </c>
      <c r="AM53" s="49">
        <f t="shared" si="53"/>
        <v>26152692.01292482</v>
      </c>
      <c r="AN53" s="52">
        <f t="shared" si="54"/>
        <v>8.6812640700691373E-3</v>
      </c>
      <c r="AO53" s="171"/>
      <c r="AP53" s="10"/>
      <c r="AQ53" s="10"/>
      <c r="AR53" s="10"/>
      <c r="AS53" s="38">
        <f t="shared" si="33"/>
        <v>48104</v>
      </c>
      <c r="AT53" s="118">
        <v>420.06921299718812</v>
      </c>
      <c r="AU53" s="117">
        <f t="shared" si="11"/>
        <v>420069212.99718809</v>
      </c>
    </row>
    <row r="54" spans="2:47">
      <c r="B54" s="35">
        <f t="shared" si="0"/>
        <v>40</v>
      </c>
      <c r="C54" s="38">
        <f t="shared" si="12"/>
        <v>48195</v>
      </c>
      <c r="D54" s="98" t="str">
        <f t="shared" si="1"/>
        <v>토요일</v>
      </c>
      <c r="E54" s="27">
        <v>11</v>
      </c>
      <c r="F54" s="27">
        <v>0</v>
      </c>
      <c r="G54" s="28">
        <f t="shared" si="36"/>
        <v>450598821.38732624</v>
      </c>
      <c r="H54" s="28">
        <f t="shared" si="46"/>
        <v>373315103.13563526</v>
      </c>
      <c r="I54" s="28">
        <f t="shared" si="47"/>
        <v>77283718.251690984</v>
      </c>
      <c r="J54" s="143">
        <f t="shared" si="37"/>
        <v>8.9999999999999993E-3</v>
      </c>
      <c r="K54" s="148">
        <f>SUM(J51:J54)</f>
        <v>3.5999999999999997E-2</v>
      </c>
      <c r="L54" s="28">
        <f t="shared" si="48"/>
        <v>8213764702.6078072</v>
      </c>
      <c r="M54" s="28">
        <f t="shared" si="49"/>
        <v>91</v>
      </c>
      <c r="N54" s="28">
        <f>C54-C50</f>
        <v>365</v>
      </c>
      <c r="O54" s="71">
        <f t="shared" si="44"/>
        <v>1.9159136745284293E-2</v>
      </c>
      <c r="P54" s="54">
        <f t="shared" si="16"/>
        <v>1712710.7119400618</v>
      </c>
      <c r="Q54" s="54">
        <f t="shared" si="17"/>
        <v>1712710.7119400618</v>
      </c>
      <c r="R54" s="54">
        <f t="shared" si="18"/>
        <v>428177.67798501544</v>
      </c>
      <c r="S54" s="54">
        <f t="shared" si="19"/>
        <v>428177.67798501544</v>
      </c>
      <c r="T54" s="56">
        <f t="shared" si="20"/>
        <v>0</v>
      </c>
      <c r="U54" s="54">
        <f t="shared" si="21"/>
        <v>4281776.7798501542</v>
      </c>
      <c r="V54" s="57">
        <f t="shared" si="50"/>
        <v>4.9863013698630133E-4</v>
      </c>
      <c r="W54" s="153">
        <f>SUM(V51:V54)</f>
        <v>2E-3</v>
      </c>
      <c r="X54" s="29">
        <f t="shared" si="51"/>
        <v>73001941.471840829</v>
      </c>
      <c r="Y54" s="142">
        <f t="shared" si="52"/>
        <v>8.5013698630136986E-3</v>
      </c>
      <c r="Z54" s="148">
        <f>SUM(Y51:Y54)</f>
        <v>3.4000000000000002E-2</v>
      </c>
      <c r="AA54" s="44">
        <f t="shared" si="25"/>
        <v>7696105349.6859732</v>
      </c>
      <c r="AB54" s="42">
        <f>351.663180490686</f>
        <v>351.66318049068599</v>
      </c>
      <c r="AC54" s="42">
        <f t="shared" si="55"/>
        <v>351663180.490686</v>
      </c>
      <c r="AD54" s="45">
        <v>68.406032506501631</v>
      </c>
      <c r="AE54" s="155">
        <f t="shared" si="39"/>
        <v>68336819.50650163</v>
      </c>
      <c r="AF54" s="45">
        <f t="shared" si="56"/>
        <v>420.06921299718761</v>
      </c>
      <c r="AG54" s="190">
        <f t="shared" si="40"/>
        <v>419999999.99718761</v>
      </c>
      <c r="AH54" s="157">
        <f t="shared" si="34"/>
        <v>8.4913997277952947E-3</v>
      </c>
      <c r="AI54" s="185">
        <f>SUM(AH51:AH54)</f>
        <v>3.3967621209598384E-2</v>
      </c>
      <c r="AJ54" s="51">
        <f t="shared" si="29"/>
        <v>517659352.92183119</v>
      </c>
      <c r="AK54" s="49">
        <f t="shared" si="45"/>
        <v>21651922.644949257</v>
      </c>
      <c r="AL54" s="49">
        <f t="shared" si="42"/>
        <v>4734334.9653391987</v>
      </c>
      <c r="AM54" s="49">
        <f t="shared" si="53"/>
        <v>26386257.610288456</v>
      </c>
      <c r="AN54" s="52">
        <f t="shared" si="54"/>
        <v>8.7784831874017956E-3</v>
      </c>
      <c r="AO54" s="171">
        <f>SUM(AN51:AN54)</f>
        <v>3.4972006760778662E-2</v>
      </c>
      <c r="AP54" s="10"/>
      <c r="AQ54" s="10"/>
      <c r="AR54" s="10"/>
      <c r="AS54" s="38">
        <f t="shared" si="33"/>
        <v>48195</v>
      </c>
      <c r="AT54" s="118">
        <v>420.06921299718812</v>
      </c>
      <c r="AU54" s="117">
        <f t="shared" si="11"/>
        <v>420069212.99718809</v>
      </c>
    </row>
    <row r="55" spans="2:47">
      <c r="B55" s="35">
        <f t="shared" si="0"/>
        <v>41</v>
      </c>
      <c r="C55" s="59">
        <f t="shared" si="12"/>
        <v>48286</v>
      </c>
      <c r="D55" s="99" t="str">
        <f t="shared" si="1"/>
        <v>토요일</v>
      </c>
      <c r="E55" s="60">
        <v>2</v>
      </c>
      <c r="F55" s="60">
        <v>0</v>
      </c>
      <c r="G55" s="61">
        <f t="shared" si="36"/>
        <v>450598821.38732624</v>
      </c>
      <c r="H55" s="61">
        <f t="shared" si="46"/>
        <v>376674939.06385601</v>
      </c>
      <c r="I55" s="61">
        <f t="shared" si="47"/>
        <v>73923882.323470265</v>
      </c>
      <c r="J55" s="151">
        <f t="shared" si="37"/>
        <v>8.9999999999999993E-3</v>
      </c>
      <c r="K55" s="147"/>
      <c r="L55" s="61">
        <f t="shared" si="48"/>
        <v>7837089763.543951</v>
      </c>
      <c r="M55" s="61">
        <f t="shared" si="49"/>
        <v>91</v>
      </c>
      <c r="N55" s="61">
        <f t="shared" si="5"/>
        <v>366</v>
      </c>
      <c r="O55" s="69">
        <f t="shared" si="44"/>
        <v>1.9159136745284293E-2</v>
      </c>
      <c r="P55" s="61">
        <f t="shared" si="16"/>
        <v>1633776.1484968532</v>
      </c>
      <c r="Q55" s="61">
        <f t="shared" si="17"/>
        <v>1633776.1484968534</v>
      </c>
      <c r="R55" s="61">
        <f t="shared" si="18"/>
        <v>408444.03712421336</v>
      </c>
      <c r="S55" s="61">
        <f t="shared" si="19"/>
        <v>408444.03712421336</v>
      </c>
      <c r="T55" s="63">
        <f t="shared" si="20"/>
        <v>0</v>
      </c>
      <c r="U55" s="61">
        <f t="shared" si="21"/>
        <v>4084440.371242133</v>
      </c>
      <c r="V55" s="64">
        <f t="shared" si="50"/>
        <v>4.9726775956284146E-4</v>
      </c>
      <c r="W55" s="147"/>
      <c r="X55" s="65">
        <f t="shared" si="51"/>
        <v>69839441.952228129</v>
      </c>
      <c r="Y55" s="150">
        <f t="shared" si="52"/>
        <v>8.5027322404371587E-3</v>
      </c>
      <c r="Z55" s="147"/>
      <c r="AA55" s="66">
        <f t="shared" si="25"/>
        <v>7341453032.1611166</v>
      </c>
      <c r="AB55" s="65">
        <f>354.652317524857</f>
        <v>354.65231752485698</v>
      </c>
      <c r="AC55" s="65">
        <f t="shared" si="55"/>
        <v>354652317.52485698</v>
      </c>
      <c r="AD55" s="67">
        <v>65.416895472330808</v>
      </c>
      <c r="AE55" s="156">
        <f t="shared" si="39"/>
        <v>65347682.472330809</v>
      </c>
      <c r="AF55" s="67">
        <f t="shared" si="56"/>
        <v>420.06921299718778</v>
      </c>
      <c r="AG55" s="191">
        <f t="shared" si="40"/>
        <v>419999999.99718779</v>
      </c>
      <c r="AH55" s="150">
        <f>AE55/AA54</f>
        <v>8.4910067499267289E-3</v>
      </c>
      <c r="AI55" s="184"/>
      <c r="AJ55" s="66">
        <f t="shared" si="29"/>
        <v>495636731.38283217</v>
      </c>
      <c r="AK55" s="65">
        <f t="shared" si="45"/>
        <v>22022621.538999021</v>
      </c>
      <c r="AL55" s="65">
        <f t="shared" si="42"/>
        <v>4560972.4798973203</v>
      </c>
      <c r="AM55" s="65">
        <f t="shared" si="53"/>
        <v>26583594.018896341</v>
      </c>
      <c r="AN55" s="62">
        <f t="shared" si="54"/>
        <v>8.8107603082099566E-3</v>
      </c>
      <c r="AO55" s="145"/>
      <c r="AP55" s="61"/>
      <c r="AQ55" s="61"/>
      <c r="AR55" s="61"/>
      <c r="AS55" s="59">
        <f t="shared" si="33"/>
        <v>48286</v>
      </c>
      <c r="AT55" s="67">
        <v>420.06921299718806</v>
      </c>
      <c r="AU55" s="65">
        <f t="shared" si="11"/>
        <v>420069212.99718803</v>
      </c>
    </row>
    <row r="56" spans="2:47">
      <c r="B56" s="35">
        <f t="shared" si="0"/>
        <v>42</v>
      </c>
      <c r="C56" s="59">
        <f t="shared" si="12"/>
        <v>48378</v>
      </c>
      <c r="D56" s="99" t="str">
        <f t="shared" si="1"/>
        <v>일요일</v>
      </c>
      <c r="E56" s="60">
        <v>5</v>
      </c>
      <c r="F56" s="60">
        <v>0</v>
      </c>
      <c r="G56" s="61">
        <f t="shared" si="36"/>
        <v>450598821.38732624</v>
      </c>
      <c r="H56" s="61">
        <f t="shared" si="46"/>
        <v>380065013.51543069</v>
      </c>
      <c r="I56" s="61">
        <f t="shared" si="47"/>
        <v>70533807.871895552</v>
      </c>
      <c r="J56" s="151">
        <f t="shared" si="37"/>
        <v>8.9999999999999993E-3</v>
      </c>
      <c r="K56" s="147"/>
      <c r="L56" s="61">
        <f t="shared" si="48"/>
        <v>7457024750.0285206</v>
      </c>
      <c r="M56" s="61">
        <f t="shared" si="49"/>
        <v>92</v>
      </c>
      <c r="N56" s="61">
        <f t="shared" si="5"/>
        <v>366</v>
      </c>
      <c r="O56" s="69">
        <f t="shared" si="44"/>
        <v>1.9159136745284293E-2</v>
      </c>
      <c r="P56" s="61">
        <f t="shared" si="16"/>
        <v>1575983.0781334285</v>
      </c>
      <c r="Q56" s="61">
        <f t="shared" si="17"/>
        <v>1575983.0781334285</v>
      </c>
      <c r="R56" s="61">
        <f t="shared" si="18"/>
        <v>393995.76953335712</v>
      </c>
      <c r="S56" s="61">
        <f t="shared" si="19"/>
        <v>393995.76953335712</v>
      </c>
      <c r="T56" s="63">
        <f t="shared" si="20"/>
        <v>0</v>
      </c>
      <c r="U56" s="61">
        <f t="shared" si="21"/>
        <v>3939957.6953335712</v>
      </c>
      <c r="V56" s="64">
        <f t="shared" si="50"/>
        <v>5.0273224043715845E-4</v>
      </c>
      <c r="W56" s="147"/>
      <c r="X56" s="65">
        <f t="shared" si="51"/>
        <v>66593850.176561981</v>
      </c>
      <c r="Y56" s="150">
        <f t="shared" si="52"/>
        <v>8.4972677595628408E-3</v>
      </c>
      <c r="Z56" s="147"/>
      <c r="AA56" s="66">
        <f t="shared" si="25"/>
        <v>6983786169.9372978</v>
      </c>
      <c r="AB56" s="65">
        <f>357.666862223819</f>
        <v>357.66686222381901</v>
      </c>
      <c r="AC56" s="65">
        <f t="shared" si="55"/>
        <v>357666862.22381902</v>
      </c>
      <c r="AD56" s="67">
        <v>62.402350773369513</v>
      </c>
      <c r="AE56" s="156">
        <f t="shared" si="39"/>
        <v>62333137.773369513</v>
      </c>
      <c r="AF56" s="67">
        <f t="shared" si="56"/>
        <v>420.06921299718852</v>
      </c>
      <c r="AG56" s="191">
        <f t="shared" si="40"/>
        <v>419999999.99718851</v>
      </c>
      <c r="AH56" s="150">
        <f>AE56/AA55</f>
        <v>8.4905723022817448E-3</v>
      </c>
      <c r="AI56" s="184"/>
      <c r="AJ56" s="66">
        <f t="shared" si="29"/>
        <v>473238580.0912205</v>
      </c>
      <c r="AK56" s="65">
        <f t="shared" si="45"/>
        <v>22398151.291611671</v>
      </c>
      <c r="AL56" s="65">
        <f t="shared" si="42"/>
        <v>4329925.403192468</v>
      </c>
      <c r="AM56" s="65">
        <f t="shared" si="53"/>
        <v>26728076.694804139</v>
      </c>
      <c r="AN56" s="62">
        <f t="shared" si="54"/>
        <v>8.7360865913063517E-3</v>
      </c>
      <c r="AO56" s="145"/>
      <c r="AP56" s="61"/>
      <c r="AQ56" s="61"/>
      <c r="AR56" s="61"/>
      <c r="AS56" s="59">
        <f t="shared" si="33"/>
        <v>48378</v>
      </c>
      <c r="AT56" s="67">
        <v>420.06921299718812</v>
      </c>
      <c r="AU56" s="65">
        <f t="shared" si="11"/>
        <v>420069212.99718809</v>
      </c>
    </row>
    <row r="57" spans="2:47">
      <c r="B57" s="35">
        <f t="shared" si="0"/>
        <v>43</v>
      </c>
      <c r="C57" s="59">
        <f t="shared" si="12"/>
        <v>48470</v>
      </c>
      <c r="D57" s="97" t="str">
        <f t="shared" si="1"/>
        <v>월요일</v>
      </c>
      <c r="E57" s="60">
        <v>8</v>
      </c>
      <c r="F57" s="60">
        <v>0</v>
      </c>
      <c r="G57" s="61">
        <f t="shared" si="36"/>
        <v>450598821.38732624</v>
      </c>
      <c r="H57" s="61">
        <f t="shared" si="46"/>
        <v>383485598.63706958</v>
      </c>
      <c r="I57" s="61">
        <f t="shared" si="47"/>
        <v>67113222.750256687</v>
      </c>
      <c r="J57" s="151">
        <f t="shared" si="37"/>
        <v>9.0000000000000011E-3</v>
      </c>
      <c r="K57" s="147"/>
      <c r="L57" s="61">
        <f t="shared" si="48"/>
        <v>7073539151.3914509</v>
      </c>
      <c r="M57" s="61">
        <f t="shared" si="49"/>
        <v>92</v>
      </c>
      <c r="N57" s="61">
        <f t="shared" si="5"/>
        <v>366</v>
      </c>
      <c r="O57" s="69">
        <f t="shared" si="44"/>
        <v>1.9159136745284293E-2</v>
      </c>
      <c r="P57" s="61">
        <f t="shared" si="16"/>
        <v>1499554.7038308717</v>
      </c>
      <c r="Q57" s="61">
        <f t="shared" si="17"/>
        <v>1499554.703830872</v>
      </c>
      <c r="R57" s="61">
        <f t="shared" si="18"/>
        <v>374888.67595771799</v>
      </c>
      <c r="S57" s="61">
        <f t="shared" si="19"/>
        <v>374888.67595771799</v>
      </c>
      <c r="T57" s="63">
        <f t="shared" si="20"/>
        <v>0</v>
      </c>
      <c r="U57" s="61">
        <f t="shared" si="21"/>
        <v>3748886.7595771793</v>
      </c>
      <c r="V57" s="64">
        <f t="shared" si="50"/>
        <v>5.0273224043715845E-4</v>
      </c>
      <c r="W57" s="147"/>
      <c r="X57" s="65">
        <f t="shared" si="51"/>
        <v>63364335.99067951</v>
      </c>
      <c r="Y57" s="150">
        <f t="shared" si="52"/>
        <v>8.4972677595628425E-3</v>
      </c>
      <c r="Z57" s="147"/>
      <c r="AA57" s="66">
        <f t="shared" si="25"/>
        <v>6623079139.3845768</v>
      </c>
      <c r="AB57" s="65">
        <f>360.707030552721</f>
        <v>360.70703055272099</v>
      </c>
      <c r="AC57" s="65">
        <f t="shared" si="55"/>
        <v>360707030.55272102</v>
      </c>
      <c r="AD57" s="67">
        <v>59.362182444467052</v>
      </c>
      <c r="AE57" s="156">
        <f t="shared" si="39"/>
        <v>59292969.444467053</v>
      </c>
      <c r="AF57" s="67">
        <f t="shared" si="56"/>
        <v>420.06921299718806</v>
      </c>
      <c r="AG57" s="191">
        <f t="shared" si="40"/>
        <v>419999999.99718809</v>
      </c>
      <c r="AH57" s="150">
        <f t="shared" si="34"/>
        <v>8.4900894732003792E-3</v>
      </c>
      <c r="AI57" s="184"/>
      <c r="AJ57" s="66">
        <f t="shared" si="29"/>
        <v>450460012.00687194</v>
      </c>
      <c r="AK57" s="65">
        <f t="shared" si="45"/>
        <v>22778568.084348559</v>
      </c>
      <c r="AL57" s="65">
        <f t="shared" si="42"/>
        <v>4140579.5462124571</v>
      </c>
      <c r="AM57" s="65">
        <f t="shared" si="53"/>
        <v>26919147.630561016</v>
      </c>
      <c r="AN57" s="62">
        <f t="shared" si="54"/>
        <v>8.7494547579242739E-3</v>
      </c>
      <c r="AO57" s="145"/>
      <c r="AP57" s="61"/>
      <c r="AQ57" s="61"/>
      <c r="AR57" s="61"/>
      <c r="AS57" s="59">
        <f t="shared" si="33"/>
        <v>48470</v>
      </c>
      <c r="AT57" s="67">
        <v>420.06921299718812</v>
      </c>
      <c r="AU57" s="65">
        <f t="shared" si="11"/>
        <v>420069212.99718809</v>
      </c>
    </row>
    <row r="58" spans="2:47">
      <c r="B58" s="35">
        <f t="shared" si="0"/>
        <v>44</v>
      </c>
      <c r="C58" s="59">
        <f t="shared" si="12"/>
        <v>48561</v>
      </c>
      <c r="D58" s="97" t="str">
        <f t="shared" si="1"/>
        <v>월요일</v>
      </c>
      <c r="E58" s="60">
        <v>11</v>
      </c>
      <c r="F58" s="60">
        <v>0</v>
      </c>
      <c r="G58" s="61">
        <f t="shared" si="36"/>
        <v>450598821.38732624</v>
      </c>
      <c r="H58" s="61">
        <f t="shared" si="46"/>
        <v>386936969.02480316</v>
      </c>
      <c r="I58" s="61">
        <f t="shared" si="47"/>
        <v>63661852.362523057</v>
      </c>
      <c r="J58" s="151">
        <f t="shared" si="37"/>
        <v>8.9999999999999993E-3</v>
      </c>
      <c r="K58" s="147">
        <f>SUM(J55:J58)</f>
        <v>3.5999999999999997E-2</v>
      </c>
      <c r="L58" s="61">
        <f t="shared" si="48"/>
        <v>6686602182.3666477</v>
      </c>
      <c r="M58" s="61">
        <f t="shared" si="49"/>
        <v>91</v>
      </c>
      <c r="N58" s="61">
        <f>C58-C54</f>
        <v>366</v>
      </c>
      <c r="O58" s="69">
        <f t="shared" si="44"/>
        <v>1.9159136745284293E-2</v>
      </c>
      <c r="P58" s="61">
        <f t="shared" si="16"/>
        <v>1406977.1863969879</v>
      </c>
      <c r="Q58" s="61">
        <f t="shared" si="17"/>
        <v>1406977.1863969881</v>
      </c>
      <c r="R58" s="61">
        <f t="shared" si="18"/>
        <v>351744.29659924703</v>
      </c>
      <c r="S58" s="61">
        <f t="shared" si="19"/>
        <v>351744.29659924703</v>
      </c>
      <c r="T58" s="63">
        <f t="shared" si="20"/>
        <v>0</v>
      </c>
      <c r="U58" s="61">
        <f t="shared" si="21"/>
        <v>3517442.9659924703</v>
      </c>
      <c r="V58" s="64">
        <f t="shared" si="50"/>
        <v>4.9726775956284157E-4</v>
      </c>
      <c r="W58" s="147">
        <f>SUM(V55:V58)</f>
        <v>2E-3</v>
      </c>
      <c r="X58" s="65">
        <f t="shared" si="51"/>
        <v>60144409.396530584</v>
      </c>
      <c r="Y58" s="150">
        <f t="shared" si="52"/>
        <v>8.5027322404371587E-3</v>
      </c>
      <c r="Z58" s="147">
        <f>SUM(Y55:Y58)</f>
        <v>3.4000000000000002E-2</v>
      </c>
      <c r="AA58" s="66">
        <f t="shared" si="25"/>
        <v>6259306099.0721579</v>
      </c>
      <c r="AB58" s="65">
        <f>363.773040312419</f>
        <v>363.77304031241903</v>
      </c>
      <c r="AC58" s="65">
        <f t="shared" si="55"/>
        <v>363773040.31241906</v>
      </c>
      <c r="AD58" s="67">
        <v>56.296172684768919</v>
      </c>
      <c r="AE58" s="156">
        <f t="shared" si="39"/>
        <v>56226959.684768923</v>
      </c>
      <c r="AF58" s="67">
        <f t="shared" si="56"/>
        <v>420.06921299718795</v>
      </c>
      <c r="AG58" s="191">
        <f t="shared" si="40"/>
        <v>419999999.99718797</v>
      </c>
      <c r="AH58" s="150">
        <f t="shared" si="34"/>
        <v>8.4895497247513777E-3</v>
      </c>
      <c r="AI58" s="184">
        <f>SUM(AH55:AH58)</f>
        <v>3.3961218250160227E-2</v>
      </c>
      <c r="AJ58" s="66">
        <f t="shared" si="29"/>
        <v>427296083.29448783</v>
      </c>
      <c r="AK58" s="65">
        <f t="shared" si="45"/>
        <v>23163928.712384105</v>
      </c>
      <c r="AL58" s="65">
        <f t="shared" si="42"/>
        <v>3986662.7117616609</v>
      </c>
      <c r="AM58" s="65">
        <f t="shared" si="53"/>
        <v>27150591.424145766</v>
      </c>
      <c r="AN58" s="62">
        <f t="shared" si="54"/>
        <v>8.8502033598952239E-3</v>
      </c>
      <c r="AO58" s="145">
        <f>SUM(AN55:AN58)</f>
        <v>3.5146505017335808E-2</v>
      </c>
      <c r="AP58" s="61"/>
      <c r="AQ58" s="61"/>
      <c r="AR58" s="61"/>
      <c r="AS58" s="59">
        <f t="shared" si="33"/>
        <v>48561</v>
      </c>
      <c r="AT58" s="67">
        <v>420.06921299718812</v>
      </c>
      <c r="AU58" s="65">
        <f t="shared" si="11"/>
        <v>420069212.99718809</v>
      </c>
    </row>
    <row r="59" spans="2:47">
      <c r="B59" s="35">
        <f t="shared" si="0"/>
        <v>45</v>
      </c>
      <c r="C59" s="38">
        <f t="shared" si="12"/>
        <v>48651</v>
      </c>
      <c r="D59" s="98" t="str">
        <f t="shared" si="1"/>
        <v>일요일</v>
      </c>
      <c r="E59" s="27">
        <v>2</v>
      </c>
      <c r="F59" s="27">
        <v>0</v>
      </c>
      <c r="G59" s="28">
        <f t="shared" si="36"/>
        <v>450598821.38732624</v>
      </c>
      <c r="H59" s="28">
        <f t="shared" si="46"/>
        <v>390419401.7460264</v>
      </c>
      <c r="I59" s="28">
        <f t="shared" si="47"/>
        <v>60179419.641299821</v>
      </c>
      <c r="J59" s="143">
        <f t="shared" si="37"/>
        <v>8.9999999999999993E-3</v>
      </c>
      <c r="K59" s="148"/>
      <c r="L59" s="28">
        <f t="shared" si="48"/>
        <v>6296182780.6206217</v>
      </c>
      <c r="M59" s="28">
        <f t="shared" si="49"/>
        <v>90</v>
      </c>
      <c r="N59" s="28">
        <f t="shared" si="5"/>
        <v>365</v>
      </c>
      <c r="O59" s="71">
        <f t="shared" si="44"/>
        <v>1.9159136745284293E-2</v>
      </c>
      <c r="P59" s="54">
        <f t="shared" si="16"/>
        <v>1319000.9784394482</v>
      </c>
      <c r="Q59" s="54">
        <f t="shared" si="17"/>
        <v>1319000.9784394484</v>
      </c>
      <c r="R59" s="54">
        <f t="shared" si="18"/>
        <v>329750.2446098621</v>
      </c>
      <c r="S59" s="54">
        <f t="shared" si="19"/>
        <v>329750.2446098621</v>
      </c>
      <c r="T59" s="56">
        <f t="shared" si="20"/>
        <v>0</v>
      </c>
      <c r="U59" s="54">
        <f t="shared" si="21"/>
        <v>3297502.446098621</v>
      </c>
      <c r="V59" s="57">
        <f t="shared" si="50"/>
        <v>4.9315068493150684E-4</v>
      </c>
      <c r="W59" s="153"/>
      <c r="X59" s="29">
        <f t="shared" si="51"/>
        <v>56881917.195201203</v>
      </c>
      <c r="Y59" s="142">
        <f t="shared" si="52"/>
        <v>8.5068493150684925E-3</v>
      </c>
      <c r="Z59" s="148"/>
      <c r="AA59" s="44">
        <f t="shared" si="25"/>
        <v>5892440987.9170828</v>
      </c>
      <c r="AB59" s="42">
        <f>366.865111155075</f>
        <v>366.865111155075</v>
      </c>
      <c r="AC59" s="42">
        <f t="shared" si="55"/>
        <v>366865111.15507501</v>
      </c>
      <c r="AD59" s="45">
        <v>53.20410184211336</v>
      </c>
      <c r="AE59" s="155">
        <f t="shared" si="39"/>
        <v>53134888.842113361</v>
      </c>
      <c r="AF59" s="45">
        <f t="shared" si="56"/>
        <v>420.06921299718834</v>
      </c>
      <c r="AG59" s="190">
        <f t="shared" si="40"/>
        <v>419999999.99718839</v>
      </c>
      <c r="AH59" s="157">
        <f t="shared" si="34"/>
        <v>8.4889423845224254E-3</v>
      </c>
      <c r="AI59" s="185"/>
      <c r="AJ59" s="51">
        <f t="shared" si="29"/>
        <v>403741792.70353645</v>
      </c>
      <c r="AK59" s="49">
        <f t="shared" si="45"/>
        <v>23554290.590951383</v>
      </c>
      <c r="AL59" s="49">
        <f t="shared" si="42"/>
        <v>3816241.3530878425</v>
      </c>
      <c r="AM59" s="49">
        <f t="shared" si="53"/>
        <v>27370531.944039226</v>
      </c>
      <c r="AN59" s="52">
        <f t="shared" si="54"/>
        <v>8.9311404955184914E-3</v>
      </c>
      <c r="AO59" s="171"/>
      <c r="AP59" s="119" t="s">
        <v>87</v>
      </c>
      <c r="AQ59" s="10">
        <f>SUM(AC51:AC74)</f>
        <v>9085074124.731945</v>
      </c>
      <c r="AR59" s="10"/>
      <c r="AS59" s="38">
        <f t="shared" si="33"/>
        <v>48651</v>
      </c>
      <c r="AT59" s="118">
        <v>420.06921299718812</v>
      </c>
      <c r="AU59" s="117">
        <f t="shared" si="11"/>
        <v>420069212.99718809</v>
      </c>
    </row>
    <row r="60" spans="2:47">
      <c r="B60" s="35">
        <f t="shared" si="0"/>
        <v>46</v>
      </c>
      <c r="C60" s="38">
        <f t="shared" si="12"/>
        <v>48743</v>
      </c>
      <c r="D60" s="96" t="str">
        <f t="shared" si="1"/>
        <v>월요일</v>
      </c>
      <c r="E60" s="27">
        <v>5</v>
      </c>
      <c r="F60" s="27">
        <v>0</v>
      </c>
      <c r="G60" s="28">
        <f t="shared" si="36"/>
        <v>450598821.38732624</v>
      </c>
      <c r="H60" s="28">
        <f t="shared" si="46"/>
        <v>393933176.36174065</v>
      </c>
      <c r="I60" s="28">
        <f t="shared" si="47"/>
        <v>56665645.025585592</v>
      </c>
      <c r="J60" s="143">
        <f t="shared" si="37"/>
        <v>8.9999999999999993E-3</v>
      </c>
      <c r="K60" s="148"/>
      <c r="L60" s="28">
        <f t="shared" si="48"/>
        <v>5902249604.2588806</v>
      </c>
      <c r="M60" s="28">
        <f t="shared" si="49"/>
        <v>92</v>
      </c>
      <c r="N60" s="28">
        <f t="shared" si="5"/>
        <v>365</v>
      </c>
      <c r="O60" s="71">
        <f t="shared" si="44"/>
        <v>1.9159136745284293E-2</v>
      </c>
      <c r="P60" s="54">
        <f t="shared" si="16"/>
        <v>1269586.4456265143</v>
      </c>
      <c r="Q60" s="54">
        <f t="shared" si="17"/>
        <v>1269586.4456265145</v>
      </c>
      <c r="R60" s="54">
        <f t="shared" si="18"/>
        <v>317396.61140662862</v>
      </c>
      <c r="S60" s="54">
        <f t="shared" si="19"/>
        <v>317396.61140662862</v>
      </c>
      <c r="T60" s="56">
        <f t="shared" si="20"/>
        <v>0</v>
      </c>
      <c r="U60" s="54">
        <f t="shared" si="21"/>
        <v>3173966.114066286</v>
      </c>
      <c r="V60" s="57">
        <f t="shared" si="50"/>
        <v>5.0410958904109594E-4</v>
      </c>
      <c r="W60" s="153"/>
      <c r="X60" s="29">
        <f t="shared" si="51"/>
        <v>53491678.911519304</v>
      </c>
      <c r="Y60" s="142">
        <f t="shared" si="52"/>
        <v>8.4958904109589031E-3</v>
      </c>
      <c r="Z60" s="148"/>
      <c r="AA60" s="44">
        <f t="shared" si="25"/>
        <v>5522457523.3171902</v>
      </c>
      <c r="AB60" s="42">
        <f>369.983464599893</f>
        <v>369.98346459989301</v>
      </c>
      <c r="AC60" s="42">
        <f t="shared" si="55"/>
        <v>369983464.59989303</v>
      </c>
      <c r="AD60" s="45">
        <v>50.085748397295227</v>
      </c>
      <c r="AE60" s="155">
        <f t="shared" si="39"/>
        <v>50016535.397295229</v>
      </c>
      <c r="AF60" s="45">
        <f t="shared" si="56"/>
        <v>420.06921299718823</v>
      </c>
      <c r="AG60" s="190">
        <f t="shared" si="40"/>
        <v>419999999.99718827</v>
      </c>
      <c r="AH60" s="157">
        <f t="shared" si="34"/>
        <v>8.4882539341264683E-3</v>
      </c>
      <c r="AI60" s="185"/>
      <c r="AJ60" s="51">
        <f t="shared" si="29"/>
        <v>379792080.94168884</v>
      </c>
      <c r="AK60" s="49">
        <f t="shared" si="45"/>
        <v>23949711.761847615</v>
      </c>
      <c r="AL60" s="49">
        <f t="shared" si="42"/>
        <v>3544356.5142240748</v>
      </c>
      <c r="AM60" s="49">
        <f t="shared" si="53"/>
        <v>27494068.27607169</v>
      </c>
      <c r="AN60" s="52">
        <f t="shared" si="54"/>
        <v>8.778770437636264E-3</v>
      </c>
      <c r="AO60" s="171"/>
      <c r="AP60" s="119" t="s">
        <v>88</v>
      </c>
      <c r="AQ60" s="10">
        <f>AQ59*0.01</f>
        <v>90850741.247319445</v>
      </c>
      <c r="AR60" s="10"/>
      <c r="AS60" s="38">
        <f t="shared" si="33"/>
        <v>48743</v>
      </c>
      <c r="AT60" s="118">
        <v>420.06921299718812</v>
      </c>
      <c r="AU60" s="117">
        <f t="shared" si="11"/>
        <v>420069212.99718809</v>
      </c>
    </row>
    <row r="61" spans="2:47">
      <c r="B61" s="35">
        <f t="shared" si="0"/>
        <v>47</v>
      </c>
      <c r="C61" s="38">
        <f t="shared" si="12"/>
        <v>48835</v>
      </c>
      <c r="D61" s="178" t="str">
        <f t="shared" si="1"/>
        <v>화요일</v>
      </c>
      <c r="E61" s="27">
        <v>8</v>
      </c>
      <c r="F61" s="27">
        <v>0</v>
      </c>
      <c r="G61" s="28">
        <f t="shared" si="36"/>
        <v>450598821.38732624</v>
      </c>
      <c r="H61" s="28">
        <f t="shared" si="46"/>
        <v>397478574.94899631</v>
      </c>
      <c r="I61" s="28">
        <f t="shared" si="47"/>
        <v>53120246.43832992</v>
      </c>
      <c r="J61" s="143">
        <f t="shared" si="37"/>
        <v>8.9999999999999993E-3</v>
      </c>
      <c r="K61" s="148"/>
      <c r="L61" s="28">
        <f t="shared" si="48"/>
        <v>5504771029.3098841</v>
      </c>
      <c r="M61" s="28">
        <f t="shared" si="49"/>
        <v>92</v>
      </c>
      <c r="N61" s="28">
        <f t="shared" si="5"/>
        <v>365</v>
      </c>
      <c r="O61" s="71">
        <f t="shared" si="44"/>
        <v>1.9159136745284293E-2</v>
      </c>
      <c r="P61" s="54">
        <f t="shared" si="16"/>
        <v>1190152.2489683658</v>
      </c>
      <c r="Q61" s="54">
        <f t="shared" si="17"/>
        <v>1190152.2489683661</v>
      </c>
      <c r="R61" s="54">
        <f t="shared" si="18"/>
        <v>297538.06224209152</v>
      </c>
      <c r="S61" s="54">
        <f t="shared" si="19"/>
        <v>297538.06224209152</v>
      </c>
      <c r="T61" s="56">
        <f t="shared" si="20"/>
        <v>0</v>
      </c>
      <c r="U61" s="54">
        <f t="shared" si="21"/>
        <v>2975380.6224209154</v>
      </c>
      <c r="V61" s="57">
        <f t="shared" si="50"/>
        <v>5.0410958904109594E-4</v>
      </c>
      <c r="W61" s="153"/>
      <c r="X61" s="29">
        <f t="shared" si="51"/>
        <v>50144865.815909006</v>
      </c>
      <c r="Y61" s="142">
        <f t="shared" si="52"/>
        <v>8.4958904109589031E-3</v>
      </c>
      <c r="Z61" s="148"/>
      <c r="AA61" s="44">
        <f t="shared" si="25"/>
        <v>5149329199.268198</v>
      </c>
      <c r="AB61" s="42">
        <f>373.128324048992</f>
        <v>373.128324048992</v>
      </c>
      <c r="AC61" s="42">
        <f t="shared" si="55"/>
        <v>373128324.04899198</v>
      </c>
      <c r="AD61" s="45">
        <v>46.940888948196132</v>
      </c>
      <c r="AE61" s="155">
        <f t="shared" si="39"/>
        <v>46871675.948196135</v>
      </c>
      <c r="AF61" s="45">
        <f t="shared" si="56"/>
        <v>420.06921299718812</v>
      </c>
      <c r="AG61" s="190">
        <f t="shared" si="40"/>
        <v>419999999.99718809</v>
      </c>
      <c r="AH61" s="157">
        <f t="shared" si="34"/>
        <v>8.4874669927821542E-3</v>
      </c>
      <c r="AI61" s="185"/>
      <c r="AJ61" s="51">
        <f t="shared" si="29"/>
        <v>355441830.04168451</v>
      </c>
      <c r="AK61" s="49">
        <f t="shared" si="45"/>
        <v>24350250.900004327</v>
      </c>
      <c r="AL61" s="49">
        <f t="shared" si="42"/>
        <v>3342402.8677128702</v>
      </c>
      <c r="AM61" s="49">
        <f t="shared" si="53"/>
        <v>27692653.767717198</v>
      </c>
      <c r="AN61" s="52">
        <f t="shared" si="54"/>
        <v>8.8006123229990262E-3</v>
      </c>
      <c r="AO61" s="171"/>
      <c r="AP61" s="10"/>
      <c r="AQ61" s="10"/>
      <c r="AR61" s="10"/>
      <c r="AS61" s="38">
        <f t="shared" si="33"/>
        <v>48835</v>
      </c>
      <c r="AT61" s="118">
        <v>420.06921299718812</v>
      </c>
      <c r="AU61" s="117">
        <f t="shared" si="11"/>
        <v>420069212.99718809</v>
      </c>
    </row>
    <row r="62" spans="2:47">
      <c r="B62" s="35">
        <f t="shared" si="0"/>
        <v>48</v>
      </c>
      <c r="C62" s="38">
        <f t="shared" si="12"/>
        <v>48926</v>
      </c>
      <c r="D62" s="178" t="str">
        <f t="shared" si="1"/>
        <v>화요일</v>
      </c>
      <c r="E62" s="27">
        <v>11</v>
      </c>
      <c r="F62" s="27">
        <v>0</v>
      </c>
      <c r="G62" s="28">
        <f t="shared" si="36"/>
        <v>450598821.38732624</v>
      </c>
      <c r="H62" s="28">
        <f t="shared" si="46"/>
        <v>401055882.1235373</v>
      </c>
      <c r="I62" s="28">
        <f t="shared" si="47"/>
        <v>49542939.263788953</v>
      </c>
      <c r="J62" s="143">
        <f t="shared" si="37"/>
        <v>8.9999999999999993E-3</v>
      </c>
      <c r="K62" s="148">
        <f>SUM(J59:J62)</f>
        <v>3.5999999999999997E-2</v>
      </c>
      <c r="L62" s="28">
        <f t="shared" si="48"/>
        <v>5103715147.186347</v>
      </c>
      <c r="M62" s="28">
        <f t="shared" si="49"/>
        <v>91</v>
      </c>
      <c r="N62" s="28">
        <f>C62-C58</f>
        <v>365</v>
      </c>
      <c r="O62" s="71">
        <f t="shared" si="44"/>
        <v>1.9159136745284293E-2</v>
      </c>
      <c r="P62" s="54">
        <f t="shared" si="16"/>
        <v>1097937.8929692041</v>
      </c>
      <c r="Q62" s="54">
        <f t="shared" si="17"/>
        <v>1097937.8929692043</v>
      </c>
      <c r="R62" s="54">
        <f t="shared" si="18"/>
        <v>274484.47324230109</v>
      </c>
      <c r="S62" s="54">
        <f t="shared" si="19"/>
        <v>274484.47324230109</v>
      </c>
      <c r="T62" s="56">
        <f t="shared" si="20"/>
        <v>0</v>
      </c>
      <c r="U62" s="54">
        <f t="shared" si="21"/>
        <v>2744844.7324230103</v>
      </c>
      <c r="V62" s="57">
        <f t="shared" si="50"/>
        <v>4.9863013698630133E-4</v>
      </c>
      <c r="W62" s="153">
        <f>SUM(V59:V62)</f>
        <v>2E-3</v>
      </c>
      <c r="X62" s="29">
        <f t="shared" si="51"/>
        <v>46798094.531365946</v>
      </c>
      <c r="Y62" s="142">
        <f t="shared" si="52"/>
        <v>8.5013698630136986E-3</v>
      </c>
      <c r="Z62" s="148">
        <f>SUM(Y59:Y62)</f>
        <v>3.3999999999999996E-2</v>
      </c>
      <c r="AA62" s="44">
        <f t="shared" si="25"/>
        <v>4773029284.4647903</v>
      </c>
      <c r="AB62" s="42">
        <f>376.299914803408</f>
        <v>376.299914803408</v>
      </c>
      <c r="AC62" s="42">
        <f t="shared" si="55"/>
        <v>376299914.80340803</v>
      </c>
      <c r="AD62" s="45">
        <v>43.769298193779704</v>
      </c>
      <c r="AE62" s="155">
        <f t="shared" si="39"/>
        <v>43700085.193779707</v>
      </c>
      <c r="AF62" s="45">
        <f t="shared" si="56"/>
        <v>420.06921299718772</v>
      </c>
      <c r="AG62" s="190">
        <f t="shared" si="40"/>
        <v>419999999.99718773</v>
      </c>
      <c r="AH62" s="157">
        <f t="shared" si="34"/>
        <v>8.4865588317775808E-3</v>
      </c>
      <c r="AI62" s="185">
        <f>SUM(AH59:AH62)</f>
        <v>3.3951222143208629E-2</v>
      </c>
      <c r="AJ62" s="51">
        <f t="shared" si="29"/>
        <v>330685862.72155523</v>
      </c>
      <c r="AK62" s="49">
        <f t="shared" si="45"/>
        <v>24755967.320129275</v>
      </c>
      <c r="AL62" s="49">
        <f t="shared" si="42"/>
        <v>3167222.337586239</v>
      </c>
      <c r="AM62" s="49">
        <f t="shared" si="53"/>
        <v>27923189.657715514</v>
      </c>
      <c r="AN62" s="52">
        <f t="shared" si="54"/>
        <v>8.9106629267995899E-3</v>
      </c>
      <c r="AO62" s="171">
        <f>SUM(AN59:AN62)</f>
        <v>3.5421186182953375E-2</v>
      </c>
      <c r="AP62" s="10"/>
      <c r="AQ62" s="10"/>
      <c r="AR62" s="10"/>
      <c r="AS62" s="38">
        <f t="shared" si="33"/>
        <v>48926</v>
      </c>
      <c r="AT62" s="118">
        <f>420.069212997188+AT65-AT66</f>
        <v>5410.4914634037814</v>
      </c>
      <c r="AU62" s="117">
        <f t="shared" si="11"/>
        <v>5410491463.4037809</v>
      </c>
    </row>
    <row r="63" spans="2:47">
      <c r="B63" s="35">
        <f t="shared" si="0"/>
        <v>49</v>
      </c>
      <c r="C63" s="59">
        <f t="shared" si="12"/>
        <v>49016</v>
      </c>
      <c r="D63" s="177" t="str">
        <f t="shared" si="1"/>
        <v>월요일</v>
      </c>
      <c r="E63" s="60">
        <v>2</v>
      </c>
      <c r="F63" s="60">
        <v>0</v>
      </c>
      <c r="G63" s="61">
        <f t="shared" si="36"/>
        <v>450598821.38732624</v>
      </c>
      <c r="H63" s="61">
        <f t="shared" si="46"/>
        <v>404665385.06264913</v>
      </c>
      <c r="I63" s="61">
        <f t="shared" si="47"/>
        <v>45933436.324677117</v>
      </c>
      <c r="J63" s="151">
        <f t="shared" si="37"/>
        <v>8.9999999999999993E-3</v>
      </c>
      <c r="K63" s="147"/>
      <c r="L63" s="61">
        <f t="shared" si="48"/>
        <v>4699049762.1236982</v>
      </c>
      <c r="M63" s="61">
        <f t="shared" si="49"/>
        <v>90</v>
      </c>
      <c r="N63" s="61">
        <f t="shared" si="5"/>
        <v>365</v>
      </c>
      <c r="O63" s="69">
        <f t="shared" si="44"/>
        <v>1.9159136745284293E-2</v>
      </c>
      <c r="P63" s="61">
        <f t="shared" si="16"/>
        <v>1006760.2482121012</v>
      </c>
      <c r="Q63" s="61">
        <f t="shared" si="17"/>
        <v>1006760.2482121014</v>
      </c>
      <c r="R63" s="61">
        <f t="shared" si="18"/>
        <v>251690.06205302535</v>
      </c>
      <c r="S63" s="61">
        <f t="shared" si="19"/>
        <v>251690.06205302535</v>
      </c>
      <c r="T63" s="63">
        <f t="shared" si="20"/>
        <v>0</v>
      </c>
      <c r="U63" s="61">
        <f t="shared" si="21"/>
        <v>2516900.6205302533</v>
      </c>
      <c r="V63" s="64">
        <f t="shared" si="50"/>
        <v>4.9315068493150684E-4</v>
      </c>
      <c r="W63" s="147"/>
      <c r="X63" s="65">
        <f t="shared" si="51"/>
        <v>43416535.704146862</v>
      </c>
      <c r="Y63" s="150">
        <f t="shared" si="52"/>
        <v>8.5068493150684925E-3</v>
      </c>
      <c r="Z63" s="147"/>
      <c r="AA63" s="66">
        <f t="shared" si="25"/>
        <v>4393530820.3855534</v>
      </c>
      <c r="AB63" s="65">
        <f>379.498464079237</f>
        <v>379.49846407923701</v>
      </c>
      <c r="AC63" s="65">
        <f t="shared" si="55"/>
        <v>379498464.07923698</v>
      </c>
      <c r="AD63" s="67">
        <v>40.570748917950738</v>
      </c>
      <c r="AE63" s="156">
        <f t="shared" si="39"/>
        <v>40501535.917950734</v>
      </c>
      <c r="AF63" s="67">
        <f t="shared" si="56"/>
        <v>420.06921299718772</v>
      </c>
      <c r="AG63" s="191">
        <f t="shared" si="40"/>
        <v>419999999.99718773</v>
      </c>
      <c r="AH63" s="150">
        <f>AE63/AA62</f>
        <v>8.4854991461658837E-3</v>
      </c>
      <c r="AI63" s="184"/>
      <c r="AJ63" s="66">
        <f t="shared" si="29"/>
        <v>305518941.73814309</v>
      </c>
      <c r="AK63" s="65">
        <f t="shared" si="45"/>
        <v>25166920.983412147</v>
      </c>
      <c r="AL63" s="65">
        <f t="shared" si="42"/>
        <v>2984212.7861961275</v>
      </c>
      <c r="AM63" s="65">
        <f t="shared" si="53"/>
        <v>28151133.769608274</v>
      </c>
      <c r="AN63" s="62">
        <f t="shared" si="54"/>
        <v>9.0243131703180799E-3</v>
      </c>
      <c r="AO63" s="145"/>
      <c r="AP63" s="10"/>
      <c r="AQ63" s="10"/>
      <c r="AR63" s="10"/>
    </row>
    <row r="64" spans="2:47">
      <c r="B64" s="35">
        <f t="shared" si="0"/>
        <v>50</v>
      </c>
      <c r="C64" s="59">
        <f t="shared" si="12"/>
        <v>49108</v>
      </c>
      <c r="D64" s="177" t="str">
        <f t="shared" si="1"/>
        <v>화요일</v>
      </c>
      <c r="E64" s="60">
        <v>5</v>
      </c>
      <c r="F64" s="60">
        <v>0</v>
      </c>
      <c r="G64" s="61">
        <f t="shared" si="36"/>
        <v>450598821.38732624</v>
      </c>
      <c r="H64" s="61">
        <f t="shared" si="46"/>
        <v>408307373.52821296</v>
      </c>
      <c r="I64" s="61">
        <f t="shared" si="47"/>
        <v>42291447.859113283</v>
      </c>
      <c r="J64" s="151">
        <f t="shared" si="37"/>
        <v>8.9999999999999993E-3</v>
      </c>
      <c r="K64" s="147"/>
      <c r="L64" s="61">
        <f t="shared" si="48"/>
        <v>4290742388.5954852</v>
      </c>
      <c r="M64" s="61">
        <f t="shared" si="49"/>
        <v>92</v>
      </c>
      <c r="N64" s="61">
        <f t="shared" si="5"/>
        <v>365</v>
      </c>
      <c r="O64" s="69">
        <f t="shared" si="44"/>
        <v>1.9159136745284293E-2</v>
      </c>
      <c r="P64" s="61">
        <f t="shared" si="16"/>
        <v>947534.41778713465</v>
      </c>
      <c r="Q64" s="61">
        <f t="shared" si="17"/>
        <v>947534.41778713476</v>
      </c>
      <c r="R64" s="61">
        <f t="shared" si="18"/>
        <v>236883.60444678369</v>
      </c>
      <c r="S64" s="61">
        <f t="shared" si="19"/>
        <v>236883.60444678369</v>
      </c>
      <c r="T64" s="63">
        <f t="shared" si="20"/>
        <v>0</v>
      </c>
      <c r="U64" s="61">
        <f t="shared" si="21"/>
        <v>2368836.0444678366</v>
      </c>
      <c r="V64" s="64">
        <f t="shared" si="50"/>
        <v>5.0410958904109583E-4</v>
      </c>
      <c r="W64" s="147"/>
      <c r="X64" s="65">
        <f t="shared" si="51"/>
        <v>39922611.814645447</v>
      </c>
      <c r="Y64" s="150">
        <f t="shared" si="52"/>
        <v>8.4958904109589048E-3</v>
      </c>
      <c r="Z64" s="147"/>
      <c r="AA64" s="66">
        <f t="shared" si="25"/>
        <v>4010806619.3616424</v>
      </c>
      <c r="AB64" s="65">
        <f>382.724201023911</f>
        <v>382.72420102391101</v>
      </c>
      <c r="AC64" s="65">
        <f t="shared" si="55"/>
        <v>382724201.023911</v>
      </c>
      <c r="AD64" s="67">
        <v>37.345011973277209</v>
      </c>
      <c r="AE64" s="156">
        <f t="shared" si="39"/>
        <v>37275798.973277211</v>
      </c>
      <c r="AF64" s="67">
        <f t="shared" si="56"/>
        <v>420.06921299718823</v>
      </c>
      <c r="AG64" s="191">
        <f t="shared" si="40"/>
        <v>419999999.99718821</v>
      </c>
      <c r="AH64" s="150">
        <f t="shared" si="34"/>
        <v>8.4842466110220845E-3</v>
      </c>
      <c r="AI64" s="184"/>
      <c r="AJ64" s="66">
        <f t="shared" si="29"/>
        <v>279935769.23384112</v>
      </c>
      <c r="AK64" s="65">
        <f t="shared" si="45"/>
        <v>25583172.504301965</v>
      </c>
      <c r="AL64" s="65">
        <f t="shared" si="42"/>
        <v>2716025.8413682356</v>
      </c>
      <c r="AM64" s="65">
        <f t="shared" si="53"/>
        <v>28299198.345670201</v>
      </c>
      <c r="AN64" s="62">
        <f t="shared" si="54"/>
        <v>8.8898770921251469E-3</v>
      </c>
      <c r="AO64" s="145"/>
      <c r="AP64" s="10"/>
      <c r="AQ64" s="10"/>
      <c r="AR64" s="10"/>
    </row>
    <row r="65" spans="2:47">
      <c r="B65" s="35">
        <f t="shared" si="0"/>
        <v>51</v>
      </c>
      <c r="C65" s="59">
        <f t="shared" si="12"/>
        <v>49200</v>
      </c>
      <c r="D65" s="177" t="str">
        <f t="shared" si="1"/>
        <v>수요일</v>
      </c>
      <c r="E65" s="60">
        <v>8</v>
      </c>
      <c r="F65" s="60">
        <v>0</v>
      </c>
      <c r="G65" s="61">
        <f t="shared" si="36"/>
        <v>450598821.38732624</v>
      </c>
      <c r="H65" s="61">
        <f t="shared" si="46"/>
        <v>411982139.88996685</v>
      </c>
      <c r="I65" s="61">
        <f t="shared" si="47"/>
        <v>38616681.497359365</v>
      </c>
      <c r="J65" s="151">
        <f t="shared" si="37"/>
        <v>8.9999999999999993E-3</v>
      </c>
      <c r="K65" s="147"/>
      <c r="L65" s="61">
        <f t="shared" si="48"/>
        <v>3878760248.7055182</v>
      </c>
      <c r="M65" s="61">
        <f t="shared" si="49"/>
        <v>92</v>
      </c>
      <c r="N65" s="61">
        <f t="shared" si="5"/>
        <v>365</v>
      </c>
      <c r="O65" s="69">
        <f t="shared" si="44"/>
        <v>1.9159136745284293E-2</v>
      </c>
      <c r="P65" s="61">
        <f t="shared" si="16"/>
        <v>865201.75287843193</v>
      </c>
      <c r="Q65" s="61">
        <f t="shared" si="17"/>
        <v>865201.75287843205</v>
      </c>
      <c r="R65" s="61">
        <f t="shared" si="18"/>
        <v>216300.43821960801</v>
      </c>
      <c r="S65" s="61">
        <f t="shared" si="19"/>
        <v>216300.43821960801</v>
      </c>
      <c r="T65" s="63">
        <f t="shared" si="20"/>
        <v>0</v>
      </c>
      <c r="U65" s="61">
        <f t="shared" si="21"/>
        <v>2163004.3821960799</v>
      </c>
      <c r="V65" s="64">
        <f t="shared" si="50"/>
        <v>5.0410958904109583E-4</v>
      </c>
      <c r="W65" s="147"/>
      <c r="X65" s="65">
        <f t="shared" si="51"/>
        <v>36453677.115163282</v>
      </c>
      <c r="Y65" s="150">
        <f t="shared" si="52"/>
        <v>8.4958904109589031E-3</v>
      </c>
      <c r="Z65" s="147"/>
      <c r="AA65" s="66">
        <f t="shared" si="25"/>
        <v>3624829262.6290283</v>
      </c>
      <c r="AB65" s="65">
        <f>385.977356732614</f>
        <v>385.977356732614</v>
      </c>
      <c r="AC65" s="65">
        <f t="shared" si="55"/>
        <v>385977356.73261398</v>
      </c>
      <c r="AD65" s="67">
        <v>34.09185626457397</v>
      </c>
      <c r="AE65" s="156">
        <f t="shared" si="39"/>
        <v>34022643.264573969</v>
      </c>
      <c r="AF65" s="67">
        <f t="shared" si="56"/>
        <v>420.06921299718795</v>
      </c>
      <c r="AG65" s="191">
        <f t="shared" si="40"/>
        <v>419999999.99718797</v>
      </c>
      <c r="AH65" s="150">
        <f t="shared" si="34"/>
        <v>8.4827433714540421E-3</v>
      </c>
      <c r="AI65" s="184"/>
      <c r="AJ65" s="66">
        <f t="shared" si="29"/>
        <v>253930986.07648826</v>
      </c>
      <c r="AK65" s="65">
        <f t="shared" si="45"/>
        <v>26004783.157352865</v>
      </c>
      <c r="AL65" s="65">
        <f t="shared" si="42"/>
        <v>2500246.8505893126</v>
      </c>
      <c r="AM65" s="65">
        <f t="shared" si="53"/>
        <v>28505030.007942177</v>
      </c>
      <c r="AN65" s="62">
        <f t="shared" si="54"/>
        <v>8.9315018849940551E-3</v>
      </c>
      <c r="AO65" s="145"/>
      <c r="AP65" s="10"/>
      <c r="AQ65" s="10"/>
      <c r="AR65" s="10"/>
      <c r="AS65" s="119" t="s">
        <v>87</v>
      </c>
      <c r="AT65" s="117">
        <f>SUM(AF63:AF74)</f>
        <v>5040.8305559662567</v>
      </c>
      <c r="AU65" s="117"/>
    </row>
    <row r="66" spans="2:47">
      <c r="B66" s="35">
        <f t="shared" si="0"/>
        <v>52</v>
      </c>
      <c r="C66" s="59">
        <f t="shared" si="12"/>
        <v>49291</v>
      </c>
      <c r="D66" s="177" t="str">
        <f t="shared" si="1"/>
        <v>수요일</v>
      </c>
      <c r="E66" s="60">
        <v>11</v>
      </c>
      <c r="F66" s="60">
        <v>0</v>
      </c>
      <c r="G66" s="61">
        <f t="shared" si="36"/>
        <v>450598821.38732624</v>
      </c>
      <c r="H66" s="61">
        <f t="shared" si="46"/>
        <v>415689979.14897656</v>
      </c>
      <c r="I66" s="61">
        <f t="shared" si="47"/>
        <v>34908842.238349661</v>
      </c>
      <c r="J66" s="151">
        <f t="shared" si="37"/>
        <v>8.9999999999999993E-3</v>
      </c>
      <c r="K66" s="147">
        <f>SUM(J63:J66)</f>
        <v>3.5999999999999997E-2</v>
      </c>
      <c r="L66" s="61">
        <f t="shared" si="48"/>
        <v>3463070269.5565414</v>
      </c>
      <c r="M66" s="61">
        <f t="shared" si="49"/>
        <v>91</v>
      </c>
      <c r="N66" s="61">
        <f>C66-C62</f>
        <v>365</v>
      </c>
      <c r="O66" s="69">
        <f t="shared" si="44"/>
        <v>1.9159136745284293E-2</v>
      </c>
      <c r="P66" s="61">
        <f t="shared" si="16"/>
        <v>773626.70165962109</v>
      </c>
      <c r="Q66" s="61">
        <f t="shared" si="17"/>
        <v>773626.70165962109</v>
      </c>
      <c r="R66" s="61">
        <f t="shared" si="18"/>
        <v>193406.67541490527</v>
      </c>
      <c r="S66" s="61">
        <f t="shared" si="19"/>
        <v>193406.67541490527</v>
      </c>
      <c r="T66" s="63">
        <f t="shared" si="20"/>
        <v>0</v>
      </c>
      <c r="U66" s="61">
        <f t="shared" si="21"/>
        <v>1934066.7541490525</v>
      </c>
      <c r="V66" s="64">
        <f t="shared" si="50"/>
        <v>4.9863013698630122E-4</v>
      </c>
      <c r="W66" s="147">
        <f>SUM(V63:V66)</f>
        <v>1.9999999999999996E-3</v>
      </c>
      <c r="X66" s="65">
        <f t="shared" si="51"/>
        <v>32974775.484200608</v>
      </c>
      <c r="Y66" s="150">
        <f t="shared" si="52"/>
        <v>8.5013698630136986E-3</v>
      </c>
      <c r="Z66" s="147">
        <f>SUM(Y63:Y66)</f>
        <v>3.3999999999999996E-2</v>
      </c>
      <c r="AA66" s="66">
        <f t="shared" si="25"/>
        <v>3235571098.3641872</v>
      </c>
      <c r="AB66" s="65">
        <f>389.258164264841</f>
        <v>389.25816426484101</v>
      </c>
      <c r="AC66" s="65">
        <f t="shared" si="55"/>
        <v>389258164.26484102</v>
      </c>
      <c r="AD66" s="67">
        <v>30.811048732346752</v>
      </c>
      <c r="AE66" s="156">
        <f t="shared" si="39"/>
        <v>30741835.732346751</v>
      </c>
      <c r="AF66" s="67">
        <f t="shared" si="56"/>
        <v>420.06921299718778</v>
      </c>
      <c r="AG66" s="191">
        <f t="shared" si="40"/>
        <v>419999999.99718779</v>
      </c>
      <c r="AH66" s="150">
        <f t="shared" si="34"/>
        <v>8.4809058592873448E-3</v>
      </c>
      <c r="AI66" s="184">
        <f>SUM(AH63:AH66)</f>
        <v>3.3933394987929355E-2</v>
      </c>
      <c r="AJ66" s="66">
        <f t="shared" si="29"/>
        <v>227499171.19235271</v>
      </c>
      <c r="AK66" s="65">
        <f t="shared" si="45"/>
        <v>26431814.884135544</v>
      </c>
      <c r="AL66" s="65">
        <f t="shared" si="42"/>
        <v>2302152.7518538572</v>
      </c>
      <c r="AM66" s="65">
        <f t="shared" si="53"/>
        <v>28733967.635989401</v>
      </c>
      <c r="AN66" s="62">
        <f t="shared" si="54"/>
        <v>9.0660568346724348E-3</v>
      </c>
      <c r="AO66" s="145">
        <f>SUM(AN63:AN66)</f>
        <v>3.591174898210972E-2</v>
      </c>
      <c r="AP66" s="10"/>
      <c r="AQ66" s="10"/>
      <c r="AR66" s="10"/>
      <c r="AS66" s="119" t="s">
        <v>88</v>
      </c>
      <c r="AT66" s="117">
        <f>AT65*0.01</f>
        <v>50.408305559662566</v>
      </c>
      <c r="AU66" s="117"/>
    </row>
    <row r="67" spans="2:47">
      <c r="B67" s="35">
        <f t="shared" si="0"/>
        <v>53</v>
      </c>
      <c r="C67" s="38">
        <f t="shared" si="12"/>
        <v>49381</v>
      </c>
      <c r="D67" s="178" t="str">
        <f>TEXT(C67,"AAAA")</f>
        <v>화요일</v>
      </c>
      <c r="E67" s="27">
        <v>2</v>
      </c>
      <c r="F67" s="27">
        <v>0</v>
      </c>
      <c r="G67" s="28">
        <f t="shared" si="36"/>
        <v>450598821.38732624</v>
      </c>
      <c r="H67" s="28">
        <f t="shared" si="46"/>
        <v>419431188.96131736</v>
      </c>
      <c r="I67" s="28">
        <f t="shared" si="47"/>
        <v>31167632.426008869</v>
      </c>
      <c r="J67" s="143">
        <f t="shared" si="37"/>
        <v>8.9999999999999993E-3</v>
      </c>
      <c r="K67" s="148"/>
      <c r="L67" s="28">
        <f t="shared" si="48"/>
        <v>3043639080.5952239</v>
      </c>
      <c r="M67" s="28">
        <f t="shared" si="49"/>
        <v>90</v>
      </c>
      <c r="N67" s="28">
        <f t="shared" si="5"/>
        <v>365</v>
      </c>
      <c r="O67" s="71">
        <f t="shared" si="44"/>
        <v>1.9159136745284293E-2</v>
      </c>
      <c r="P67" s="54">
        <f t="shared" si="16"/>
        <v>683126.19015909848</v>
      </c>
      <c r="Q67" s="54">
        <f t="shared" si="17"/>
        <v>683126.19015909859</v>
      </c>
      <c r="R67" s="54">
        <f t="shared" si="18"/>
        <v>170781.54753977465</v>
      </c>
      <c r="S67" s="54">
        <f t="shared" si="19"/>
        <v>170781.54753977465</v>
      </c>
      <c r="T67" s="56">
        <f t="shared" si="20"/>
        <v>0</v>
      </c>
      <c r="U67" s="54">
        <f t="shared" si="21"/>
        <v>1707815.4753977461</v>
      </c>
      <c r="V67" s="57">
        <f t="shared" si="50"/>
        <v>4.9315068493150673E-4</v>
      </c>
      <c r="W67" s="153"/>
      <c r="X67" s="29">
        <f t="shared" si="51"/>
        <v>29459816.950611122</v>
      </c>
      <c r="Y67" s="142">
        <f t="shared" si="52"/>
        <v>8.5068493150684925E-3</v>
      </c>
      <c r="Z67" s="148"/>
      <c r="AA67" s="44">
        <f t="shared" si="25"/>
        <v>2843004239.7030945</v>
      </c>
      <c r="AB67" s="42">
        <f>392.566858661093</f>
        <v>392.56685866109302</v>
      </c>
      <c r="AC67" s="42">
        <f t="shared" si="55"/>
        <v>392566858.661093</v>
      </c>
      <c r="AD67" s="45">
        <v>27.5023543360956</v>
      </c>
      <c r="AE67" s="155">
        <f t="shared" si="39"/>
        <v>27433141.336095601</v>
      </c>
      <c r="AF67" s="45">
        <f t="shared" si="56"/>
        <v>420.06921299718863</v>
      </c>
      <c r="AG67" s="190">
        <f t="shared" si="40"/>
        <v>419999999.99718857</v>
      </c>
      <c r="AH67" s="157">
        <f t="shared" si="34"/>
        <v>8.4786087222639053E-3</v>
      </c>
      <c r="AI67" s="185"/>
      <c r="AJ67" s="51">
        <f t="shared" si="29"/>
        <v>200634840.89212835</v>
      </c>
      <c r="AK67" s="49">
        <f t="shared" si="45"/>
        <v>26864330.300224364</v>
      </c>
      <c r="AL67" s="49">
        <f t="shared" si="42"/>
        <v>2095888.6145155206</v>
      </c>
      <c r="AM67" s="49">
        <f t="shared" si="53"/>
        <v>28960218.914739884</v>
      </c>
      <c r="AN67" s="52">
        <f t="shared" si="54"/>
        <v>9.2127307696581763E-3</v>
      </c>
      <c r="AO67" s="171"/>
      <c r="AP67" s="10"/>
      <c r="AQ67" s="10"/>
      <c r="AR67" s="10"/>
    </row>
    <row r="68" spans="2:47">
      <c r="B68" s="35">
        <f t="shared" si="0"/>
        <v>54</v>
      </c>
      <c r="C68" s="38">
        <f t="shared" si="12"/>
        <v>49473</v>
      </c>
      <c r="D68" s="178" t="str">
        <f t="shared" si="1"/>
        <v>수요일</v>
      </c>
      <c r="E68" s="27">
        <v>5</v>
      </c>
      <c r="F68" s="27">
        <v>0</v>
      </c>
      <c r="G68" s="28">
        <f t="shared" si="36"/>
        <v>450598821.38732624</v>
      </c>
      <c r="H68" s="28">
        <f t="shared" si="46"/>
        <v>423206069.66196924</v>
      </c>
      <c r="I68" s="28">
        <f t="shared" si="47"/>
        <v>27392751.725357015</v>
      </c>
      <c r="J68" s="143">
        <f t="shared" si="37"/>
        <v>8.9999999999999993E-3</v>
      </c>
      <c r="K68" s="148"/>
      <c r="L68" s="28">
        <f t="shared" si="48"/>
        <v>2620433010.9332547</v>
      </c>
      <c r="M68" s="28">
        <f t="shared" si="49"/>
        <v>92</v>
      </c>
      <c r="N68" s="28">
        <f t="shared" si="5"/>
        <v>365</v>
      </c>
      <c r="O68" s="71">
        <f t="shared" si="44"/>
        <v>1.9159136745284293E-2</v>
      </c>
      <c r="P68" s="54">
        <f t="shared" si="16"/>
        <v>613731.05844331079</v>
      </c>
      <c r="Q68" s="54">
        <f t="shared" si="17"/>
        <v>613731.0584433109</v>
      </c>
      <c r="R68" s="54">
        <f t="shared" si="18"/>
        <v>153432.76461082773</v>
      </c>
      <c r="S68" s="54">
        <f t="shared" si="19"/>
        <v>153432.76461082773</v>
      </c>
      <c r="T68" s="56">
        <f t="shared" si="20"/>
        <v>0</v>
      </c>
      <c r="U68" s="54">
        <f t="shared" si="21"/>
        <v>1534327.6461082771</v>
      </c>
      <c r="V68" s="57">
        <f t="shared" si="50"/>
        <v>5.0410958904109583E-4</v>
      </c>
      <c r="W68" s="153"/>
      <c r="X68" s="29">
        <f t="shared" si="51"/>
        <v>25858424.079248738</v>
      </c>
      <c r="Y68" s="142">
        <f t="shared" si="52"/>
        <v>8.4958904109589048E-3</v>
      </c>
      <c r="Z68" s="148"/>
      <c r="AA68" s="44">
        <f t="shared" si="25"/>
        <v>2447100562.7433825</v>
      </c>
      <c r="AB68" s="42">
        <f>395.903676959712</f>
        <v>395.90367695971202</v>
      </c>
      <c r="AC68" s="42">
        <f t="shared" si="55"/>
        <v>395903676.95971203</v>
      </c>
      <c r="AD68" s="45">
        <v>24.165536037476308</v>
      </c>
      <c r="AE68" s="155">
        <f t="shared" si="39"/>
        <v>24096323.037476309</v>
      </c>
      <c r="AF68" s="45">
        <f t="shared" si="56"/>
        <v>420.06921299718834</v>
      </c>
      <c r="AG68" s="190">
        <f t="shared" si="40"/>
        <v>419999999.99718833</v>
      </c>
      <c r="AH68" s="157">
        <f t="shared" si="34"/>
        <v>8.4756549782679103E-3</v>
      </c>
      <c r="AI68" s="185"/>
      <c r="AJ68" s="51">
        <f t="shared" si="29"/>
        <v>173332448.18987113</v>
      </c>
      <c r="AK68" s="49">
        <f t="shared" si="45"/>
        <v>27302392.702257216</v>
      </c>
      <c r="AL68" s="49">
        <f t="shared" si="42"/>
        <v>1831314.0417724289</v>
      </c>
      <c r="AM68" s="49">
        <f t="shared" si="53"/>
        <v>29133706.744029645</v>
      </c>
      <c r="AN68" s="52">
        <f t="shared" si="54"/>
        <v>9.1275973486431398E-3</v>
      </c>
      <c r="AO68" s="171"/>
      <c r="AP68" s="10"/>
      <c r="AQ68" s="10"/>
      <c r="AR68" s="10"/>
    </row>
    <row r="69" spans="2:47">
      <c r="B69" s="35">
        <f t="shared" si="0"/>
        <v>55</v>
      </c>
      <c r="C69" s="38">
        <f t="shared" si="12"/>
        <v>49565</v>
      </c>
      <c r="D69" s="96" t="str">
        <f t="shared" si="1"/>
        <v>목요일</v>
      </c>
      <c r="E69" s="27">
        <v>8</v>
      </c>
      <c r="F69" s="27">
        <v>0</v>
      </c>
      <c r="G69" s="28">
        <f t="shared" si="36"/>
        <v>450598821.38732624</v>
      </c>
      <c r="H69" s="28">
        <f t="shared" si="46"/>
        <v>427014924.28892696</v>
      </c>
      <c r="I69" s="28">
        <f t="shared" si="47"/>
        <v>23583897.098399289</v>
      </c>
      <c r="J69" s="143">
        <f t="shared" si="37"/>
        <v>8.9999999999999993E-3</v>
      </c>
      <c r="K69" s="148"/>
      <c r="L69" s="28">
        <f t="shared" si="48"/>
        <v>2193418086.6443276</v>
      </c>
      <c r="M69" s="28">
        <f t="shared" si="49"/>
        <v>92</v>
      </c>
      <c r="N69" s="28">
        <f t="shared" si="5"/>
        <v>365</v>
      </c>
      <c r="O69" s="71">
        <f t="shared" si="44"/>
        <v>1.9159136745284293E-2</v>
      </c>
      <c r="P69" s="54">
        <f t="shared" si="16"/>
        <v>528394.16330051376</v>
      </c>
      <c r="Q69" s="54">
        <f t="shared" si="17"/>
        <v>528394.16330051387</v>
      </c>
      <c r="R69" s="54">
        <f t="shared" si="18"/>
        <v>132098.54082512847</v>
      </c>
      <c r="S69" s="54">
        <f t="shared" si="19"/>
        <v>132098.54082512847</v>
      </c>
      <c r="T69" s="56">
        <f t="shared" si="20"/>
        <v>0</v>
      </c>
      <c r="U69" s="54">
        <f t="shared" si="21"/>
        <v>1320985.4082512846</v>
      </c>
      <c r="V69" s="57">
        <f t="shared" si="50"/>
        <v>5.0410958904109594E-4</v>
      </c>
      <c r="W69" s="153"/>
      <c r="X69" s="29">
        <f t="shared" si="51"/>
        <v>22262911.690148003</v>
      </c>
      <c r="Y69" s="142">
        <f t="shared" si="52"/>
        <v>8.4958904109589031E-3</v>
      </c>
      <c r="Z69" s="148"/>
      <c r="AA69" s="44">
        <f t="shared" si="25"/>
        <v>2047831704.5295134</v>
      </c>
      <c r="AB69" s="42">
        <f>399.268858213869</f>
        <v>399.26885821386901</v>
      </c>
      <c r="AC69" s="42">
        <f t="shared" si="55"/>
        <v>399268858.21386904</v>
      </c>
      <c r="AD69" s="45">
        <v>20.80035478331876</v>
      </c>
      <c r="AE69" s="155">
        <f t="shared" si="39"/>
        <v>20731141.783318758</v>
      </c>
      <c r="AF69" s="45">
        <f t="shared" si="56"/>
        <v>420.06921299718778</v>
      </c>
      <c r="AG69" s="190">
        <f t="shared" si="40"/>
        <v>419999999.99718779</v>
      </c>
      <c r="AH69" s="157">
        <f t="shared" si="34"/>
        <v>8.4717163237777206E-3</v>
      </c>
      <c r="AI69" s="185"/>
      <c r="AJ69" s="51">
        <f t="shared" si="29"/>
        <v>145586382.11481321</v>
      </c>
      <c r="AK69" s="49">
        <f t="shared" si="45"/>
        <v>27746066.075057924</v>
      </c>
      <c r="AL69" s="49">
        <f t="shared" si="42"/>
        <v>1600982.9068292454</v>
      </c>
      <c r="AM69" s="49">
        <f t="shared" si="53"/>
        <v>29347048.981887169</v>
      </c>
      <c r="AN69" s="52">
        <f t="shared" si="54"/>
        <v>9.2364870141077287E-3</v>
      </c>
      <c r="AO69" s="171"/>
      <c r="AP69" s="10"/>
      <c r="AQ69" s="10"/>
      <c r="AR69" s="10"/>
    </row>
    <row r="70" spans="2:47">
      <c r="B70" s="35">
        <f t="shared" si="0"/>
        <v>56</v>
      </c>
      <c r="C70" s="38">
        <f t="shared" si="12"/>
        <v>49656</v>
      </c>
      <c r="D70" s="96" t="str">
        <f t="shared" si="1"/>
        <v>목요일</v>
      </c>
      <c r="E70" s="27">
        <v>11</v>
      </c>
      <c r="F70" s="27">
        <v>0</v>
      </c>
      <c r="G70" s="28">
        <f t="shared" si="36"/>
        <v>450598821.38732624</v>
      </c>
      <c r="H70" s="28">
        <f t="shared" si="46"/>
        <v>430858058.60752732</v>
      </c>
      <c r="I70" s="28">
        <f t="shared" si="47"/>
        <v>19740762.779798947</v>
      </c>
      <c r="J70" s="143">
        <f t="shared" si="37"/>
        <v>8.9999999999999993E-3</v>
      </c>
      <c r="K70" s="148">
        <f>SUM(J67:J70)</f>
        <v>3.5999999999999997E-2</v>
      </c>
      <c r="L70" s="28">
        <f t="shared" si="48"/>
        <v>1762560028.0368004</v>
      </c>
      <c r="M70" s="28">
        <f t="shared" si="49"/>
        <v>91</v>
      </c>
      <c r="N70" s="28">
        <f>C70-C66</f>
        <v>365</v>
      </c>
      <c r="O70" s="71">
        <f t="shared" si="44"/>
        <v>1.9159136745284293E-2</v>
      </c>
      <c r="P70" s="54">
        <f t="shared" si="16"/>
        <v>437481.74440467684</v>
      </c>
      <c r="Q70" s="54">
        <f t="shared" si="17"/>
        <v>437481.74440467695</v>
      </c>
      <c r="R70" s="54">
        <f t="shared" si="18"/>
        <v>109370.43610116924</v>
      </c>
      <c r="S70" s="54">
        <f t="shared" si="19"/>
        <v>109370.43610116924</v>
      </c>
      <c r="T70" s="56">
        <f t="shared" si="20"/>
        <v>0</v>
      </c>
      <c r="U70" s="54">
        <f t="shared" si="21"/>
        <v>1093704.3610116923</v>
      </c>
      <c r="V70" s="57">
        <f t="shared" si="50"/>
        <v>4.9863013698630144E-4</v>
      </c>
      <c r="W70" s="153">
        <f>SUM(V67:V70)</f>
        <v>2E-3</v>
      </c>
      <c r="X70" s="29">
        <f t="shared" si="51"/>
        <v>18647058.418787256</v>
      </c>
      <c r="Y70" s="142">
        <f t="shared" si="52"/>
        <v>8.5013698630136986E-3</v>
      </c>
      <c r="Z70" s="148">
        <f>SUM(Y67:Y70)</f>
        <v>3.3999999999999996E-2</v>
      </c>
      <c r="AA70" s="44">
        <f t="shared" si="25"/>
        <v>1645169061.0208263</v>
      </c>
      <c r="AB70" s="42">
        <f>402.662643508687</f>
        <v>402.66264350868698</v>
      </c>
      <c r="AC70" s="42">
        <f t="shared" si="55"/>
        <v>402662643.50868696</v>
      </c>
      <c r="AD70" s="45">
        <v>17.406569488500871</v>
      </c>
      <c r="AE70" s="155">
        <f t="shared" si="39"/>
        <v>17337356.488500871</v>
      </c>
      <c r="AF70" s="45">
        <f t="shared" si="56"/>
        <v>420.06921299718783</v>
      </c>
      <c r="AG70" s="190">
        <f t="shared" si="40"/>
        <v>419999999.99718785</v>
      </c>
      <c r="AH70" s="157">
        <f t="shared" si="34"/>
        <v>8.4662018124600259E-3</v>
      </c>
      <c r="AI70" s="185">
        <f>SUM(AH67:AH70)</f>
        <v>3.3892181836769564E-2</v>
      </c>
      <c r="AJ70" s="51">
        <f t="shared" si="29"/>
        <v>117390967.01597285</v>
      </c>
      <c r="AK70" s="49">
        <f t="shared" si="45"/>
        <v>28195415.098840356</v>
      </c>
      <c r="AL70" s="49">
        <f t="shared" si="42"/>
        <v>1378914.9302863851</v>
      </c>
      <c r="AM70" s="49">
        <f t="shared" si="53"/>
        <v>29574330.029126741</v>
      </c>
      <c r="AN70" s="52">
        <f t="shared" si="54"/>
        <v>9.4714554359825835E-3</v>
      </c>
      <c r="AO70" s="171">
        <f>SUM(AN67:AN70)</f>
        <v>3.7048270568391634E-2</v>
      </c>
      <c r="AP70" s="10"/>
      <c r="AQ70" s="10"/>
      <c r="AR70" s="10"/>
    </row>
    <row r="71" spans="2:47">
      <c r="B71" s="35">
        <f t="shared" si="0"/>
        <v>57</v>
      </c>
      <c r="C71" s="59">
        <f t="shared" si="12"/>
        <v>49747</v>
      </c>
      <c r="D71" s="97" t="str">
        <f t="shared" si="1"/>
        <v>목요일</v>
      </c>
      <c r="E71" s="60">
        <v>2</v>
      </c>
      <c r="F71" s="60">
        <v>0</v>
      </c>
      <c r="G71" s="61">
        <f t="shared" si="36"/>
        <v>450598821.38732624</v>
      </c>
      <c r="H71" s="61">
        <f t="shared" si="46"/>
        <v>434735781.13499504</v>
      </c>
      <c r="I71" s="61">
        <f t="shared" si="47"/>
        <v>15863040.252331203</v>
      </c>
      <c r="J71" s="151">
        <f t="shared" si="37"/>
        <v>8.9999999999999993E-3</v>
      </c>
      <c r="K71" s="147"/>
      <c r="L71" s="61">
        <f t="shared" si="48"/>
        <v>1327824246.9018054</v>
      </c>
      <c r="M71" s="61">
        <f t="shared" si="49"/>
        <v>91</v>
      </c>
      <c r="N71" s="61">
        <f t="shared" si="5"/>
        <v>366</v>
      </c>
      <c r="O71" s="69">
        <f t="shared" si="44"/>
        <v>1.9159136745284293E-2</v>
      </c>
      <c r="P71" s="61">
        <f t="shared" si="16"/>
        <v>350585.71049475152</v>
      </c>
      <c r="Q71" s="61">
        <f t="shared" si="17"/>
        <v>350585.71049475158</v>
      </c>
      <c r="R71" s="61">
        <f t="shared" si="18"/>
        <v>87646.427623687894</v>
      </c>
      <c r="S71" s="61">
        <f t="shared" si="19"/>
        <v>87646.427623687894</v>
      </c>
      <c r="T71" s="63">
        <f t="shared" si="20"/>
        <v>0</v>
      </c>
      <c r="U71" s="61">
        <f t="shared" si="21"/>
        <v>876464.27623687894</v>
      </c>
      <c r="V71" s="64">
        <f t="shared" si="50"/>
        <v>4.9726775956284157E-4</v>
      </c>
      <c r="W71" s="147"/>
      <c r="X71" s="65">
        <f t="shared" si="51"/>
        <v>14986575.976094324</v>
      </c>
      <c r="Y71" s="150">
        <f t="shared" si="52"/>
        <v>8.5027322404371587E-3</v>
      </c>
      <c r="Z71" s="147"/>
      <c r="AA71" s="66">
        <f t="shared" si="25"/>
        <v>1239083785.0423155</v>
      </c>
      <c r="AB71" s="65">
        <f>406.085275978511</f>
        <v>406.08527597851099</v>
      </c>
      <c r="AC71" s="65">
        <f t="shared" si="55"/>
        <v>406085275.97851098</v>
      </c>
      <c r="AD71" s="67">
        <v>13.983937018677027</v>
      </c>
      <c r="AE71" s="156">
        <f t="shared" si="39"/>
        <v>13914724.018677028</v>
      </c>
      <c r="AF71" s="67">
        <f t="shared" si="56"/>
        <v>420.069212997188</v>
      </c>
      <c r="AG71" s="191">
        <f t="shared" si="40"/>
        <v>419999999.99718803</v>
      </c>
      <c r="AH71" s="150">
        <f t="shared" si="34"/>
        <v>8.4579295516552869E-3</v>
      </c>
      <c r="AI71" s="184"/>
      <c r="AJ71" s="66">
        <f t="shared" si="29"/>
        <v>88740461.859488785</v>
      </c>
      <c r="AK71" s="65">
        <f t="shared" si="45"/>
        <v>28650505.156484067</v>
      </c>
      <c r="AL71" s="65">
        <f t="shared" si="42"/>
        <v>1141064.9574172962</v>
      </c>
      <c r="AM71" s="65">
        <f t="shared" si="53"/>
        <v>29791570.113901362</v>
      </c>
      <c r="AN71" s="62">
        <f t="shared" si="54"/>
        <v>9.7202109022752718E-3</v>
      </c>
      <c r="AO71" s="145"/>
      <c r="AP71" s="10"/>
      <c r="AQ71" s="10"/>
      <c r="AR71" s="10"/>
    </row>
    <row r="72" spans="2:47">
      <c r="B72" s="35">
        <f t="shared" si="0"/>
        <v>58</v>
      </c>
      <c r="C72" s="59">
        <f t="shared" si="12"/>
        <v>49839</v>
      </c>
      <c r="D72" s="97" t="str">
        <f t="shared" si="1"/>
        <v>금요일</v>
      </c>
      <c r="E72" s="60">
        <v>5</v>
      </c>
      <c r="F72" s="60">
        <v>0</v>
      </c>
      <c r="G72" s="61">
        <f t="shared" si="36"/>
        <v>450598821.38732624</v>
      </c>
      <c r="H72" s="61">
        <f t="shared" si="46"/>
        <v>438648403.16521001</v>
      </c>
      <c r="I72" s="61">
        <f t="shared" si="47"/>
        <v>11950418.222116247</v>
      </c>
      <c r="J72" s="151">
        <f t="shared" si="37"/>
        <v>8.9999999999999993E-3</v>
      </c>
      <c r="K72" s="147"/>
      <c r="L72" s="61">
        <f t="shared" si="48"/>
        <v>889175843.73659539</v>
      </c>
      <c r="M72" s="61">
        <f t="shared" si="49"/>
        <v>92</v>
      </c>
      <c r="N72" s="61">
        <f t="shared" si="5"/>
        <v>366</v>
      </c>
      <c r="O72" s="69">
        <f t="shared" si="44"/>
        <v>1.9159136745284293E-2</v>
      </c>
      <c r="P72" s="61">
        <f t="shared" si="16"/>
        <v>267016.02342069091</v>
      </c>
      <c r="Q72" s="61">
        <f t="shared" si="17"/>
        <v>267016.02342069091</v>
      </c>
      <c r="R72" s="61">
        <f t="shared" si="18"/>
        <v>66754.005855172727</v>
      </c>
      <c r="S72" s="61">
        <f t="shared" si="19"/>
        <v>66754.005855172727</v>
      </c>
      <c r="T72" s="63">
        <f t="shared" si="20"/>
        <v>0</v>
      </c>
      <c r="U72" s="61">
        <f t="shared" si="21"/>
        <v>667540.05855172733</v>
      </c>
      <c r="V72" s="64">
        <f t="shared" si="50"/>
        <v>5.0273224043715845E-4</v>
      </c>
      <c r="W72" s="147"/>
      <c r="X72" s="65">
        <f t="shared" si="51"/>
        <v>11282878.16356452</v>
      </c>
      <c r="Y72" s="150">
        <f t="shared" si="52"/>
        <v>8.4972677595628408E-3</v>
      </c>
      <c r="Z72" s="147"/>
      <c r="AA72" s="66">
        <f t="shared" si="25"/>
        <v>829546784.21798754</v>
      </c>
      <c r="AB72" s="65">
        <f>409.537000824328</f>
        <v>409.537000824328</v>
      </c>
      <c r="AC72" s="65">
        <f t="shared" si="55"/>
        <v>409537000.82432801</v>
      </c>
      <c r="AD72" s="67">
        <v>10.532212172859682</v>
      </c>
      <c r="AE72" s="156">
        <f t="shared" si="39"/>
        <v>10462999.172859682</v>
      </c>
      <c r="AF72" s="67">
        <f t="shared" si="56"/>
        <v>420.06921299718766</v>
      </c>
      <c r="AG72" s="191">
        <f t="shared" si="40"/>
        <v>419999999.99718767</v>
      </c>
      <c r="AH72" s="150">
        <f t="shared" si="34"/>
        <v>8.4441417918340068E-3</v>
      </c>
      <c r="AI72" s="184"/>
      <c r="AJ72" s="66">
        <f t="shared" si="29"/>
        <v>59629059.518606782</v>
      </c>
      <c r="AK72" s="65">
        <f t="shared" si="45"/>
        <v>29111402.340882003</v>
      </c>
      <c r="AL72" s="65">
        <f t="shared" si="42"/>
        <v>889091.99070483819</v>
      </c>
      <c r="AM72" s="65">
        <f t="shared" si="53"/>
        <v>30000494.331586841</v>
      </c>
      <c r="AN72" s="62">
        <f t="shared" si="54"/>
        <v>1.0019014687038953E-2</v>
      </c>
      <c r="AO72" s="145"/>
      <c r="AP72" s="10"/>
      <c r="AQ72" s="10"/>
      <c r="AR72" s="10"/>
    </row>
    <row r="73" spans="2:47">
      <c r="B73" s="35">
        <f t="shared" si="0"/>
        <v>59</v>
      </c>
      <c r="C73" s="59">
        <f t="shared" si="12"/>
        <v>49931</v>
      </c>
      <c r="D73" s="99" t="str">
        <f t="shared" si="1"/>
        <v>토요일</v>
      </c>
      <c r="E73" s="60">
        <v>8</v>
      </c>
      <c r="F73" s="60">
        <v>0</v>
      </c>
      <c r="G73" s="61">
        <f t="shared" si="36"/>
        <v>450598821.38732624</v>
      </c>
      <c r="H73" s="61">
        <f t="shared" si="46"/>
        <v>442596238.79369688</v>
      </c>
      <c r="I73" s="61">
        <f t="shared" si="47"/>
        <v>8002582.5936293583</v>
      </c>
      <c r="J73" s="151">
        <f t="shared" si="37"/>
        <v>8.9999999999999993E-3</v>
      </c>
      <c r="K73" s="147"/>
      <c r="L73" s="61">
        <f t="shared" si="48"/>
        <v>446579604.94289851</v>
      </c>
      <c r="M73" s="61">
        <f t="shared" si="49"/>
        <v>92</v>
      </c>
      <c r="N73" s="61">
        <f t="shared" si="5"/>
        <v>366</v>
      </c>
      <c r="O73" s="69">
        <f t="shared" si="44"/>
        <v>1.9159136745284293E-2</v>
      </c>
      <c r="P73" s="61">
        <f t="shared" si="16"/>
        <v>178806.9456257197</v>
      </c>
      <c r="Q73" s="61">
        <f t="shared" si="17"/>
        <v>178806.94562571973</v>
      </c>
      <c r="R73" s="61">
        <f t="shared" si="18"/>
        <v>44701.736406429933</v>
      </c>
      <c r="S73" s="61">
        <f t="shared" si="19"/>
        <v>44701.736406429933</v>
      </c>
      <c r="T73" s="63">
        <f t="shared" si="20"/>
        <v>0</v>
      </c>
      <c r="U73" s="61">
        <f t="shared" si="21"/>
        <v>447017.36406429927</v>
      </c>
      <c r="V73" s="64">
        <f t="shared" si="50"/>
        <v>5.0273224043715845E-4</v>
      </c>
      <c r="W73" s="147"/>
      <c r="X73" s="65">
        <f t="shared" si="51"/>
        <v>7555565.2295650588</v>
      </c>
      <c r="Y73" s="150">
        <f t="shared" si="52"/>
        <v>8.4972677595628408E-3</v>
      </c>
      <c r="Z73" s="147"/>
      <c r="AA73" s="66">
        <f t="shared" si="25"/>
        <v>416528718.88665253</v>
      </c>
      <c r="AB73" s="65">
        <f>413.018065331335</f>
        <v>413.01806533133498</v>
      </c>
      <c r="AC73" s="65">
        <f t="shared" si="55"/>
        <v>413018065.33133501</v>
      </c>
      <c r="AD73" s="67">
        <v>7.0511476658528895</v>
      </c>
      <c r="AE73" s="156">
        <f t="shared" si="39"/>
        <v>6981934.6658528894</v>
      </c>
      <c r="AF73" s="67">
        <f t="shared" si="56"/>
        <v>420.06921299718789</v>
      </c>
      <c r="AG73" s="191">
        <f t="shared" si="40"/>
        <v>419999999.99718791</v>
      </c>
      <c r="AH73" s="150">
        <f t="shared" si="34"/>
        <v>8.4165652844218411E-3</v>
      </c>
      <c r="AI73" s="184"/>
      <c r="AJ73" s="66">
        <f t="shared" si="29"/>
        <v>30050886.05624491</v>
      </c>
      <c r="AK73" s="65">
        <f t="shared" si="45"/>
        <v>29578173.462361872</v>
      </c>
      <c r="AL73" s="65">
        <f t="shared" si="42"/>
        <v>642843.56371216942</v>
      </c>
      <c r="AM73" s="65">
        <f t="shared" si="53"/>
        <v>30221017.026074041</v>
      </c>
      <c r="AN73" s="62">
        <f t="shared" si="54"/>
        <v>1.0780709420908694E-2</v>
      </c>
      <c r="AO73" s="145"/>
      <c r="AP73" s="10"/>
      <c r="AQ73" s="10"/>
      <c r="AR73" s="10"/>
    </row>
    <row r="74" spans="2:47">
      <c r="B74" s="35">
        <f t="shared" si="0"/>
        <v>60</v>
      </c>
      <c r="C74" s="59">
        <f t="shared" si="12"/>
        <v>50022</v>
      </c>
      <c r="D74" s="99" t="str">
        <f t="shared" si="1"/>
        <v>토요일</v>
      </c>
      <c r="E74" s="60">
        <v>11</v>
      </c>
      <c r="F74" s="60">
        <v>0</v>
      </c>
      <c r="G74" s="61">
        <f t="shared" ref="G74" si="57">IF(AND($B74&gt;I$9,$B74&lt;(I$8+I$9)),(E$6-E$7)/E$414,(H74+I74))</f>
        <v>450598821.38738459</v>
      </c>
      <c r="H74" s="61">
        <f t="shared" ref="H74" si="58">IF($B74&lt;=I$9,0,IF(AND($B74&gt;I$9,$B74&lt;(I$8+I$9)),G74-I74,IF($B74=(I$8+I$9),L73,0)))</f>
        <v>446579604.94289851</v>
      </c>
      <c r="I74" s="61">
        <f t="shared" ref="I74" si="59">L73*I$10</f>
        <v>4019216.4444860863</v>
      </c>
      <c r="J74" s="151">
        <f t="shared" ref="J74" si="60">I74/L73</f>
        <v>8.9999999999999993E-3</v>
      </c>
      <c r="K74" s="149">
        <f>SUM(J71:J74)</f>
        <v>3.5999999999999997E-2</v>
      </c>
      <c r="L74" s="61">
        <f t="shared" ref="L74" si="61">MAX(L73+F74-H74,0)</f>
        <v>0</v>
      </c>
      <c r="M74" s="61">
        <f t="shared" si="49"/>
        <v>91</v>
      </c>
      <c r="N74" s="61">
        <f>C74-C70</f>
        <v>366</v>
      </c>
      <c r="O74" s="69">
        <f t="shared" si="44"/>
        <v>1.9159136745286773E-2</v>
      </c>
      <c r="P74" s="61">
        <f t="shared" si="16"/>
        <v>88827.855846565595</v>
      </c>
      <c r="Q74" s="61">
        <f t="shared" si="17"/>
        <v>88827.85584656561</v>
      </c>
      <c r="R74" s="61">
        <f t="shared" si="18"/>
        <v>22206.963961641402</v>
      </c>
      <c r="S74" s="61">
        <f t="shared" si="19"/>
        <v>22206.963961641402</v>
      </c>
      <c r="T74" s="63">
        <f t="shared" si="20"/>
        <v>0</v>
      </c>
      <c r="U74" s="61">
        <f t="shared" si="21"/>
        <v>222069.63961641397</v>
      </c>
      <c r="V74" s="64">
        <f t="shared" si="50"/>
        <v>4.9726775956284146E-4</v>
      </c>
      <c r="W74" s="147">
        <f>SUM(V71:V74)</f>
        <v>2E-3</v>
      </c>
      <c r="X74" s="65">
        <f t="shared" si="51"/>
        <v>3797146.8048696723</v>
      </c>
      <c r="Y74" s="150">
        <f t="shared" si="52"/>
        <v>8.502732240437157E-3</v>
      </c>
      <c r="Z74" s="147">
        <f>SUM(Y71:Y74)</f>
        <v>3.3999999999999996E-2</v>
      </c>
      <c r="AA74" s="66">
        <f t="shared" si="25"/>
        <v>5.3644180297851563E-7</v>
      </c>
      <c r="AB74" s="65">
        <f>416.528718886652</f>
        <v>416.52871888665197</v>
      </c>
      <c r="AC74" s="65">
        <f t="shared" si="55"/>
        <v>416528718.88665199</v>
      </c>
      <c r="AD74" s="67">
        <v>3.5404941105365402</v>
      </c>
      <c r="AE74" s="156">
        <f t="shared" si="39"/>
        <v>3471281.1105365404</v>
      </c>
      <c r="AF74" s="67">
        <f t="shared" si="56"/>
        <v>420.06921299718852</v>
      </c>
      <c r="AG74" s="191">
        <f t="shared" si="40"/>
        <v>419999999.99718851</v>
      </c>
      <c r="AH74" s="150">
        <f t="shared" si="34"/>
        <v>8.3338337865753731E-3</v>
      </c>
      <c r="AI74" s="184">
        <f>SUM(AH71:AH74)</f>
        <v>3.3652470414486504E-2</v>
      </c>
      <c r="AJ74" s="66">
        <f t="shared" si="29"/>
        <v>-1.6093254089355469E-6</v>
      </c>
      <c r="AK74" s="65">
        <f t="shared" si="45"/>
        <v>30050886.056246519</v>
      </c>
      <c r="AL74" s="65">
        <f>X74-AE74+$AJ$5</f>
        <v>395078.69433313189</v>
      </c>
      <c r="AM74" s="65">
        <f t="shared" si="53"/>
        <v>30445964.750579651</v>
      </c>
      <c r="AN74" s="62">
        <f t="shared" si="54"/>
        <v>1.3146989862251671E-2</v>
      </c>
      <c r="AO74" s="145">
        <f>SUM(AN71:AN74)</f>
        <v>4.3666924872474588E-2</v>
      </c>
      <c r="AP74" s="10"/>
      <c r="AQ74" s="10"/>
      <c r="AR74" s="10"/>
    </row>
    <row r="75" spans="2:47" ht="15.75" thickBot="1">
      <c r="B75" s="6"/>
      <c r="C75" s="104"/>
      <c r="D75" s="102" t="s">
        <v>69</v>
      </c>
      <c r="E75" s="104"/>
      <c r="F75" s="104"/>
      <c r="G75" s="105">
        <f>SUM(G14:G74)</f>
        <v>23518743426.59169</v>
      </c>
      <c r="H75" s="105">
        <f t="shared" ref="H75:I75" si="62">SUM(H14:H74)</f>
        <v>17500000000</v>
      </c>
      <c r="I75" s="105">
        <f t="shared" si="62"/>
        <v>6018743426.5917187</v>
      </c>
      <c r="J75" s="106"/>
      <c r="K75" s="105"/>
      <c r="L75" s="105"/>
      <c r="M75" s="105"/>
      <c r="N75" s="105"/>
      <c r="O75" s="105"/>
      <c r="P75" s="105">
        <f t="shared" ref="P75" si="63">SUM(P14:P74)</f>
        <v>133739426.35884425</v>
      </c>
      <c r="Q75" s="105">
        <f t="shared" ref="Q75" si="64">SUM(Q14:Q74)</f>
        <v>133739426.35884428</v>
      </c>
      <c r="R75" s="105">
        <f t="shared" ref="R75" si="65">SUM(R14:R74)</f>
        <v>33434856.58971107</v>
      </c>
      <c r="S75" s="105">
        <f t="shared" ref="S75:T75" si="66">SUM(S14:S74)</f>
        <v>33434856.58971107</v>
      </c>
      <c r="T75" s="105">
        <f t="shared" si="66"/>
        <v>0</v>
      </c>
      <c r="U75" s="104"/>
      <c r="V75" s="104"/>
      <c r="W75" s="104"/>
      <c r="X75" s="105">
        <f t="shared" ref="X75" si="67">SUM(X14:X74)</f>
        <v>5684394860.6946058</v>
      </c>
      <c r="Y75" s="104"/>
      <c r="Z75" s="104"/>
      <c r="AA75" s="107"/>
      <c r="AB75" s="105">
        <f>SUM(AB14:AB74)</f>
        <v>5094574737.5875225</v>
      </c>
      <c r="AC75" s="105">
        <f>SUM(AC15:AC74)</f>
        <v>16500000000</v>
      </c>
      <c r="AD75" s="105">
        <f t="shared" ref="AD75" si="68">SUM(AD14:AD74)</f>
        <v>5346.3222238650287</v>
      </c>
      <c r="AE75" s="105">
        <f>SUM(AE15:AE74)</f>
        <v>5342399999.8650284</v>
      </c>
      <c r="AF75" s="105">
        <f>SUM(AF14:AF74)</f>
        <v>-11405419916.090225</v>
      </c>
      <c r="AG75" s="192">
        <f>AC75+AE75-$AJ$5</f>
        <v>21842330786.865028</v>
      </c>
      <c r="AH75" s="104"/>
      <c r="AI75" s="104"/>
      <c r="AJ75" s="104"/>
      <c r="AK75" s="105">
        <f>SUM(AK14:AK74)</f>
        <v>1000000000.0000014</v>
      </c>
      <c r="AL75" s="105">
        <f>SUM(AL14:AL74)</f>
        <v>345917084.82957834</v>
      </c>
      <c r="AM75" s="105">
        <f>SUM(AM14:AM74)</f>
        <v>345917084.82957983</v>
      </c>
      <c r="AN75" s="103"/>
      <c r="AO75" s="103"/>
      <c r="AP75" s="100"/>
      <c r="AQ75" s="100"/>
      <c r="AR75" s="100"/>
    </row>
    <row r="76" spans="2:47">
      <c r="B76" s="6"/>
      <c r="G76" s="10"/>
      <c r="H76" s="10"/>
      <c r="I76" s="10"/>
      <c r="J76" s="79"/>
      <c r="K76" s="68"/>
      <c r="L76" s="10"/>
      <c r="M76" s="10"/>
      <c r="N76" s="10"/>
      <c r="O76" s="10"/>
      <c r="P76" s="10"/>
      <c r="Q76" s="10"/>
      <c r="R76" s="10"/>
      <c r="S76" s="10"/>
      <c r="T76" s="10"/>
      <c r="AI76" s="72"/>
    </row>
    <row r="77" spans="2:47">
      <c r="B77" s="6"/>
      <c r="G77" s="10"/>
      <c r="H77" s="10"/>
      <c r="I77" s="10"/>
      <c r="J77" s="79"/>
      <c r="K77" s="68"/>
      <c r="L77" s="10"/>
      <c r="M77" s="10"/>
      <c r="N77" s="10"/>
      <c r="O77" s="10"/>
      <c r="P77" s="10"/>
      <c r="Q77" s="10"/>
      <c r="R77" s="10"/>
      <c r="S77" s="10"/>
      <c r="T77" s="10"/>
      <c r="AI77" s="72"/>
      <c r="AS77" s="10"/>
    </row>
    <row r="78" spans="2:47">
      <c r="B78" s="6"/>
      <c r="G78" s="10"/>
      <c r="H78" s="10"/>
      <c r="I78" s="10"/>
      <c r="K78" s="68"/>
      <c r="L78" s="10"/>
      <c r="M78" s="10"/>
      <c r="N78" s="10"/>
      <c r="O78" s="10"/>
      <c r="P78" s="10"/>
      <c r="Q78" s="10"/>
      <c r="R78" s="10"/>
      <c r="S78" s="10"/>
      <c r="T78" s="10"/>
      <c r="AI78" s="72"/>
    </row>
    <row r="79" spans="2:47">
      <c r="B79" s="6"/>
      <c r="G79" s="10"/>
      <c r="H79" s="10"/>
      <c r="I79" s="10"/>
      <c r="K79" s="68"/>
      <c r="L79" s="10"/>
      <c r="M79" s="10"/>
      <c r="N79" s="10"/>
      <c r="O79" s="10"/>
      <c r="P79" s="10"/>
      <c r="Q79" s="10"/>
      <c r="R79" s="10"/>
      <c r="S79" s="10"/>
      <c r="T79" s="10"/>
      <c r="AI79" s="72"/>
    </row>
    <row r="80" spans="2:47">
      <c r="B80" s="6"/>
      <c r="G80" s="10"/>
      <c r="H80" s="10"/>
      <c r="I80" s="10"/>
      <c r="K80" s="68"/>
      <c r="L80" s="10"/>
      <c r="M80" s="10"/>
      <c r="N80" s="10"/>
      <c r="O80" s="10"/>
      <c r="P80" s="10"/>
      <c r="Q80" s="10"/>
      <c r="R80" s="10"/>
      <c r="S80" s="10"/>
      <c r="T80" s="10"/>
      <c r="AI80" s="72"/>
    </row>
    <row r="81" spans="2:35">
      <c r="B81" s="6"/>
      <c r="G81" s="10"/>
      <c r="H81" s="10"/>
      <c r="I81" s="10"/>
      <c r="K81" s="68"/>
      <c r="L81" s="10"/>
      <c r="M81" s="10"/>
      <c r="N81" s="10"/>
      <c r="O81" s="10"/>
      <c r="P81" s="10"/>
      <c r="Q81" s="10"/>
      <c r="R81" s="10"/>
      <c r="S81" s="10"/>
      <c r="T81" s="10"/>
      <c r="AI81" s="72"/>
    </row>
    <row r="82" spans="2:35">
      <c r="B82" s="6"/>
      <c r="G82" s="10"/>
      <c r="H82" s="10"/>
      <c r="I82" s="10"/>
      <c r="K82" s="68"/>
      <c r="L82" s="10"/>
      <c r="M82" s="10"/>
      <c r="N82" s="10"/>
      <c r="O82" s="10"/>
      <c r="P82" s="10"/>
      <c r="Q82" s="10"/>
      <c r="R82" s="10"/>
      <c r="S82" s="10"/>
      <c r="T82" s="10"/>
      <c r="AI82" s="72"/>
    </row>
    <row r="83" spans="2:35">
      <c r="B83" s="6"/>
      <c r="G83" s="10"/>
      <c r="H83" s="10"/>
      <c r="I83" s="10"/>
      <c r="K83" s="68"/>
      <c r="L83" s="10"/>
      <c r="M83" s="10"/>
      <c r="N83" s="10"/>
      <c r="O83" s="10"/>
      <c r="P83" s="10"/>
      <c r="Q83" s="10"/>
      <c r="R83" s="10"/>
      <c r="S83" s="10"/>
      <c r="T83" s="10"/>
      <c r="AI83" s="72"/>
    </row>
    <row r="84" spans="2:35">
      <c r="B84" s="6"/>
      <c r="G84" s="10"/>
      <c r="H84" s="10"/>
      <c r="I84" s="10"/>
      <c r="K84" s="68"/>
      <c r="L84" s="10"/>
      <c r="M84" s="10"/>
      <c r="N84" s="10"/>
      <c r="O84" s="10"/>
      <c r="P84" s="10"/>
      <c r="Q84" s="10"/>
      <c r="R84" s="10"/>
      <c r="S84" s="10"/>
      <c r="T84" s="10"/>
      <c r="AI84" s="72"/>
    </row>
    <row r="85" spans="2:35">
      <c r="B85" s="6"/>
      <c r="G85" s="10"/>
      <c r="H85" s="10"/>
      <c r="I85" s="10"/>
      <c r="K85" s="68"/>
      <c r="L85" s="10"/>
      <c r="M85" s="10"/>
      <c r="N85" s="10"/>
      <c r="O85" s="10"/>
      <c r="P85" s="10"/>
      <c r="Q85" s="10"/>
      <c r="R85" s="10"/>
      <c r="S85" s="10"/>
      <c r="T85" s="10"/>
      <c r="AI85" s="72"/>
    </row>
    <row r="86" spans="2:35">
      <c r="B86" s="6"/>
      <c r="G86" s="10"/>
      <c r="H86" s="10"/>
      <c r="I86" s="10"/>
      <c r="K86" s="68"/>
      <c r="L86" s="10"/>
      <c r="M86" s="10"/>
      <c r="N86" s="10"/>
      <c r="O86" s="10"/>
      <c r="P86" s="10"/>
      <c r="Q86" s="10"/>
      <c r="R86" s="10"/>
      <c r="S86" s="10"/>
      <c r="T86" s="10"/>
      <c r="AI86" s="72"/>
    </row>
    <row r="87" spans="2:35">
      <c r="B87" s="6"/>
      <c r="G87" s="10"/>
      <c r="H87" s="10"/>
      <c r="I87" s="10"/>
      <c r="K87" s="68"/>
      <c r="L87" s="10"/>
      <c r="M87" s="10"/>
      <c r="N87" s="10"/>
      <c r="O87" s="10"/>
      <c r="P87" s="10"/>
      <c r="Q87" s="10"/>
      <c r="R87" s="10"/>
      <c r="S87" s="10"/>
      <c r="T87" s="10"/>
      <c r="AI87" s="72"/>
    </row>
    <row r="88" spans="2:35">
      <c r="B88" s="6"/>
      <c r="G88" s="10"/>
      <c r="H88" s="10"/>
      <c r="I88" s="10"/>
      <c r="K88" s="68"/>
      <c r="L88" s="10"/>
      <c r="M88" s="10"/>
      <c r="N88" s="10"/>
      <c r="O88" s="10"/>
      <c r="P88" s="10"/>
      <c r="Q88" s="10"/>
      <c r="R88" s="10"/>
      <c r="S88" s="10"/>
      <c r="T88" s="10"/>
      <c r="AI88" s="72"/>
    </row>
    <row r="89" spans="2:35">
      <c r="B89" s="6"/>
      <c r="G89" s="10"/>
      <c r="H89" s="10"/>
      <c r="I89" s="10"/>
      <c r="K89" s="68"/>
      <c r="L89" s="10"/>
      <c r="M89" s="10"/>
      <c r="N89" s="10"/>
      <c r="O89" s="10"/>
      <c r="P89" s="10"/>
      <c r="Q89" s="10"/>
      <c r="R89" s="10"/>
      <c r="S89" s="10"/>
      <c r="T89" s="10"/>
      <c r="AI89" s="72"/>
    </row>
    <row r="90" spans="2:35">
      <c r="B90" s="6"/>
      <c r="G90" s="10"/>
      <c r="H90" s="10"/>
      <c r="I90" s="10"/>
      <c r="K90" s="68"/>
      <c r="L90" s="10"/>
      <c r="M90" s="10"/>
      <c r="N90" s="10"/>
      <c r="O90" s="10"/>
      <c r="P90" s="10"/>
      <c r="Q90" s="10"/>
      <c r="R90" s="10"/>
      <c r="S90" s="10"/>
      <c r="T90" s="10"/>
      <c r="AI90" s="72"/>
    </row>
    <row r="91" spans="2:35">
      <c r="B91" s="6"/>
      <c r="G91" s="10"/>
      <c r="H91" s="10"/>
      <c r="I91" s="10"/>
      <c r="K91" s="68"/>
      <c r="L91" s="10"/>
      <c r="M91" s="10"/>
      <c r="N91" s="10"/>
      <c r="O91" s="10"/>
      <c r="P91" s="10"/>
      <c r="Q91" s="10"/>
      <c r="R91" s="10"/>
      <c r="S91" s="10"/>
      <c r="T91" s="10"/>
      <c r="AI91" s="72"/>
    </row>
    <row r="92" spans="2:35">
      <c r="B92" s="6"/>
      <c r="G92" s="10"/>
      <c r="H92" s="10"/>
      <c r="I92" s="10"/>
      <c r="K92" s="68"/>
      <c r="L92" s="10"/>
      <c r="M92" s="10"/>
      <c r="N92" s="10"/>
      <c r="O92" s="10"/>
      <c r="P92" s="10"/>
      <c r="Q92" s="10"/>
      <c r="R92" s="10"/>
      <c r="S92" s="10"/>
      <c r="T92" s="10"/>
      <c r="AI92" s="72"/>
    </row>
    <row r="93" spans="2:35">
      <c r="B93" s="6"/>
      <c r="G93" s="10"/>
      <c r="H93" s="10"/>
      <c r="I93" s="10"/>
      <c r="K93" s="68"/>
      <c r="L93" s="10"/>
      <c r="M93" s="10"/>
      <c r="N93" s="10"/>
      <c r="O93" s="10"/>
      <c r="P93" s="10"/>
      <c r="Q93" s="10"/>
      <c r="R93" s="10"/>
      <c r="S93" s="10"/>
      <c r="T93" s="10"/>
      <c r="AI93" s="72"/>
    </row>
    <row r="94" spans="2:35">
      <c r="B94" s="6"/>
      <c r="G94" s="10"/>
      <c r="H94" s="10"/>
      <c r="I94" s="10"/>
      <c r="K94" s="68"/>
      <c r="L94" s="10"/>
      <c r="M94" s="10"/>
      <c r="N94" s="10"/>
      <c r="O94" s="10"/>
      <c r="P94" s="10"/>
      <c r="Q94" s="10"/>
      <c r="R94" s="10"/>
      <c r="S94" s="10"/>
      <c r="T94" s="10"/>
      <c r="AI94" s="72"/>
    </row>
    <row r="95" spans="2:35">
      <c r="B95" s="6"/>
      <c r="G95" s="10"/>
      <c r="H95" s="10"/>
      <c r="I95" s="10"/>
      <c r="K95" s="68"/>
      <c r="L95" s="10"/>
      <c r="M95" s="10"/>
      <c r="N95" s="10"/>
      <c r="O95" s="10"/>
      <c r="P95" s="10"/>
      <c r="Q95" s="10"/>
      <c r="R95" s="10"/>
      <c r="S95" s="10"/>
      <c r="T95" s="10"/>
      <c r="AI95" s="72"/>
    </row>
    <row r="96" spans="2:35">
      <c r="B96" s="6"/>
      <c r="G96" s="10"/>
      <c r="H96" s="10"/>
      <c r="I96" s="10"/>
      <c r="K96" s="68"/>
      <c r="L96" s="10"/>
      <c r="M96" s="10"/>
      <c r="N96" s="10"/>
      <c r="O96" s="10"/>
      <c r="P96" s="10"/>
      <c r="Q96" s="10"/>
      <c r="R96" s="10"/>
      <c r="S96" s="10"/>
      <c r="T96" s="10"/>
      <c r="AI96" s="72"/>
    </row>
    <row r="97" spans="2:35">
      <c r="B97" s="6"/>
      <c r="G97" s="10"/>
      <c r="H97" s="10"/>
      <c r="I97" s="10"/>
      <c r="K97" s="68"/>
      <c r="L97" s="10"/>
      <c r="M97" s="10"/>
      <c r="N97" s="10"/>
      <c r="O97" s="10"/>
      <c r="P97" s="10"/>
      <c r="Q97" s="10"/>
      <c r="R97" s="10"/>
      <c r="S97" s="10"/>
      <c r="T97" s="10"/>
      <c r="AI97" s="72"/>
    </row>
    <row r="98" spans="2:35">
      <c r="B98" s="6"/>
      <c r="G98" s="10"/>
      <c r="H98" s="10"/>
      <c r="I98" s="10"/>
      <c r="K98" s="68"/>
      <c r="L98" s="10"/>
      <c r="M98" s="10"/>
      <c r="N98" s="10"/>
      <c r="O98" s="10"/>
      <c r="P98" s="10"/>
      <c r="Q98" s="10"/>
      <c r="R98" s="10"/>
      <c r="S98" s="10"/>
      <c r="T98" s="10"/>
      <c r="AI98" s="72"/>
    </row>
    <row r="99" spans="2:35">
      <c r="B99" s="6"/>
      <c r="G99" s="10"/>
      <c r="H99" s="10"/>
      <c r="I99" s="10"/>
      <c r="K99" s="68"/>
      <c r="L99" s="10"/>
      <c r="M99" s="10"/>
      <c r="N99" s="10"/>
      <c r="O99" s="10"/>
      <c r="P99" s="10"/>
      <c r="Q99" s="10"/>
      <c r="R99" s="10"/>
      <c r="S99" s="10"/>
      <c r="T99" s="10"/>
      <c r="AI99" s="72"/>
    </row>
    <row r="100" spans="2:35">
      <c r="B100" s="6"/>
      <c r="G100" s="10"/>
      <c r="H100" s="10"/>
      <c r="I100" s="10"/>
      <c r="K100" s="68"/>
      <c r="L100" s="10"/>
      <c r="M100" s="10"/>
      <c r="N100" s="10"/>
      <c r="O100" s="10"/>
      <c r="P100" s="10"/>
      <c r="Q100" s="10"/>
      <c r="R100" s="10"/>
      <c r="S100" s="10"/>
      <c r="T100" s="10"/>
      <c r="AI100" s="72"/>
    </row>
    <row r="101" spans="2:35">
      <c r="B101" s="6"/>
      <c r="G101" s="10"/>
      <c r="H101" s="10"/>
      <c r="I101" s="10"/>
      <c r="K101" s="68"/>
      <c r="L101" s="10"/>
      <c r="M101" s="10"/>
      <c r="N101" s="10"/>
      <c r="O101" s="10"/>
      <c r="P101" s="10"/>
      <c r="Q101" s="10"/>
      <c r="R101" s="10"/>
      <c r="S101" s="10"/>
      <c r="T101" s="10"/>
      <c r="AI101" s="72"/>
    </row>
    <row r="102" spans="2:35">
      <c r="B102" s="6"/>
      <c r="G102" s="10"/>
      <c r="H102" s="10"/>
      <c r="I102" s="10"/>
      <c r="K102" s="68"/>
      <c r="L102" s="10"/>
      <c r="M102" s="10"/>
      <c r="N102" s="10"/>
      <c r="O102" s="10"/>
      <c r="P102" s="10"/>
      <c r="Q102" s="10"/>
      <c r="R102" s="10"/>
      <c r="S102" s="10"/>
      <c r="T102" s="10"/>
      <c r="AI102" s="72"/>
    </row>
    <row r="103" spans="2:35">
      <c r="B103" s="6"/>
      <c r="G103" s="10"/>
      <c r="H103" s="10"/>
      <c r="I103" s="10"/>
      <c r="K103" s="68"/>
      <c r="L103" s="10"/>
      <c r="M103" s="10"/>
      <c r="N103" s="10"/>
      <c r="O103" s="10"/>
      <c r="P103" s="10"/>
      <c r="Q103" s="10"/>
      <c r="R103" s="10"/>
      <c r="S103" s="10"/>
      <c r="T103" s="10"/>
      <c r="AI103" s="72"/>
    </row>
    <row r="104" spans="2:35">
      <c r="B104" s="6"/>
      <c r="G104" s="10"/>
      <c r="H104" s="10"/>
      <c r="I104" s="10"/>
      <c r="K104" s="68"/>
      <c r="L104" s="10"/>
      <c r="M104" s="10"/>
      <c r="N104" s="10"/>
      <c r="O104" s="10"/>
      <c r="P104" s="10"/>
      <c r="Q104" s="10"/>
      <c r="R104" s="10"/>
      <c r="S104" s="10"/>
      <c r="T104" s="10"/>
      <c r="AI104" s="72"/>
    </row>
    <row r="105" spans="2:35">
      <c r="B105" s="6"/>
      <c r="G105" s="10"/>
      <c r="H105" s="10"/>
      <c r="I105" s="10"/>
      <c r="K105" s="68"/>
      <c r="L105" s="10"/>
      <c r="M105" s="10"/>
      <c r="N105" s="10"/>
      <c r="O105" s="10"/>
      <c r="P105" s="10"/>
      <c r="Q105" s="10"/>
      <c r="R105" s="10"/>
      <c r="S105" s="10"/>
      <c r="T105" s="10"/>
      <c r="AI105" s="72"/>
    </row>
    <row r="106" spans="2:35">
      <c r="B106" s="6"/>
      <c r="G106" s="10"/>
      <c r="H106" s="10"/>
      <c r="I106" s="10"/>
      <c r="K106" s="68"/>
      <c r="L106" s="10"/>
      <c r="M106" s="10"/>
      <c r="N106" s="10"/>
      <c r="O106" s="10"/>
      <c r="P106" s="10"/>
      <c r="Q106" s="10"/>
      <c r="R106" s="10"/>
      <c r="S106" s="10"/>
      <c r="T106" s="10"/>
      <c r="AI106" s="72"/>
    </row>
    <row r="107" spans="2:35">
      <c r="B107" s="6"/>
      <c r="G107" s="10"/>
      <c r="H107" s="10"/>
      <c r="I107" s="10"/>
      <c r="K107" s="68"/>
      <c r="L107" s="10"/>
      <c r="M107" s="10"/>
      <c r="N107" s="10"/>
      <c r="O107" s="10"/>
      <c r="P107" s="10"/>
      <c r="Q107" s="10"/>
      <c r="R107" s="10"/>
      <c r="S107" s="10"/>
      <c r="T107" s="10"/>
      <c r="AI107" s="72"/>
    </row>
    <row r="108" spans="2:35">
      <c r="B108" s="6"/>
      <c r="G108" s="10"/>
      <c r="H108" s="10"/>
      <c r="I108" s="10"/>
      <c r="K108" s="68"/>
      <c r="L108" s="10"/>
      <c r="M108" s="10"/>
      <c r="N108" s="10"/>
      <c r="O108" s="10"/>
      <c r="P108" s="10"/>
      <c r="Q108" s="10"/>
      <c r="R108" s="10"/>
      <c r="S108" s="10"/>
      <c r="T108" s="10"/>
      <c r="AI108" s="72"/>
    </row>
    <row r="109" spans="2:35">
      <c r="B109" s="6"/>
      <c r="G109" s="10"/>
      <c r="H109" s="10"/>
      <c r="I109" s="10"/>
      <c r="K109" s="68"/>
      <c r="L109" s="10"/>
      <c r="M109" s="10"/>
      <c r="N109" s="10"/>
      <c r="O109" s="10"/>
      <c r="P109" s="10"/>
      <c r="Q109" s="10"/>
      <c r="R109" s="10"/>
      <c r="S109" s="10"/>
      <c r="T109" s="10"/>
      <c r="AI109" s="72"/>
    </row>
    <row r="110" spans="2:35">
      <c r="B110" s="6"/>
      <c r="G110" s="10"/>
      <c r="H110" s="10"/>
      <c r="I110" s="10"/>
      <c r="K110" s="68"/>
      <c r="L110" s="10"/>
      <c r="M110" s="10"/>
      <c r="N110" s="10"/>
      <c r="O110" s="10"/>
      <c r="P110" s="10"/>
      <c r="Q110" s="10"/>
      <c r="R110" s="10"/>
      <c r="S110" s="10"/>
      <c r="T110" s="10"/>
      <c r="AI110" s="72"/>
    </row>
    <row r="111" spans="2:35">
      <c r="B111" s="6"/>
      <c r="G111" s="10"/>
      <c r="H111" s="10"/>
      <c r="I111" s="10"/>
      <c r="K111" s="68"/>
      <c r="L111" s="10"/>
      <c r="M111" s="10"/>
      <c r="N111" s="10"/>
      <c r="O111" s="10"/>
      <c r="P111" s="10"/>
      <c r="Q111" s="10"/>
      <c r="R111" s="10"/>
      <c r="S111" s="10"/>
      <c r="T111" s="10"/>
      <c r="AI111" s="72"/>
    </row>
    <row r="112" spans="2:35">
      <c r="B112" s="6"/>
      <c r="G112" s="10"/>
      <c r="H112" s="10"/>
      <c r="I112" s="10"/>
      <c r="K112" s="68"/>
      <c r="L112" s="10"/>
      <c r="M112" s="10"/>
      <c r="N112" s="10"/>
      <c r="O112" s="10"/>
      <c r="P112" s="10"/>
      <c r="Q112" s="10"/>
      <c r="R112" s="10"/>
      <c r="S112" s="10"/>
      <c r="T112" s="10"/>
      <c r="AI112" s="72"/>
    </row>
    <row r="113" spans="2:35">
      <c r="B113" s="6"/>
      <c r="G113" s="10"/>
      <c r="H113" s="10"/>
      <c r="I113" s="10"/>
      <c r="K113" s="68"/>
      <c r="L113" s="10"/>
      <c r="M113" s="10"/>
      <c r="N113" s="10"/>
      <c r="O113" s="10"/>
      <c r="P113" s="10"/>
      <c r="Q113" s="10"/>
      <c r="R113" s="10"/>
      <c r="S113" s="10"/>
      <c r="T113" s="10"/>
      <c r="AI113" s="72"/>
    </row>
    <row r="114" spans="2:35">
      <c r="B114" s="6"/>
      <c r="G114" s="10"/>
      <c r="H114" s="10"/>
      <c r="I114" s="10"/>
      <c r="K114" s="68"/>
      <c r="L114" s="10"/>
      <c r="M114" s="10"/>
      <c r="N114" s="10"/>
      <c r="O114" s="10"/>
      <c r="P114" s="10"/>
      <c r="Q114" s="10"/>
      <c r="R114" s="10"/>
      <c r="S114" s="10"/>
      <c r="T114" s="10"/>
      <c r="AI114" s="72"/>
    </row>
    <row r="115" spans="2:35">
      <c r="B115" s="6"/>
      <c r="G115" s="10"/>
      <c r="H115" s="10"/>
      <c r="I115" s="10"/>
      <c r="K115" s="68"/>
      <c r="L115" s="10"/>
      <c r="M115" s="10"/>
      <c r="N115" s="10"/>
      <c r="O115" s="10"/>
      <c r="P115" s="10"/>
      <c r="Q115" s="10"/>
      <c r="R115" s="10"/>
      <c r="S115" s="10"/>
      <c r="T115" s="10"/>
      <c r="AI115" s="72"/>
    </row>
    <row r="116" spans="2:35">
      <c r="B116" s="6"/>
      <c r="G116" s="10"/>
      <c r="H116" s="10"/>
      <c r="I116" s="10"/>
      <c r="K116" s="68"/>
      <c r="L116" s="10"/>
      <c r="M116" s="10"/>
      <c r="N116" s="10"/>
      <c r="O116" s="10"/>
      <c r="P116" s="10"/>
      <c r="Q116" s="10"/>
      <c r="R116" s="10"/>
      <c r="S116" s="10"/>
      <c r="T116" s="10"/>
      <c r="AI116" s="72"/>
    </row>
    <row r="117" spans="2:35">
      <c r="B117" s="6"/>
      <c r="G117" s="10"/>
      <c r="H117" s="10"/>
      <c r="I117" s="10"/>
      <c r="K117" s="68"/>
      <c r="L117" s="10"/>
      <c r="M117" s="10"/>
      <c r="N117" s="10"/>
      <c r="O117" s="10"/>
      <c r="P117" s="10"/>
      <c r="Q117" s="10"/>
      <c r="R117" s="10"/>
      <c r="S117" s="10"/>
      <c r="T117" s="10"/>
      <c r="AI117" s="72"/>
    </row>
    <row r="118" spans="2:35">
      <c r="B118" s="6"/>
      <c r="G118" s="10"/>
      <c r="H118" s="10"/>
      <c r="I118" s="10"/>
      <c r="K118" s="68"/>
      <c r="L118" s="10"/>
      <c r="M118" s="10"/>
      <c r="N118" s="10"/>
      <c r="O118" s="10"/>
      <c r="P118" s="10"/>
      <c r="Q118" s="10"/>
      <c r="R118" s="10"/>
      <c r="S118" s="10"/>
      <c r="T118" s="10"/>
      <c r="AI118" s="72"/>
    </row>
    <row r="119" spans="2:35">
      <c r="B119" s="6"/>
      <c r="G119" s="10"/>
      <c r="H119" s="10"/>
      <c r="I119" s="10"/>
      <c r="K119" s="68"/>
      <c r="L119" s="10"/>
      <c r="M119" s="10"/>
      <c r="N119" s="10"/>
      <c r="O119" s="10"/>
      <c r="P119" s="10"/>
      <c r="Q119" s="10"/>
      <c r="R119" s="10"/>
      <c r="S119" s="10"/>
      <c r="T119" s="10"/>
      <c r="AI119" s="72"/>
    </row>
    <row r="120" spans="2:35">
      <c r="B120" s="6"/>
      <c r="G120" s="10"/>
      <c r="H120" s="10"/>
      <c r="I120" s="10"/>
      <c r="K120" s="68"/>
      <c r="L120" s="10"/>
      <c r="M120" s="10"/>
      <c r="N120" s="10"/>
      <c r="O120" s="10"/>
      <c r="P120" s="10"/>
      <c r="Q120" s="10"/>
      <c r="R120" s="10"/>
      <c r="S120" s="10"/>
      <c r="T120" s="10"/>
      <c r="AI120" s="72"/>
    </row>
    <row r="121" spans="2:35">
      <c r="B121" s="6"/>
      <c r="G121" s="10"/>
      <c r="H121" s="10"/>
      <c r="I121" s="10"/>
      <c r="K121" s="68"/>
      <c r="L121" s="10"/>
      <c r="M121" s="10"/>
      <c r="N121" s="10"/>
      <c r="O121" s="10"/>
      <c r="P121" s="10"/>
      <c r="Q121" s="10"/>
      <c r="R121" s="10"/>
      <c r="S121" s="10"/>
      <c r="T121" s="10"/>
      <c r="AI121" s="72"/>
    </row>
    <row r="122" spans="2:35">
      <c r="B122" s="6"/>
      <c r="G122" s="10"/>
      <c r="H122" s="10"/>
      <c r="I122" s="10"/>
      <c r="K122" s="68"/>
      <c r="L122" s="10"/>
      <c r="M122" s="10"/>
      <c r="N122" s="10"/>
      <c r="O122" s="10"/>
      <c r="P122" s="10"/>
      <c r="Q122" s="10"/>
      <c r="R122" s="10"/>
      <c r="S122" s="10"/>
      <c r="T122" s="10"/>
      <c r="AI122" s="72"/>
    </row>
    <row r="123" spans="2:35">
      <c r="B123" s="6"/>
      <c r="G123" s="10"/>
      <c r="H123" s="10"/>
      <c r="I123" s="10"/>
      <c r="K123" s="68"/>
      <c r="L123" s="10"/>
      <c r="M123" s="10"/>
      <c r="N123" s="10"/>
      <c r="O123" s="10"/>
      <c r="P123" s="10"/>
      <c r="Q123" s="10"/>
      <c r="R123" s="10"/>
      <c r="S123" s="10"/>
      <c r="T123" s="10"/>
      <c r="AI123" s="72"/>
    </row>
    <row r="124" spans="2:35">
      <c r="B124" s="6"/>
      <c r="G124" s="10"/>
      <c r="H124" s="10"/>
      <c r="I124" s="10"/>
      <c r="K124" s="68"/>
      <c r="L124" s="10"/>
      <c r="M124" s="10"/>
      <c r="N124" s="10"/>
      <c r="O124" s="10"/>
      <c r="P124" s="10"/>
      <c r="Q124" s="10"/>
      <c r="R124" s="10"/>
      <c r="S124" s="10"/>
      <c r="T124" s="10"/>
      <c r="AI124" s="72"/>
    </row>
    <row r="125" spans="2:35">
      <c r="B125" s="6"/>
      <c r="G125" s="10"/>
      <c r="H125" s="10"/>
      <c r="I125" s="10"/>
      <c r="K125" s="68"/>
      <c r="L125" s="10"/>
      <c r="M125" s="10"/>
      <c r="N125" s="10"/>
      <c r="O125" s="10"/>
      <c r="P125" s="10"/>
      <c r="Q125" s="10"/>
      <c r="R125" s="10"/>
      <c r="S125" s="10"/>
      <c r="T125" s="10"/>
      <c r="AI125" s="72"/>
    </row>
    <row r="126" spans="2:35">
      <c r="B126" s="6"/>
      <c r="G126" s="10"/>
      <c r="H126" s="10"/>
      <c r="I126" s="10"/>
      <c r="K126" s="68"/>
      <c r="L126" s="10"/>
      <c r="M126" s="10"/>
      <c r="N126" s="10"/>
      <c r="O126" s="10"/>
      <c r="P126" s="10"/>
      <c r="Q126" s="10"/>
      <c r="R126" s="10"/>
      <c r="S126" s="10"/>
      <c r="T126" s="10"/>
      <c r="AI126" s="72"/>
    </row>
    <row r="127" spans="2:35">
      <c r="B127" s="6"/>
      <c r="G127" s="10"/>
      <c r="H127" s="10"/>
      <c r="I127" s="10"/>
      <c r="K127" s="68"/>
      <c r="L127" s="10"/>
      <c r="M127" s="10"/>
      <c r="N127" s="10"/>
      <c r="O127" s="10"/>
      <c r="P127" s="10"/>
      <c r="Q127" s="10"/>
      <c r="R127" s="10"/>
      <c r="S127" s="10"/>
      <c r="T127" s="10"/>
      <c r="AI127" s="72"/>
    </row>
    <row r="128" spans="2:35">
      <c r="B128" s="6"/>
      <c r="G128" s="10"/>
      <c r="H128" s="10"/>
      <c r="I128" s="10"/>
      <c r="K128" s="68"/>
      <c r="L128" s="10"/>
      <c r="M128" s="10"/>
      <c r="N128" s="10"/>
      <c r="O128" s="10"/>
      <c r="P128" s="10"/>
      <c r="Q128" s="10"/>
      <c r="R128" s="10"/>
      <c r="S128" s="10"/>
      <c r="T128" s="10"/>
      <c r="AI128" s="72"/>
    </row>
    <row r="129" spans="2:35">
      <c r="B129" s="6"/>
      <c r="G129" s="10"/>
      <c r="H129" s="10"/>
      <c r="I129" s="10"/>
      <c r="K129" s="68"/>
      <c r="L129" s="10"/>
      <c r="M129" s="10"/>
      <c r="N129" s="10"/>
      <c r="O129" s="10"/>
      <c r="P129" s="10"/>
      <c r="Q129" s="10"/>
      <c r="R129" s="10"/>
      <c r="S129" s="10"/>
      <c r="T129" s="10"/>
      <c r="AI129" s="72"/>
    </row>
    <row r="130" spans="2:35">
      <c r="B130" s="6"/>
      <c r="G130" s="10"/>
      <c r="H130" s="10"/>
      <c r="I130" s="10"/>
      <c r="K130" s="68"/>
      <c r="L130" s="10"/>
      <c r="M130" s="10"/>
      <c r="N130" s="10"/>
      <c r="O130" s="10"/>
      <c r="P130" s="10"/>
      <c r="Q130" s="10"/>
      <c r="R130" s="10"/>
      <c r="S130" s="10"/>
      <c r="T130" s="10"/>
      <c r="AI130" s="72"/>
    </row>
    <row r="131" spans="2:35">
      <c r="B131" s="6"/>
      <c r="G131" s="10"/>
      <c r="H131" s="10"/>
      <c r="I131" s="10"/>
      <c r="K131" s="68"/>
      <c r="L131" s="10"/>
      <c r="M131" s="10"/>
      <c r="N131" s="10"/>
      <c r="O131" s="10"/>
      <c r="P131" s="10"/>
      <c r="Q131" s="10"/>
      <c r="R131" s="10"/>
      <c r="S131" s="10"/>
      <c r="T131" s="10"/>
      <c r="AI131" s="72"/>
    </row>
    <row r="132" spans="2:35">
      <c r="B132" s="6"/>
      <c r="G132" s="10"/>
      <c r="H132" s="10"/>
      <c r="I132" s="10"/>
      <c r="K132" s="68"/>
      <c r="L132" s="10"/>
      <c r="M132" s="10"/>
      <c r="N132" s="10"/>
      <c r="O132" s="10"/>
      <c r="P132" s="10"/>
      <c r="Q132" s="10"/>
      <c r="R132" s="10"/>
      <c r="S132" s="10"/>
      <c r="T132" s="10"/>
      <c r="AI132" s="72"/>
    </row>
    <row r="133" spans="2:35">
      <c r="B133" s="6"/>
      <c r="G133" s="10"/>
      <c r="H133" s="10"/>
      <c r="I133" s="10"/>
      <c r="K133" s="68"/>
      <c r="L133" s="10"/>
      <c r="M133" s="10"/>
      <c r="N133" s="10"/>
      <c r="O133" s="10"/>
      <c r="P133" s="10"/>
      <c r="Q133" s="10"/>
      <c r="R133" s="10"/>
      <c r="S133" s="10"/>
      <c r="T133" s="10"/>
      <c r="AI133" s="72"/>
    </row>
    <row r="134" spans="2:35">
      <c r="B134" s="6"/>
      <c r="G134" s="10"/>
      <c r="H134" s="10"/>
      <c r="I134" s="10"/>
      <c r="K134" s="68"/>
      <c r="L134" s="10"/>
      <c r="M134" s="10"/>
      <c r="N134" s="10"/>
      <c r="O134" s="10"/>
      <c r="P134" s="10"/>
      <c r="Q134" s="10"/>
      <c r="R134" s="10"/>
      <c r="S134" s="10"/>
      <c r="T134" s="10"/>
      <c r="AI134" s="72"/>
    </row>
    <row r="135" spans="2:35">
      <c r="B135" s="6"/>
      <c r="G135" s="10"/>
      <c r="H135" s="10"/>
      <c r="I135" s="10"/>
      <c r="K135" s="68"/>
      <c r="L135" s="10"/>
      <c r="M135" s="10"/>
      <c r="N135" s="10"/>
      <c r="O135" s="10"/>
      <c r="P135" s="10"/>
      <c r="Q135" s="10"/>
      <c r="R135" s="10"/>
      <c r="S135" s="10"/>
      <c r="T135" s="10"/>
      <c r="AI135" s="72"/>
    </row>
    <row r="136" spans="2:35">
      <c r="B136" s="6"/>
      <c r="G136" s="10"/>
      <c r="H136" s="10"/>
      <c r="I136" s="10"/>
      <c r="J136" s="68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2:35">
      <c r="B137" s="6"/>
      <c r="G137" s="10"/>
      <c r="H137" s="10"/>
      <c r="I137" s="10"/>
      <c r="J137" s="68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 spans="2:35">
      <c r="B138" s="6"/>
      <c r="G138" s="10"/>
      <c r="H138" s="10"/>
      <c r="I138" s="10"/>
      <c r="J138" s="68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 spans="2:35">
      <c r="B139" s="6"/>
      <c r="G139" s="10"/>
      <c r="H139" s="10"/>
      <c r="I139" s="10"/>
      <c r="J139" s="68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 spans="2:35">
      <c r="B140" s="6"/>
      <c r="G140" s="10"/>
      <c r="H140" s="10"/>
      <c r="I140" s="10"/>
      <c r="J140" s="68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 spans="2:35">
      <c r="B141" s="6"/>
      <c r="G141" s="10"/>
      <c r="H141" s="10"/>
      <c r="I141" s="10"/>
      <c r="J141" s="68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 spans="2:35">
      <c r="B142" s="6"/>
      <c r="G142" s="10"/>
      <c r="H142" s="10"/>
      <c r="I142" s="10"/>
      <c r="J142" s="68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 spans="2:35">
      <c r="B143" s="6"/>
      <c r="G143" s="10"/>
      <c r="H143" s="10"/>
      <c r="I143" s="10"/>
      <c r="J143" s="68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 spans="2:35">
      <c r="B144" s="6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 spans="2:20">
      <c r="B145" s="6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 spans="2:20">
      <c r="B146" s="6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 spans="2:20">
      <c r="B147" s="6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 spans="2:20">
      <c r="B148" s="6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 spans="2:20">
      <c r="B149" s="6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 spans="2:20">
      <c r="B150" s="6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 spans="2:20">
      <c r="B151" s="6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 spans="2:20">
      <c r="B152" s="6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 spans="2:20">
      <c r="B153" s="6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 spans="2:20">
      <c r="B154" s="6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 spans="2:20">
      <c r="B155" s="6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spans="2:20">
      <c r="B156" s="6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2:20">
      <c r="B157" s="6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 spans="2:20">
      <c r="B158" s="6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 spans="2:20">
      <c r="B159" s="6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spans="2:20">
      <c r="B160" s="6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 spans="2:20">
      <c r="B161" s="6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2:20">
      <c r="B162" s="6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2:20">
      <c r="B163" s="6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 spans="2:20">
      <c r="B164" s="6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 spans="2:20">
      <c r="B165" s="6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2:20">
      <c r="B166" s="6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 spans="2:20">
      <c r="B167" s="6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 spans="2:20">
      <c r="B168" s="6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2:20">
      <c r="B169" s="6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 spans="2:20">
      <c r="B170" s="6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2:20">
      <c r="B171" s="6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2:20">
      <c r="B172" s="6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2:20">
      <c r="B173" s="6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2:20">
      <c r="B174" s="6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spans="2:20">
      <c r="B175" s="6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 spans="2:20">
      <c r="B176" s="6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 spans="2:20">
      <c r="B177" s="6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 spans="2:20">
      <c r="B178" s="6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 spans="2:20">
      <c r="B179" s="6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 spans="2:20">
      <c r="B180" s="6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 spans="2:20">
      <c r="B181" s="6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 spans="2:20">
      <c r="B182" s="6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2:20">
      <c r="B183" s="6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 spans="2:20">
      <c r="B184" s="6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 spans="2:20">
      <c r="B185" s="6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 spans="2:20">
      <c r="B186" s="6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 spans="2:20">
      <c r="B187" s="6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 spans="2:20">
      <c r="B188" s="6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 spans="2:20">
      <c r="B189" s="6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 spans="2:20">
      <c r="B190" s="6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 spans="2:20">
      <c r="B191" s="6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 spans="2:20">
      <c r="B192" s="6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 spans="2:20">
      <c r="B193" s="6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 spans="2:20">
      <c r="B194" s="6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 spans="2:20">
      <c r="B195" s="6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 spans="2:20">
      <c r="B196" s="6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 spans="2:20">
      <c r="B197" s="6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 spans="2:20">
      <c r="B198" s="6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 spans="2:20">
      <c r="B199" s="6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 spans="2:20">
      <c r="B200" s="6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2:20">
      <c r="B201" s="6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 spans="2:20">
      <c r="B202" s="6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 spans="2:20">
      <c r="B203" s="6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spans="2:20">
      <c r="B204" s="6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 spans="2:20">
      <c r="B205" s="6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 spans="2:20">
      <c r="B206" s="6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 spans="2:20">
      <c r="B207" s="6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 spans="2:20">
      <c r="B208" s="6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 spans="2:20">
      <c r="B209" s="6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2:20">
      <c r="B210" s="6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 spans="2:20">
      <c r="B211" s="6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 spans="2:20">
      <c r="B212" s="6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 spans="2:20">
      <c r="B213" s="6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 spans="2:20">
      <c r="B214" s="6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 spans="2:20">
      <c r="B215" s="6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 spans="2:20">
      <c r="B216" s="6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 spans="2:20">
      <c r="B217" s="6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 spans="2:20">
      <c r="B218" s="6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 spans="2:20">
      <c r="B219" s="6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 spans="2:20">
      <c r="B220" s="6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r="221" spans="2:20">
      <c r="B221" s="6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 spans="2:20">
      <c r="B222" s="6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spans="2:20">
      <c r="B223" s="6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 spans="2:20">
      <c r="B224" s="6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 spans="2:20">
      <c r="B225" s="6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 spans="2:20">
      <c r="B226" s="6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 spans="2:20">
      <c r="B227" s="6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2:20">
      <c r="B228" s="6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2:20">
      <c r="B229" s="6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 spans="2:20">
      <c r="B230" s="6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 spans="2:20">
      <c r="B231" s="6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 spans="2:20">
      <c r="B232" s="6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 spans="2:20">
      <c r="B233" s="6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 spans="2:20">
      <c r="B234" s="6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 spans="2:20">
      <c r="B235" s="6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 spans="2:20">
      <c r="B236" s="6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2:20">
      <c r="B237" s="6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2:20">
      <c r="B238" s="6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r="239" spans="2:20">
      <c r="B239" s="6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 spans="2:20">
      <c r="B240" s="6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 spans="2:20">
      <c r="B241" s="6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 spans="2:20">
      <c r="B242" s="6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 spans="2:20">
      <c r="B243" s="6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r="244" spans="2:20">
      <c r="B244" s="6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r="245" spans="2:20">
      <c r="B245" s="6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 spans="2:20">
      <c r="B246" s="6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  <row r="247" spans="2:20">
      <c r="B247" s="6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</row>
    <row r="248" spans="2:20">
      <c r="B248" s="6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r="249" spans="2:20">
      <c r="B249" s="6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</row>
    <row r="250" spans="2:20">
      <c r="B250" s="6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</row>
    <row r="251" spans="2:20">
      <c r="B251" s="6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</row>
    <row r="252" spans="2:20">
      <c r="B252" s="6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</row>
    <row r="253" spans="2:20">
      <c r="B253" s="6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</row>
    <row r="254" spans="2:20">
      <c r="B254" s="6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 spans="2:20">
      <c r="B255" s="6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 spans="2:20">
      <c r="B256" s="6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r="257" spans="2:20">
      <c r="B257" s="6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2:20">
      <c r="B258" s="6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</row>
    <row r="259" spans="2:20">
      <c r="B259" s="6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</row>
    <row r="260" spans="2:20">
      <c r="B260" s="6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</row>
    <row r="261" spans="2:20">
      <c r="B261" s="6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2:20">
      <c r="B262" s="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</row>
    <row r="263" spans="2:20">
      <c r="B263" s="6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 spans="2:20">
      <c r="B264" s="6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2:20">
      <c r="B265" s="6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</row>
    <row r="266" spans="2:20">
      <c r="B266" s="6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2:20">
      <c r="B267" s="6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</row>
    <row r="268" spans="2:20">
      <c r="B268" s="6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</row>
    <row r="269" spans="2:20">
      <c r="B269" s="6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2:20">
      <c r="B270" s="6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</row>
    <row r="271" spans="2:20">
      <c r="B271" s="6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r="272" spans="2:20">
      <c r="B272" s="6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</row>
    <row r="273" spans="2:20">
      <c r="B273" s="6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</row>
    <row r="274" spans="2:20">
      <c r="B274" s="6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</row>
    <row r="275" spans="2:20">
      <c r="B275" s="6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2:20">
      <c r="B276" s="6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r="277" spans="2:20">
      <c r="B277" s="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r="278" spans="2:20">
      <c r="B278" s="6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r="279" spans="2:20">
      <c r="B279" s="6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</row>
    <row r="280" spans="2:20">
      <c r="B280" s="6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</row>
    <row r="281" spans="2:20">
      <c r="B281" s="6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 spans="2:20">
      <c r="B282" s="6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r="283" spans="2:20">
      <c r="B283" s="6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</row>
    <row r="284" spans="2:20">
      <c r="B284" s="6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</row>
    <row r="285" spans="2:20">
      <c r="B285" s="6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</row>
    <row r="286" spans="2:20">
      <c r="B286" s="6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r="287" spans="2:20">
      <c r="B287" s="6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</row>
    <row r="288" spans="2:20">
      <c r="B288" s="6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</row>
    <row r="289" spans="2:20">
      <c r="B289" s="6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</row>
    <row r="290" spans="2:20">
      <c r="B290" s="6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 spans="2:20">
      <c r="B291" s="6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 spans="2:20">
      <c r="B292" s="6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</row>
    <row r="293" spans="2:20">
      <c r="B293" s="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</row>
    <row r="294" spans="2:20">
      <c r="B294" s="6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r="295" spans="2:20">
      <c r="B295" s="6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r="296" spans="2:20">
      <c r="B296" s="6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</row>
    <row r="297" spans="2:20">
      <c r="B297" s="6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</row>
    <row r="298" spans="2:20">
      <c r="B298" s="6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</row>
    <row r="299" spans="2:20">
      <c r="B299" s="6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</row>
    <row r="300" spans="2:20">
      <c r="B300" s="6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</row>
    <row r="301" spans="2:20">
      <c r="B301" s="6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</row>
    <row r="302" spans="2:20">
      <c r="B302" s="6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</row>
    <row r="303" spans="2:20">
      <c r="B303" s="6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2:20">
      <c r="B304" s="6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</row>
    <row r="305" spans="2:20">
      <c r="B305" s="6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</row>
    <row r="306" spans="2:20">
      <c r="B306" s="6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</row>
    <row r="307" spans="2:20">
      <c r="B307" s="6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</row>
    <row r="308" spans="2:20">
      <c r="B308" s="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 spans="2:20">
      <c r="B309" s="6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 spans="2:20">
      <c r="B310" s="6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</row>
    <row r="311" spans="2:20">
      <c r="B311" s="6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</row>
    <row r="312" spans="2:20">
      <c r="B312" s="6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</row>
    <row r="313" spans="2:20">
      <c r="B313" s="6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</row>
    <row r="314" spans="2:20">
      <c r="B314" s="6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</row>
    <row r="315" spans="2:20">
      <c r="B315" s="6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</row>
    <row r="316" spans="2:20">
      <c r="B316" s="6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</row>
    <row r="317" spans="2:20">
      <c r="B317" s="6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 spans="2:20">
      <c r="B318" s="6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 spans="2:20">
      <c r="B319" s="6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r="320" spans="2:20">
      <c r="B320" s="6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r="321" spans="2:20">
      <c r="B321" s="6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</row>
    <row r="322" spans="2:20">
      <c r="B322" s="6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</row>
    <row r="323" spans="2:20">
      <c r="B323" s="6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</row>
    <row r="324" spans="2:20">
      <c r="B324" s="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</row>
    <row r="325" spans="2:20">
      <c r="B325" s="6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</row>
    <row r="326" spans="2:20">
      <c r="B326" s="6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</row>
    <row r="327" spans="2:20">
      <c r="B327" s="6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</row>
    <row r="328" spans="2:20">
      <c r="B328" s="6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</row>
    <row r="329" spans="2:20">
      <c r="B329" s="6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r="330" spans="2:20">
      <c r="B330" s="6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</row>
    <row r="331" spans="2:20">
      <c r="B331" s="6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</row>
    <row r="332" spans="2:20">
      <c r="B332" s="6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</row>
    <row r="333" spans="2:20">
      <c r="B333" s="6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</row>
    <row r="334" spans="2:20">
      <c r="B334" s="6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</row>
    <row r="335" spans="2:20">
      <c r="B335" s="6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</row>
    <row r="336" spans="2:20">
      <c r="B336" s="6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r="337" spans="2:20">
      <c r="B337" s="6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</row>
    <row r="338" spans="2:20">
      <c r="B338" s="6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</row>
    <row r="339" spans="2:20">
      <c r="B339" s="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</row>
    <row r="340" spans="2:20">
      <c r="B340" s="6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</row>
    <row r="341" spans="2:20">
      <c r="B341" s="6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</row>
    <row r="342" spans="2:20">
      <c r="B342" s="6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</row>
    <row r="343" spans="2:20">
      <c r="B343" s="6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</row>
    <row r="344" spans="2:20">
      <c r="B344" s="6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</row>
    <row r="345" spans="2:20">
      <c r="B345" s="6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</row>
    <row r="346" spans="2:20">
      <c r="B346" s="6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</row>
    <row r="347" spans="2:20">
      <c r="B347" s="6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</row>
    <row r="348" spans="2:20">
      <c r="B348" s="6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</row>
    <row r="349" spans="2:20">
      <c r="B349" s="6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</row>
    <row r="350" spans="2:20">
      <c r="B350" s="6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</row>
    <row r="351" spans="2:20">
      <c r="B351" s="6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</row>
    <row r="352" spans="2:20">
      <c r="B352" s="6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</row>
    <row r="353" spans="2:20">
      <c r="B353" s="6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</row>
    <row r="354" spans="2:20">
      <c r="B354" s="6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</row>
    <row r="355" spans="2:20">
      <c r="B355" s="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</row>
    <row r="356" spans="2:20">
      <c r="B356" s="6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</row>
    <row r="357" spans="2:20">
      <c r="B357" s="6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</row>
    <row r="358" spans="2:20">
      <c r="B358" s="6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</row>
    <row r="359" spans="2:20">
      <c r="B359" s="6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</row>
    <row r="360" spans="2:20">
      <c r="B360" s="6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</row>
    <row r="361" spans="2:20">
      <c r="B361" s="6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</row>
    <row r="362" spans="2:20">
      <c r="B362" s="6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r="363" spans="2:20">
      <c r="B363" s="6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r="364" spans="2:20">
      <c r="B364" s="6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</row>
    <row r="365" spans="2:20">
      <c r="B365" s="6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</row>
    <row r="366" spans="2:20">
      <c r="B366" s="6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</row>
    <row r="367" spans="2:20">
      <c r="B367" s="6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</row>
    <row r="368" spans="2:20">
      <c r="B368" s="6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</row>
    <row r="369" spans="2:23">
      <c r="B369" s="6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</row>
    <row r="370" spans="2:23">
      <c r="B370" s="6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</row>
    <row r="371" spans="2:23">
      <c r="B371" s="6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</row>
    <row r="372" spans="2:23">
      <c r="B372" s="6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</row>
    <row r="373" spans="2:23">
      <c r="B373" s="6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</row>
    <row r="374" spans="2:23">
      <c r="B374" s="6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</row>
    <row r="375" spans="2:23">
      <c r="B375" s="6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</row>
    <row r="376" spans="2:23">
      <c r="B376" s="6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</row>
    <row r="377" spans="2:23" ht="15" thickBot="1">
      <c r="B377" s="6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</row>
    <row r="378" spans="2:23">
      <c r="B378" s="6"/>
      <c r="C378" s="7"/>
      <c r="D378" s="7"/>
      <c r="E378" s="217" t="s">
        <v>3</v>
      </c>
      <c r="F378" s="217"/>
      <c r="G378" s="217"/>
      <c r="H378" s="217" t="s">
        <v>17</v>
      </c>
      <c r="I378" s="217"/>
      <c r="J378" s="218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219" t="s">
        <v>1</v>
      </c>
      <c r="V378" s="220"/>
      <c r="W378" s="220"/>
    </row>
    <row r="379" spans="2:23">
      <c r="B379" s="6"/>
      <c r="C379" s="14" t="s">
        <v>11</v>
      </c>
      <c r="D379" s="14"/>
      <c r="E379" s="14" t="s">
        <v>13</v>
      </c>
      <c r="F379" s="14" t="s">
        <v>15</v>
      </c>
      <c r="G379" s="14" t="s">
        <v>16</v>
      </c>
      <c r="H379" s="14" t="s">
        <v>13</v>
      </c>
      <c r="I379" s="14" t="s">
        <v>15</v>
      </c>
      <c r="J379" s="14" t="s">
        <v>16</v>
      </c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3" t="s">
        <v>13</v>
      </c>
      <c r="V379" s="14"/>
      <c r="W379" s="14" t="s">
        <v>15</v>
      </c>
    </row>
    <row r="380" spans="2:23">
      <c r="B380" s="6"/>
      <c r="C380" s="1">
        <v>2021</v>
      </c>
      <c r="E380" s="10">
        <f>SUMIF($C$14:$C$376,$C380,F$14:F$376)</f>
        <v>0</v>
      </c>
      <c r="F380" s="10">
        <f t="shared" ref="F380:F410" ca="1" si="69">SUMIF($C$14:$C$376,$C380,H$75:H$376)</f>
        <v>0</v>
      </c>
      <c r="G380" s="10">
        <f>SUMIF($C$14:$C$376,$C380,I$14:I$376)</f>
        <v>0</v>
      </c>
      <c r="H380" s="10" t="e">
        <f>SUMIF(#REF!,$C380,#REF!)</f>
        <v>#REF!</v>
      </c>
      <c r="I380" s="10" t="e">
        <f>SUMIF(#REF!,$C380,#REF!)</f>
        <v>#REF!</v>
      </c>
      <c r="J380" s="10" t="e">
        <f>SUMIF(#REF!,$C380,#REF!)</f>
        <v>#REF!</v>
      </c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6" t="e">
        <f t="shared" ref="U380:U410" si="70">E380+H380</f>
        <v>#REF!</v>
      </c>
      <c r="V380" s="17"/>
      <c r="W380" s="10" t="e">
        <f t="shared" ref="W380:W410" ca="1" si="71">-(F380+I380)</f>
        <v>#REF!</v>
      </c>
    </row>
    <row r="381" spans="2:23">
      <c r="B381" s="6"/>
      <c r="C381" s="1">
        <f>C380+1</f>
        <v>2022</v>
      </c>
      <c r="E381" s="10">
        <f t="shared" ref="E381:E410" si="72">SUMIF($C$14:$C$376,$C381,F$14:F$376)</f>
        <v>0</v>
      </c>
      <c r="F381" s="10">
        <f t="shared" ca="1" si="69"/>
        <v>0</v>
      </c>
      <c r="G381" s="10">
        <f t="shared" ref="G381:G410" si="73">SUMIF($C$14:$C$376,$C381,I$14:I$376)</f>
        <v>0</v>
      </c>
      <c r="H381" s="10" t="e">
        <f>SUMIF(#REF!,$C381,#REF!)</f>
        <v>#REF!</v>
      </c>
      <c r="I381" s="10" t="e">
        <f>SUMIF(#REF!,$C381,#REF!)</f>
        <v>#REF!</v>
      </c>
      <c r="J381" s="10" t="e">
        <f>SUMIF(#REF!,$C381,#REF!)</f>
        <v>#REF!</v>
      </c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6" t="e">
        <f t="shared" si="70"/>
        <v>#REF!</v>
      </c>
      <c r="V381" s="17"/>
      <c r="W381" s="10" t="e">
        <f t="shared" ca="1" si="71"/>
        <v>#REF!</v>
      </c>
    </row>
    <row r="382" spans="2:23">
      <c r="B382" s="6"/>
      <c r="C382" s="1">
        <f t="shared" ref="C382:C410" si="74">C381+1</f>
        <v>2023</v>
      </c>
      <c r="E382" s="10">
        <f t="shared" si="72"/>
        <v>0</v>
      </c>
      <c r="F382" s="10">
        <f t="shared" ca="1" si="69"/>
        <v>0</v>
      </c>
      <c r="G382" s="10">
        <f t="shared" si="73"/>
        <v>0</v>
      </c>
      <c r="H382" s="10" t="e">
        <f>SUMIF(#REF!,$C382,#REF!)</f>
        <v>#REF!</v>
      </c>
      <c r="I382" s="10" t="e">
        <f>SUMIF(#REF!,$C382,#REF!)</f>
        <v>#REF!</v>
      </c>
      <c r="J382" s="10" t="e">
        <f>SUMIF(#REF!,$C382,#REF!)</f>
        <v>#REF!</v>
      </c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6" t="e">
        <f t="shared" si="70"/>
        <v>#REF!</v>
      </c>
      <c r="V382" s="17"/>
      <c r="W382" s="10" t="e">
        <f t="shared" ca="1" si="71"/>
        <v>#REF!</v>
      </c>
    </row>
    <row r="383" spans="2:23">
      <c r="B383" s="6"/>
      <c r="C383" s="1">
        <f t="shared" si="74"/>
        <v>2024</v>
      </c>
      <c r="E383" s="10">
        <f t="shared" si="72"/>
        <v>0</v>
      </c>
      <c r="F383" s="10">
        <f t="shared" ca="1" si="69"/>
        <v>0</v>
      </c>
      <c r="G383" s="10">
        <f t="shared" si="73"/>
        <v>0</v>
      </c>
      <c r="H383" s="10" t="e">
        <f>SUMIF(#REF!,$C383,#REF!)</f>
        <v>#REF!</v>
      </c>
      <c r="I383" s="10" t="e">
        <f>SUMIF(#REF!,$C383,#REF!)</f>
        <v>#REF!</v>
      </c>
      <c r="J383" s="10" t="e">
        <f>SUMIF(#REF!,$C383,#REF!)</f>
        <v>#REF!</v>
      </c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6" t="e">
        <f t="shared" si="70"/>
        <v>#REF!</v>
      </c>
      <c r="V383" s="17"/>
      <c r="W383" s="10" t="e">
        <f t="shared" ca="1" si="71"/>
        <v>#REF!</v>
      </c>
    </row>
    <row r="384" spans="2:23">
      <c r="B384" s="6"/>
      <c r="C384" s="1">
        <f t="shared" si="74"/>
        <v>2025</v>
      </c>
      <c r="E384" s="10">
        <f t="shared" si="72"/>
        <v>0</v>
      </c>
      <c r="F384" s="10">
        <f t="shared" ca="1" si="69"/>
        <v>0</v>
      </c>
      <c r="G384" s="10">
        <f t="shared" si="73"/>
        <v>0</v>
      </c>
      <c r="H384" s="10" t="e">
        <f>SUMIF(#REF!,$C384,#REF!)</f>
        <v>#REF!</v>
      </c>
      <c r="I384" s="10" t="e">
        <f>SUMIF(#REF!,$C384,#REF!)</f>
        <v>#REF!</v>
      </c>
      <c r="J384" s="10" t="e">
        <f>SUMIF(#REF!,$C384,#REF!)</f>
        <v>#REF!</v>
      </c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6" t="e">
        <f t="shared" si="70"/>
        <v>#REF!</v>
      </c>
      <c r="V384" s="17"/>
      <c r="W384" s="10" t="e">
        <f t="shared" ca="1" si="71"/>
        <v>#REF!</v>
      </c>
    </row>
    <row r="385" spans="2:23">
      <c r="B385" s="6"/>
      <c r="C385" s="1">
        <f t="shared" si="74"/>
        <v>2026</v>
      </c>
      <c r="E385" s="10">
        <f t="shared" si="72"/>
        <v>0</v>
      </c>
      <c r="F385" s="10">
        <f t="shared" ca="1" si="69"/>
        <v>0</v>
      </c>
      <c r="G385" s="10">
        <f t="shared" si="73"/>
        <v>0</v>
      </c>
      <c r="H385" s="10" t="e">
        <f>SUMIF(#REF!,$C385,#REF!)</f>
        <v>#REF!</v>
      </c>
      <c r="I385" s="10" t="e">
        <f>SUMIF(#REF!,$C385,#REF!)</f>
        <v>#REF!</v>
      </c>
      <c r="J385" s="10" t="e">
        <f>SUMIF(#REF!,$C385,#REF!)</f>
        <v>#REF!</v>
      </c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6" t="e">
        <f t="shared" si="70"/>
        <v>#REF!</v>
      </c>
      <c r="V385" s="17"/>
      <c r="W385" s="10" t="e">
        <f t="shared" ca="1" si="71"/>
        <v>#REF!</v>
      </c>
    </row>
    <row r="386" spans="2:23">
      <c r="B386" s="6"/>
      <c r="C386" s="1">
        <f t="shared" si="74"/>
        <v>2027</v>
      </c>
      <c r="E386" s="10">
        <f t="shared" si="72"/>
        <v>0</v>
      </c>
      <c r="F386" s="10">
        <f t="shared" ca="1" si="69"/>
        <v>0</v>
      </c>
      <c r="G386" s="10">
        <f t="shared" si="73"/>
        <v>0</v>
      </c>
      <c r="H386" s="10" t="e">
        <f>SUMIF(#REF!,$C386,#REF!)</f>
        <v>#REF!</v>
      </c>
      <c r="I386" s="10" t="e">
        <f>SUMIF(#REF!,$C386,#REF!)</f>
        <v>#REF!</v>
      </c>
      <c r="J386" s="10" t="e">
        <f>SUMIF(#REF!,$C386,#REF!)</f>
        <v>#REF!</v>
      </c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6" t="e">
        <f t="shared" si="70"/>
        <v>#REF!</v>
      </c>
      <c r="V386" s="17"/>
      <c r="W386" s="10" t="e">
        <f t="shared" ca="1" si="71"/>
        <v>#REF!</v>
      </c>
    </row>
    <row r="387" spans="2:23">
      <c r="B387" s="6"/>
      <c r="C387" s="1">
        <f t="shared" si="74"/>
        <v>2028</v>
      </c>
      <c r="E387" s="10">
        <f t="shared" si="72"/>
        <v>0</v>
      </c>
      <c r="F387" s="10">
        <f t="shared" ca="1" si="69"/>
        <v>0</v>
      </c>
      <c r="G387" s="10">
        <f t="shared" si="73"/>
        <v>0</v>
      </c>
      <c r="H387" s="10" t="e">
        <f>SUMIF(#REF!,$C387,#REF!)</f>
        <v>#REF!</v>
      </c>
      <c r="I387" s="10" t="e">
        <f>SUMIF(#REF!,$C387,#REF!)</f>
        <v>#REF!</v>
      </c>
      <c r="J387" s="10" t="e">
        <f>SUMIF(#REF!,$C387,#REF!)</f>
        <v>#REF!</v>
      </c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6" t="e">
        <f t="shared" si="70"/>
        <v>#REF!</v>
      </c>
      <c r="V387" s="17"/>
      <c r="W387" s="10" t="e">
        <f t="shared" ca="1" si="71"/>
        <v>#REF!</v>
      </c>
    </row>
    <row r="388" spans="2:23">
      <c r="B388" s="6"/>
      <c r="C388" s="1">
        <f t="shared" si="74"/>
        <v>2029</v>
      </c>
      <c r="E388" s="10">
        <f t="shared" si="72"/>
        <v>0</v>
      </c>
      <c r="F388" s="10">
        <f t="shared" ca="1" si="69"/>
        <v>0</v>
      </c>
      <c r="G388" s="10">
        <f t="shared" si="73"/>
        <v>0</v>
      </c>
      <c r="H388" s="10" t="e">
        <f>SUMIF(#REF!,$C388,#REF!)</f>
        <v>#REF!</v>
      </c>
      <c r="I388" s="10" t="e">
        <f>SUMIF(#REF!,$C388,#REF!)</f>
        <v>#REF!</v>
      </c>
      <c r="J388" s="10" t="e">
        <f>SUMIF(#REF!,$C388,#REF!)</f>
        <v>#REF!</v>
      </c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6" t="e">
        <f t="shared" si="70"/>
        <v>#REF!</v>
      </c>
      <c r="V388" s="17"/>
      <c r="W388" s="10" t="e">
        <f t="shared" ca="1" si="71"/>
        <v>#REF!</v>
      </c>
    </row>
    <row r="389" spans="2:23">
      <c r="B389" s="6"/>
      <c r="C389" s="1">
        <f t="shared" si="74"/>
        <v>2030</v>
      </c>
      <c r="E389" s="10">
        <f t="shared" si="72"/>
        <v>0</v>
      </c>
      <c r="F389" s="10">
        <f t="shared" ca="1" si="69"/>
        <v>0</v>
      </c>
      <c r="G389" s="10">
        <f t="shared" si="73"/>
        <v>0</v>
      </c>
      <c r="H389" s="10" t="e">
        <f>SUMIF(#REF!,$C389,#REF!)</f>
        <v>#REF!</v>
      </c>
      <c r="I389" s="10" t="e">
        <f>SUMIF(#REF!,$C389,#REF!)</f>
        <v>#REF!</v>
      </c>
      <c r="J389" s="10" t="e">
        <f>SUMIF(#REF!,$C389,#REF!)</f>
        <v>#REF!</v>
      </c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6" t="e">
        <f t="shared" si="70"/>
        <v>#REF!</v>
      </c>
      <c r="V389" s="17"/>
      <c r="W389" s="10" t="e">
        <f t="shared" ca="1" si="71"/>
        <v>#REF!</v>
      </c>
    </row>
    <row r="390" spans="2:23">
      <c r="B390" s="6"/>
      <c r="C390" s="1">
        <f t="shared" si="74"/>
        <v>2031</v>
      </c>
      <c r="E390" s="10">
        <f t="shared" si="72"/>
        <v>0</v>
      </c>
      <c r="F390" s="10">
        <f t="shared" ca="1" si="69"/>
        <v>0</v>
      </c>
      <c r="G390" s="10">
        <f t="shared" si="73"/>
        <v>0</v>
      </c>
      <c r="H390" s="10" t="e">
        <f>SUMIF(#REF!,$C390,#REF!)</f>
        <v>#REF!</v>
      </c>
      <c r="I390" s="10" t="e">
        <f>SUMIF(#REF!,$C390,#REF!)</f>
        <v>#REF!</v>
      </c>
      <c r="J390" s="10" t="e">
        <f>SUMIF(#REF!,$C390,#REF!)</f>
        <v>#REF!</v>
      </c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6" t="e">
        <f t="shared" si="70"/>
        <v>#REF!</v>
      </c>
      <c r="V390" s="17"/>
      <c r="W390" s="10" t="e">
        <f t="shared" ca="1" si="71"/>
        <v>#REF!</v>
      </c>
    </row>
    <row r="391" spans="2:23">
      <c r="B391" s="6"/>
      <c r="C391" s="1">
        <f t="shared" si="74"/>
        <v>2032</v>
      </c>
      <c r="E391" s="10">
        <f t="shared" si="72"/>
        <v>0</v>
      </c>
      <c r="F391" s="10">
        <f t="shared" ca="1" si="69"/>
        <v>0</v>
      </c>
      <c r="G391" s="10">
        <f t="shared" si="73"/>
        <v>0</v>
      </c>
      <c r="H391" s="10" t="e">
        <f>SUMIF(#REF!,$C391,#REF!)</f>
        <v>#REF!</v>
      </c>
      <c r="I391" s="10" t="e">
        <f>SUMIF(#REF!,$C391,#REF!)</f>
        <v>#REF!</v>
      </c>
      <c r="J391" s="10" t="e">
        <f>SUMIF(#REF!,$C391,#REF!)</f>
        <v>#REF!</v>
      </c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6" t="e">
        <f t="shared" si="70"/>
        <v>#REF!</v>
      </c>
      <c r="V391" s="17"/>
      <c r="W391" s="10" t="e">
        <f t="shared" ca="1" si="71"/>
        <v>#REF!</v>
      </c>
    </row>
    <row r="392" spans="2:23">
      <c r="B392" s="6"/>
      <c r="C392" s="1">
        <f t="shared" si="74"/>
        <v>2033</v>
      </c>
      <c r="E392" s="10">
        <f t="shared" si="72"/>
        <v>0</v>
      </c>
      <c r="F392" s="10">
        <f t="shared" ca="1" si="69"/>
        <v>0</v>
      </c>
      <c r="G392" s="10">
        <f t="shared" si="73"/>
        <v>0</v>
      </c>
      <c r="H392" s="10" t="e">
        <f>SUMIF(#REF!,$C392,#REF!)</f>
        <v>#REF!</v>
      </c>
      <c r="I392" s="10" t="e">
        <f>SUMIF(#REF!,$C392,#REF!)</f>
        <v>#REF!</v>
      </c>
      <c r="J392" s="10" t="e">
        <f>SUMIF(#REF!,$C392,#REF!)</f>
        <v>#REF!</v>
      </c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6" t="e">
        <f t="shared" si="70"/>
        <v>#REF!</v>
      </c>
      <c r="V392" s="17"/>
      <c r="W392" s="10" t="e">
        <f t="shared" ca="1" si="71"/>
        <v>#REF!</v>
      </c>
    </row>
    <row r="393" spans="2:23">
      <c r="B393" s="6"/>
      <c r="C393" s="1">
        <f t="shared" si="74"/>
        <v>2034</v>
      </c>
      <c r="E393" s="10">
        <f t="shared" si="72"/>
        <v>0</v>
      </c>
      <c r="F393" s="10">
        <f t="shared" ca="1" si="69"/>
        <v>0</v>
      </c>
      <c r="G393" s="10">
        <f t="shared" si="73"/>
        <v>0</v>
      </c>
      <c r="H393" s="10" t="e">
        <f>SUMIF(#REF!,$C393,#REF!)</f>
        <v>#REF!</v>
      </c>
      <c r="I393" s="10" t="e">
        <f>SUMIF(#REF!,$C393,#REF!)</f>
        <v>#REF!</v>
      </c>
      <c r="J393" s="10" t="e">
        <f>SUMIF(#REF!,$C393,#REF!)</f>
        <v>#REF!</v>
      </c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6" t="e">
        <f t="shared" si="70"/>
        <v>#REF!</v>
      </c>
      <c r="V393" s="17"/>
      <c r="W393" s="10" t="e">
        <f t="shared" ca="1" si="71"/>
        <v>#REF!</v>
      </c>
    </row>
    <row r="394" spans="2:23">
      <c r="B394" s="6"/>
      <c r="C394" s="1">
        <f t="shared" si="74"/>
        <v>2035</v>
      </c>
      <c r="E394" s="10">
        <f t="shared" si="72"/>
        <v>0</v>
      </c>
      <c r="F394" s="10">
        <f t="shared" ca="1" si="69"/>
        <v>0</v>
      </c>
      <c r="G394" s="10">
        <f t="shared" si="73"/>
        <v>0</v>
      </c>
      <c r="H394" s="10" t="e">
        <f>SUMIF(#REF!,$C394,#REF!)</f>
        <v>#REF!</v>
      </c>
      <c r="I394" s="10" t="e">
        <f>SUMIF(#REF!,$C394,#REF!)</f>
        <v>#REF!</v>
      </c>
      <c r="J394" s="10" t="e">
        <f>SUMIF(#REF!,$C394,#REF!)</f>
        <v>#REF!</v>
      </c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6" t="e">
        <f t="shared" si="70"/>
        <v>#REF!</v>
      </c>
      <c r="V394" s="17"/>
      <c r="W394" s="10" t="e">
        <f t="shared" ca="1" si="71"/>
        <v>#REF!</v>
      </c>
    </row>
    <row r="395" spans="2:23">
      <c r="B395" s="6"/>
      <c r="C395" s="1">
        <f t="shared" si="74"/>
        <v>2036</v>
      </c>
      <c r="E395" s="10">
        <f t="shared" si="72"/>
        <v>0</v>
      </c>
      <c r="F395" s="10">
        <f t="shared" ca="1" si="69"/>
        <v>0</v>
      </c>
      <c r="G395" s="10">
        <f t="shared" si="73"/>
        <v>0</v>
      </c>
      <c r="H395" s="10" t="e">
        <f>SUMIF(#REF!,$C395,#REF!)</f>
        <v>#REF!</v>
      </c>
      <c r="I395" s="10" t="e">
        <f>SUMIF(#REF!,$C395,#REF!)</f>
        <v>#REF!</v>
      </c>
      <c r="J395" s="10" t="e">
        <f>SUMIF(#REF!,$C395,#REF!)</f>
        <v>#REF!</v>
      </c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6" t="e">
        <f t="shared" si="70"/>
        <v>#REF!</v>
      </c>
      <c r="V395" s="17"/>
      <c r="W395" s="10" t="e">
        <f t="shared" ca="1" si="71"/>
        <v>#REF!</v>
      </c>
    </row>
    <row r="396" spans="2:23">
      <c r="B396" s="6"/>
      <c r="C396" s="1">
        <f t="shared" si="74"/>
        <v>2037</v>
      </c>
      <c r="E396" s="10">
        <f t="shared" si="72"/>
        <v>0</v>
      </c>
      <c r="F396" s="10">
        <f t="shared" ca="1" si="69"/>
        <v>0</v>
      </c>
      <c r="G396" s="10">
        <f t="shared" si="73"/>
        <v>0</v>
      </c>
      <c r="H396" s="10" t="e">
        <f>SUMIF(#REF!,$C396,#REF!)</f>
        <v>#REF!</v>
      </c>
      <c r="I396" s="10" t="e">
        <f>SUMIF(#REF!,$C396,#REF!)</f>
        <v>#REF!</v>
      </c>
      <c r="J396" s="10" t="e">
        <f>SUMIF(#REF!,$C396,#REF!)</f>
        <v>#REF!</v>
      </c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6" t="e">
        <f t="shared" si="70"/>
        <v>#REF!</v>
      </c>
      <c r="V396" s="17"/>
      <c r="W396" s="10" t="e">
        <f t="shared" ca="1" si="71"/>
        <v>#REF!</v>
      </c>
    </row>
    <row r="397" spans="2:23">
      <c r="B397" s="6"/>
      <c r="C397" s="1">
        <f t="shared" si="74"/>
        <v>2038</v>
      </c>
      <c r="E397" s="10">
        <f t="shared" si="72"/>
        <v>0</v>
      </c>
      <c r="F397" s="10">
        <f t="shared" ca="1" si="69"/>
        <v>0</v>
      </c>
      <c r="G397" s="10">
        <f t="shared" si="73"/>
        <v>0</v>
      </c>
      <c r="H397" s="10" t="e">
        <f>SUMIF(#REF!,$C397,#REF!)</f>
        <v>#REF!</v>
      </c>
      <c r="I397" s="10" t="e">
        <f>SUMIF(#REF!,$C397,#REF!)</f>
        <v>#REF!</v>
      </c>
      <c r="J397" s="10" t="e">
        <f>SUMIF(#REF!,$C397,#REF!)</f>
        <v>#REF!</v>
      </c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6" t="e">
        <f t="shared" si="70"/>
        <v>#REF!</v>
      </c>
      <c r="V397" s="17"/>
      <c r="W397" s="10" t="e">
        <f t="shared" ca="1" si="71"/>
        <v>#REF!</v>
      </c>
    </row>
    <row r="398" spans="2:23">
      <c r="B398" s="6"/>
      <c r="C398" s="1">
        <f t="shared" si="74"/>
        <v>2039</v>
      </c>
      <c r="E398" s="10">
        <f t="shared" si="72"/>
        <v>0</v>
      </c>
      <c r="F398" s="10">
        <f t="shared" ca="1" si="69"/>
        <v>0</v>
      </c>
      <c r="G398" s="10">
        <f t="shared" si="73"/>
        <v>0</v>
      </c>
      <c r="H398" s="10" t="e">
        <f>SUMIF(#REF!,$C398,#REF!)</f>
        <v>#REF!</v>
      </c>
      <c r="I398" s="10" t="e">
        <f>SUMIF(#REF!,$C398,#REF!)</f>
        <v>#REF!</v>
      </c>
      <c r="J398" s="10" t="e">
        <f>SUMIF(#REF!,$C398,#REF!)</f>
        <v>#REF!</v>
      </c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6" t="e">
        <f t="shared" si="70"/>
        <v>#REF!</v>
      </c>
      <c r="V398" s="17"/>
      <c r="W398" s="10" t="e">
        <f t="shared" ca="1" si="71"/>
        <v>#REF!</v>
      </c>
    </row>
    <row r="399" spans="2:23">
      <c r="B399" s="6"/>
      <c r="C399" s="1">
        <f t="shared" si="74"/>
        <v>2040</v>
      </c>
      <c r="E399" s="10">
        <f t="shared" si="72"/>
        <v>0</v>
      </c>
      <c r="F399" s="10">
        <f t="shared" ca="1" si="69"/>
        <v>0</v>
      </c>
      <c r="G399" s="10">
        <f t="shared" si="73"/>
        <v>0</v>
      </c>
      <c r="H399" s="10" t="e">
        <f>SUMIF(#REF!,$C399,#REF!)</f>
        <v>#REF!</v>
      </c>
      <c r="I399" s="10" t="e">
        <f>SUMIF(#REF!,$C399,#REF!)</f>
        <v>#REF!</v>
      </c>
      <c r="J399" s="10" t="e">
        <f>SUMIF(#REF!,$C399,#REF!)</f>
        <v>#REF!</v>
      </c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6" t="e">
        <f t="shared" si="70"/>
        <v>#REF!</v>
      </c>
      <c r="V399" s="17"/>
      <c r="W399" s="10" t="e">
        <f t="shared" ca="1" si="71"/>
        <v>#REF!</v>
      </c>
    </row>
    <row r="400" spans="2:23">
      <c r="B400" s="6"/>
      <c r="C400" s="1">
        <f t="shared" si="74"/>
        <v>2041</v>
      </c>
      <c r="E400" s="10">
        <f t="shared" si="72"/>
        <v>0</v>
      </c>
      <c r="F400" s="10">
        <f t="shared" ca="1" si="69"/>
        <v>0</v>
      </c>
      <c r="G400" s="10">
        <f t="shared" si="73"/>
        <v>0</v>
      </c>
      <c r="H400" s="10" t="e">
        <f>SUMIF(#REF!,$C400,#REF!)</f>
        <v>#REF!</v>
      </c>
      <c r="I400" s="10" t="e">
        <f>SUMIF(#REF!,$C400,#REF!)</f>
        <v>#REF!</v>
      </c>
      <c r="J400" s="10" t="e">
        <f>SUMIF(#REF!,$C400,#REF!)</f>
        <v>#REF!</v>
      </c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6" t="e">
        <f t="shared" si="70"/>
        <v>#REF!</v>
      </c>
      <c r="V400" s="17"/>
      <c r="W400" s="10" t="e">
        <f t="shared" ca="1" si="71"/>
        <v>#REF!</v>
      </c>
    </row>
    <row r="401" spans="1:23">
      <c r="B401" s="6"/>
      <c r="C401" s="1">
        <f t="shared" si="74"/>
        <v>2042</v>
      </c>
      <c r="E401" s="10">
        <f t="shared" si="72"/>
        <v>0</v>
      </c>
      <c r="F401" s="10">
        <f t="shared" ca="1" si="69"/>
        <v>0</v>
      </c>
      <c r="G401" s="10">
        <f t="shared" si="73"/>
        <v>0</v>
      </c>
      <c r="H401" s="10" t="e">
        <f>SUMIF(#REF!,$C401,#REF!)</f>
        <v>#REF!</v>
      </c>
      <c r="I401" s="10" t="e">
        <f>SUMIF(#REF!,$C401,#REF!)</f>
        <v>#REF!</v>
      </c>
      <c r="J401" s="10" t="e">
        <f>SUMIF(#REF!,$C401,#REF!)</f>
        <v>#REF!</v>
      </c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6" t="e">
        <f t="shared" si="70"/>
        <v>#REF!</v>
      </c>
      <c r="V401" s="17"/>
      <c r="W401" s="10" t="e">
        <f t="shared" ca="1" si="71"/>
        <v>#REF!</v>
      </c>
    </row>
    <row r="402" spans="1:23">
      <c r="B402" s="6"/>
      <c r="C402" s="1">
        <f t="shared" si="74"/>
        <v>2043</v>
      </c>
      <c r="E402" s="10">
        <f t="shared" si="72"/>
        <v>0</v>
      </c>
      <c r="F402" s="10">
        <f t="shared" ca="1" si="69"/>
        <v>0</v>
      </c>
      <c r="G402" s="10">
        <f t="shared" si="73"/>
        <v>0</v>
      </c>
      <c r="H402" s="10" t="e">
        <f>SUMIF(#REF!,$C402,#REF!)</f>
        <v>#REF!</v>
      </c>
      <c r="I402" s="10" t="e">
        <f>SUMIF(#REF!,$C402,#REF!)</f>
        <v>#REF!</v>
      </c>
      <c r="J402" s="10" t="e">
        <f>SUMIF(#REF!,$C402,#REF!)</f>
        <v>#REF!</v>
      </c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6" t="e">
        <f t="shared" si="70"/>
        <v>#REF!</v>
      </c>
      <c r="V402" s="17"/>
      <c r="W402" s="10" t="e">
        <f t="shared" ca="1" si="71"/>
        <v>#REF!</v>
      </c>
    </row>
    <row r="403" spans="1:23">
      <c r="B403" s="6"/>
      <c r="C403" s="1">
        <f t="shared" si="74"/>
        <v>2044</v>
      </c>
      <c r="E403" s="10">
        <f t="shared" si="72"/>
        <v>0</v>
      </c>
      <c r="F403" s="10">
        <f t="shared" ca="1" si="69"/>
        <v>0</v>
      </c>
      <c r="G403" s="10">
        <f t="shared" si="73"/>
        <v>0</v>
      </c>
      <c r="H403" s="10" t="e">
        <f>SUMIF(#REF!,$C403,#REF!)</f>
        <v>#REF!</v>
      </c>
      <c r="I403" s="10" t="e">
        <f>SUMIF(#REF!,$C403,#REF!)</f>
        <v>#REF!</v>
      </c>
      <c r="J403" s="10" t="e">
        <f>SUMIF(#REF!,$C403,#REF!)</f>
        <v>#REF!</v>
      </c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6" t="e">
        <f t="shared" si="70"/>
        <v>#REF!</v>
      </c>
      <c r="V403" s="17"/>
      <c r="W403" s="10" t="e">
        <f t="shared" ca="1" si="71"/>
        <v>#REF!</v>
      </c>
    </row>
    <row r="404" spans="1:23">
      <c r="B404" s="6"/>
      <c r="C404" s="1">
        <f t="shared" si="74"/>
        <v>2045</v>
      </c>
      <c r="E404" s="10">
        <f t="shared" si="72"/>
        <v>0</v>
      </c>
      <c r="F404" s="10">
        <f t="shared" ca="1" si="69"/>
        <v>0</v>
      </c>
      <c r="G404" s="10">
        <f t="shared" si="73"/>
        <v>0</v>
      </c>
      <c r="H404" s="10" t="e">
        <f>SUMIF(#REF!,$C404,#REF!)</f>
        <v>#REF!</v>
      </c>
      <c r="I404" s="10" t="e">
        <f>SUMIF(#REF!,$C404,#REF!)</f>
        <v>#REF!</v>
      </c>
      <c r="J404" s="10" t="e">
        <f>SUMIF(#REF!,$C404,#REF!)</f>
        <v>#REF!</v>
      </c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6" t="e">
        <f t="shared" si="70"/>
        <v>#REF!</v>
      </c>
      <c r="V404" s="17"/>
      <c r="W404" s="10" t="e">
        <f t="shared" ca="1" si="71"/>
        <v>#REF!</v>
      </c>
    </row>
    <row r="405" spans="1:23">
      <c r="B405" s="6"/>
      <c r="C405" s="1">
        <f t="shared" si="74"/>
        <v>2046</v>
      </c>
      <c r="E405" s="10">
        <f t="shared" si="72"/>
        <v>0</v>
      </c>
      <c r="F405" s="10">
        <f t="shared" ca="1" si="69"/>
        <v>0</v>
      </c>
      <c r="G405" s="10">
        <f t="shared" si="73"/>
        <v>0</v>
      </c>
      <c r="H405" s="10" t="e">
        <f>SUMIF(#REF!,$C405,#REF!)</f>
        <v>#REF!</v>
      </c>
      <c r="I405" s="10" t="e">
        <f>SUMIF(#REF!,$C405,#REF!)</f>
        <v>#REF!</v>
      </c>
      <c r="J405" s="10" t="e">
        <f>SUMIF(#REF!,$C405,#REF!)</f>
        <v>#REF!</v>
      </c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6" t="e">
        <f t="shared" si="70"/>
        <v>#REF!</v>
      </c>
      <c r="V405" s="17"/>
      <c r="W405" s="10" t="e">
        <f t="shared" ca="1" si="71"/>
        <v>#REF!</v>
      </c>
    </row>
    <row r="406" spans="1:23">
      <c r="B406" s="6"/>
      <c r="C406" s="1">
        <f t="shared" si="74"/>
        <v>2047</v>
      </c>
      <c r="E406" s="10">
        <f t="shared" si="72"/>
        <v>0</v>
      </c>
      <c r="F406" s="10">
        <f t="shared" ca="1" si="69"/>
        <v>0</v>
      </c>
      <c r="G406" s="10">
        <f t="shared" si="73"/>
        <v>0</v>
      </c>
      <c r="H406" s="10" t="e">
        <f>SUMIF(#REF!,$C406,#REF!)</f>
        <v>#REF!</v>
      </c>
      <c r="I406" s="10" t="e">
        <f>SUMIF(#REF!,$C406,#REF!)</f>
        <v>#REF!</v>
      </c>
      <c r="J406" s="10" t="e">
        <f>SUMIF(#REF!,$C406,#REF!)</f>
        <v>#REF!</v>
      </c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6" t="e">
        <f t="shared" si="70"/>
        <v>#REF!</v>
      </c>
      <c r="V406" s="17"/>
      <c r="W406" s="10" t="e">
        <f t="shared" ca="1" si="71"/>
        <v>#REF!</v>
      </c>
    </row>
    <row r="407" spans="1:23">
      <c r="B407" s="6"/>
      <c r="C407" s="1">
        <f t="shared" si="74"/>
        <v>2048</v>
      </c>
      <c r="E407" s="10">
        <f t="shared" si="72"/>
        <v>0</v>
      </c>
      <c r="F407" s="10">
        <f t="shared" ca="1" si="69"/>
        <v>0</v>
      </c>
      <c r="G407" s="10">
        <f t="shared" si="73"/>
        <v>0</v>
      </c>
      <c r="H407" s="10" t="e">
        <f>SUMIF(#REF!,$C407,#REF!)</f>
        <v>#REF!</v>
      </c>
      <c r="I407" s="10" t="e">
        <f>SUMIF(#REF!,$C407,#REF!)</f>
        <v>#REF!</v>
      </c>
      <c r="J407" s="10" t="e">
        <f>SUMIF(#REF!,$C407,#REF!)</f>
        <v>#REF!</v>
      </c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6" t="e">
        <f t="shared" si="70"/>
        <v>#REF!</v>
      </c>
      <c r="V407" s="17"/>
      <c r="W407" s="10" t="e">
        <f t="shared" ca="1" si="71"/>
        <v>#REF!</v>
      </c>
    </row>
    <row r="408" spans="1:23">
      <c r="B408" s="6"/>
      <c r="C408" s="1">
        <f t="shared" si="74"/>
        <v>2049</v>
      </c>
      <c r="E408" s="10">
        <f t="shared" si="72"/>
        <v>0</v>
      </c>
      <c r="F408" s="10">
        <f t="shared" ca="1" si="69"/>
        <v>0</v>
      </c>
      <c r="G408" s="10">
        <f t="shared" si="73"/>
        <v>0</v>
      </c>
      <c r="H408" s="10" t="e">
        <f>SUMIF(#REF!,$C408,#REF!)</f>
        <v>#REF!</v>
      </c>
      <c r="I408" s="10" t="e">
        <f>SUMIF(#REF!,$C408,#REF!)</f>
        <v>#REF!</v>
      </c>
      <c r="J408" s="10" t="e">
        <f>SUMIF(#REF!,$C408,#REF!)</f>
        <v>#REF!</v>
      </c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6" t="e">
        <f t="shared" si="70"/>
        <v>#REF!</v>
      </c>
      <c r="V408" s="17"/>
      <c r="W408" s="10" t="e">
        <f t="shared" ca="1" si="71"/>
        <v>#REF!</v>
      </c>
    </row>
    <row r="409" spans="1:23">
      <c r="B409" s="6"/>
      <c r="C409" s="1">
        <f t="shared" si="74"/>
        <v>2050</v>
      </c>
      <c r="E409" s="10">
        <f t="shared" si="72"/>
        <v>0</v>
      </c>
      <c r="F409" s="10">
        <f t="shared" ca="1" si="69"/>
        <v>0</v>
      </c>
      <c r="G409" s="10">
        <f t="shared" si="73"/>
        <v>0</v>
      </c>
      <c r="H409" s="10" t="e">
        <f>SUMIF(#REF!,$C409,#REF!)</f>
        <v>#REF!</v>
      </c>
      <c r="I409" s="10" t="e">
        <f>SUMIF(#REF!,$C409,#REF!)</f>
        <v>#REF!</v>
      </c>
      <c r="J409" s="10" t="e">
        <f>SUMIF(#REF!,$C409,#REF!)</f>
        <v>#REF!</v>
      </c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6" t="e">
        <f t="shared" si="70"/>
        <v>#REF!</v>
      </c>
      <c r="V409" s="17"/>
      <c r="W409" s="10" t="e">
        <f t="shared" ca="1" si="71"/>
        <v>#REF!</v>
      </c>
    </row>
    <row r="410" spans="1:23" ht="15" thickBot="1">
      <c r="B410" s="6"/>
      <c r="C410" s="1">
        <f t="shared" si="74"/>
        <v>2051</v>
      </c>
      <c r="E410" s="10">
        <f t="shared" si="72"/>
        <v>0</v>
      </c>
      <c r="F410" s="10">
        <f t="shared" ca="1" si="69"/>
        <v>0</v>
      </c>
      <c r="G410" s="10">
        <f t="shared" si="73"/>
        <v>0</v>
      </c>
      <c r="H410" s="10" t="e">
        <f>SUMIF(#REF!,$C410,#REF!)</f>
        <v>#REF!</v>
      </c>
      <c r="I410" s="10" t="e">
        <f>SUMIF(#REF!,$C410,#REF!)</f>
        <v>#REF!</v>
      </c>
      <c r="J410" s="10" t="e">
        <f>SUMIF(#REF!,$C410,#REF!)</f>
        <v>#REF!</v>
      </c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8" t="e">
        <f t="shared" si="70"/>
        <v>#REF!</v>
      </c>
      <c r="V410" s="19"/>
      <c r="W410" s="19" t="e">
        <f t="shared" ca="1" si="71"/>
        <v>#REF!</v>
      </c>
    </row>
    <row r="411" spans="1:23">
      <c r="B411" s="6"/>
    </row>
    <row r="412" spans="1:23" s="5" customFormat="1">
      <c r="A412" s="1"/>
      <c r="B412" s="20" t="s">
        <v>18</v>
      </c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1:23">
      <c r="B413" s="6"/>
    </row>
    <row r="414" spans="1:23">
      <c r="B414" s="6"/>
      <c r="C414" s="22" t="s">
        <v>19</v>
      </c>
      <c r="D414" s="22"/>
      <c r="E414" s="9">
        <f>SUMIF($E$417:$E$779,"y",C$417:C$779)</f>
        <v>38.837207665390963</v>
      </c>
      <c r="F414" s="10"/>
    </row>
    <row r="415" spans="1:23">
      <c r="B415" s="6"/>
    </row>
    <row r="416" spans="1:23">
      <c r="B416" s="13" t="s">
        <v>10</v>
      </c>
      <c r="C416" s="14" t="s">
        <v>20</v>
      </c>
      <c r="D416" s="95"/>
    </row>
    <row r="417" spans="2:5">
      <c r="B417" s="6">
        <v>1</v>
      </c>
      <c r="C417" s="23">
        <f>1/(1+I$10)</f>
        <v>0.99108027750247785</v>
      </c>
      <c r="D417" s="23"/>
      <c r="E417" s="1" t="str">
        <f>IF($B417&lt;=$I$8,"y","n")</f>
        <v>y</v>
      </c>
    </row>
    <row r="418" spans="2:5">
      <c r="B418" s="6">
        <f t="shared" ref="B418:B481" si="75">B417+1</f>
        <v>2</v>
      </c>
      <c r="C418" s="23">
        <f>C417/(1+I$10)</f>
        <v>0.98224011645438847</v>
      </c>
      <c r="D418" s="23"/>
      <c r="E418" s="1" t="str">
        <f t="shared" ref="E418:E481" si="76">IF($B418&lt;=$I$8,"y","n")</f>
        <v>y</v>
      </c>
    </row>
    <row r="419" spans="2:5">
      <c r="B419" s="6">
        <f t="shared" si="75"/>
        <v>3</v>
      </c>
      <c r="C419" s="23">
        <f>C418/(1+I$10)</f>
        <v>0.97347880718968138</v>
      </c>
      <c r="D419" s="23"/>
      <c r="E419" s="1" t="str">
        <f t="shared" si="76"/>
        <v>y</v>
      </c>
    </row>
    <row r="420" spans="2:5">
      <c r="B420" s="6">
        <f t="shared" si="75"/>
        <v>4</v>
      </c>
      <c r="C420" s="23">
        <f t="shared" ref="C420:C483" si="77">C419/(1+I$10)</f>
        <v>0.96479564637233051</v>
      </c>
      <c r="D420" s="23"/>
      <c r="E420" s="1" t="str">
        <f t="shared" si="76"/>
        <v>y</v>
      </c>
    </row>
    <row r="421" spans="2:5">
      <c r="B421" s="6">
        <f t="shared" si="75"/>
        <v>5</v>
      </c>
      <c r="C421" s="23">
        <f t="shared" si="77"/>
        <v>0.95618993693987175</v>
      </c>
      <c r="D421" s="23"/>
      <c r="E421" s="1" t="str">
        <f t="shared" si="76"/>
        <v>y</v>
      </c>
    </row>
    <row r="422" spans="2:5">
      <c r="B422" s="6">
        <f t="shared" si="75"/>
        <v>6</v>
      </c>
      <c r="C422" s="23">
        <f t="shared" si="77"/>
        <v>0.94766098804744481</v>
      </c>
      <c r="D422" s="23"/>
      <c r="E422" s="1" t="str">
        <f t="shared" si="76"/>
        <v>y</v>
      </c>
    </row>
    <row r="423" spans="2:5">
      <c r="B423" s="6">
        <f t="shared" si="75"/>
        <v>7</v>
      </c>
      <c r="C423" s="23">
        <f>C422/(1+I$10)</f>
        <v>0.93920811501233392</v>
      </c>
      <c r="D423" s="23"/>
      <c r="E423" s="1" t="str">
        <f t="shared" si="76"/>
        <v>y</v>
      </c>
    </row>
    <row r="424" spans="2:5">
      <c r="B424" s="6">
        <f t="shared" si="75"/>
        <v>8</v>
      </c>
      <c r="C424" s="23">
        <f t="shared" si="77"/>
        <v>0.930830639259003</v>
      </c>
      <c r="D424" s="23"/>
      <c r="E424" s="1" t="str">
        <f t="shared" si="76"/>
        <v>y</v>
      </c>
    </row>
    <row r="425" spans="2:5">
      <c r="B425" s="6">
        <f t="shared" si="75"/>
        <v>9</v>
      </c>
      <c r="C425" s="23">
        <f t="shared" si="77"/>
        <v>0.92252788826462151</v>
      </c>
      <c r="D425" s="23"/>
      <c r="E425" s="1" t="str">
        <f t="shared" si="76"/>
        <v>y</v>
      </c>
    </row>
    <row r="426" spans="2:5">
      <c r="B426" s="6">
        <f t="shared" si="75"/>
        <v>10</v>
      </c>
      <c r="C426" s="23">
        <f t="shared" si="77"/>
        <v>0.91429919550507588</v>
      </c>
      <c r="D426" s="23"/>
      <c r="E426" s="1" t="str">
        <f t="shared" si="76"/>
        <v>y</v>
      </c>
    </row>
    <row r="427" spans="2:5">
      <c r="B427" s="6">
        <f t="shared" si="75"/>
        <v>11</v>
      </c>
      <c r="C427" s="23">
        <f t="shared" si="77"/>
        <v>0.90614390040146275</v>
      </c>
      <c r="D427" s="23"/>
      <c r="E427" s="1" t="str">
        <f t="shared" si="76"/>
        <v>y</v>
      </c>
    </row>
    <row r="428" spans="2:5">
      <c r="B428" s="6">
        <f t="shared" si="75"/>
        <v>12</v>
      </c>
      <c r="C428" s="23">
        <f t="shared" si="77"/>
        <v>0.8980613482670593</v>
      </c>
      <c r="D428" s="23"/>
      <c r="E428" s="1" t="str">
        <f t="shared" si="76"/>
        <v>y</v>
      </c>
    </row>
    <row r="429" spans="2:5">
      <c r="B429" s="6">
        <f t="shared" si="75"/>
        <v>13</v>
      </c>
      <c r="C429" s="23">
        <f t="shared" si="77"/>
        <v>0.89005089025476647</v>
      </c>
      <c r="D429" s="23"/>
      <c r="E429" s="1" t="str">
        <f t="shared" si="76"/>
        <v>y</v>
      </c>
    </row>
    <row r="430" spans="2:5">
      <c r="B430" s="6">
        <f t="shared" si="75"/>
        <v>14</v>
      </c>
      <c r="C430" s="23">
        <f t="shared" si="77"/>
        <v>0.88211188330502133</v>
      </c>
      <c r="D430" s="23"/>
      <c r="E430" s="1" t="str">
        <f t="shared" si="76"/>
        <v>y</v>
      </c>
    </row>
    <row r="431" spans="2:5">
      <c r="B431" s="6">
        <f t="shared" si="75"/>
        <v>15</v>
      </c>
      <c r="C431" s="23">
        <f t="shared" si="77"/>
        <v>0.8742436900941738</v>
      </c>
      <c r="D431" s="23"/>
      <c r="E431" s="1" t="str">
        <f t="shared" si="76"/>
        <v>y</v>
      </c>
    </row>
    <row r="432" spans="2:5">
      <c r="B432" s="6">
        <f t="shared" si="75"/>
        <v>16</v>
      </c>
      <c r="C432" s="23">
        <f t="shared" si="77"/>
        <v>0.86644567898332392</v>
      </c>
      <c r="D432" s="23"/>
      <c r="E432" s="1" t="str">
        <f t="shared" si="76"/>
        <v>y</v>
      </c>
    </row>
    <row r="433" spans="2:5">
      <c r="B433" s="6">
        <f t="shared" si="75"/>
        <v>17</v>
      </c>
      <c r="C433" s="23">
        <f t="shared" si="77"/>
        <v>0.85871722396761552</v>
      </c>
      <c r="D433" s="23"/>
      <c r="E433" s="1" t="str">
        <f t="shared" si="76"/>
        <v>y</v>
      </c>
    </row>
    <row r="434" spans="2:5">
      <c r="B434" s="6">
        <f t="shared" si="75"/>
        <v>18</v>
      </c>
      <c r="C434" s="23">
        <f t="shared" si="77"/>
        <v>0.85105770462598174</v>
      </c>
      <c r="D434" s="23"/>
      <c r="E434" s="1" t="str">
        <f t="shared" si="76"/>
        <v>y</v>
      </c>
    </row>
    <row r="435" spans="2:5">
      <c r="B435" s="6">
        <f t="shared" si="75"/>
        <v>19</v>
      </c>
      <c r="C435" s="23">
        <f t="shared" si="77"/>
        <v>0.84346650607133977</v>
      </c>
      <c r="D435" s="23"/>
      <c r="E435" s="1" t="str">
        <f t="shared" si="76"/>
        <v>y</v>
      </c>
    </row>
    <row r="436" spans="2:5">
      <c r="B436" s="6">
        <f t="shared" si="75"/>
        <v>20</v>
      </c>
      <c r="C436" s="23">
        <f t="shared" si="77"/>
        <v>0.8359430189012288</v>
      </c>
      <c r="D436" s="23"/>
      <c r="E436" s="1" t="str">
        <f t="shared" si="76"/>
        <v>y</v>
      </c>
    </row>
    <row r="437" spans="2:5">
      <c r="B437" s="6">
        <f t="shared" si="75"/>
        <v>21</v>
      </c>
      <c r="C437" s="23">
        <f t="shared" si="77"/>
        <v>0.82848663914888887</v>
      </c>
      <c r="D437" s="23"/>
      <c r="E437" s="1" t="str">
        <f t="shared" si="76"/>
        <v>y</v>
      </c>
    </row>
    <row r="438" spans="2:5">
      <c r="B438" s="6">
        <f t="shared" si="75"/>
        <v>22</v>
      </c>
      <c r="C438" s="23">
        <f t="shared" si="77"/>
        <v>0.82109676823477595</v>
      </c>
      <c r="D438" s="23"/>
      <c r="E438" s="1" t="str">
        <f t="shared" si="76"/>
        <v>y</v>
      </c>
    </row>
    <row r="439" spans="2:5">
      <c r="B439" s="6">
        <f t="shared" si="75"/>
        <v>23</v>
      </c>
      <c r="C439" s="23">
        <f t="shared" si="77"/>
        <v>0.81377281291850945</v>
      </c>
      <c r="D439" s="23"/>
      <c r="E439" s="1" t="str">
        <f t="shared" si="76"/>
        <v>y</v>
      </c>
    </row>
    <row r="440" spans="2:5">
      <c r="B440" s="6">
        <f t="shared" si="75"/>
        <v>24</v>
      </c>
      <c r="C440" s="23">
        <f t="shared" si="77"/>
        <v>0.80651418525124829</v>
      </c>
      <c r="D440" s="23"/>
      <c r="E440" s="1" t="str">
        <f t="shared" si="76"/>
        <v>y</v>
      </c>
    </row>
    <row r="441" spans="2:5">
      <c r="B441" s="6">
        <f t="shared" si="75"/>
        <v>25</v>
      </c>
      <c r="C441" s="23">
        <f t="shared" si="77"/>
        <v>0.79932030252849195</v>
      </c>
      <c r="D441" s="23"/>
      <c r="E441" s="1" t="str">
        <f t="shared" si="76"/>
        <v>y</v>
      </c>
    </row>
    <row r="442" spans="2:5">
      <c r="B442" s="6">
        <f t="shared" si="75"/>
        <v>26</v>
      </c>
      <c r="C442" s="23">
        <f t="shared" si="77"/>
        <v>0.79219058724330227</v>
      </c>
      <c r="D442" s="23"/>
      <c r="E442" s="1" t="str">
        <f t="shared" si="76"/>
        <v>y</v>
      </c>
    </row>
    <row r="443" spans="2:5">
      <c r="B443" s="6">
        <f t="shared" si="75"/>
        <v>27</v>
      </c>
      <c r="C443" s="23">
        <f t="shared" si="77"/>
        <v>0.78512446703994287</v>
      </c>
      <c r="D443" s="23"/>
      <c r="E443" s="1" t="str">
        <f t="shared" si="76"/>
        <v>y</v>
      </c>
    </row>
    <row r="444" spans="2:5">
      <c r="B444" s="6">
        <f t="shared" si="75"/>
        <v>28</v>
      </c>
      <c r="C444" s="23">
        <f t="shared" si="77"/>
        <v>0.77812137466793152</v>
      </c>
      <c r="D444" s="23"/>
      <c r="E444" s="1" t="str">
        <f t="shared" si="76"/>
        <v>y</v>
      </c>
    </row>
    <row r="445" spans="2:5">
      <c r="B445" s="6">
        <f t="shared" si="75"/>
        <v>29</v>
      </c>
      <c r="C445" s="23">
        <f t="shared" si="77"/>
        <v>0.77118074793650304</v>
      </c>
      <c r="D445" s="23"/>
      <c r="E445" s="1" t="str">
        <f t="shared" si="76"/>
        <v>y</v>
      </c>
    </row>
    <row r="446" spans="2:5">
      <c r="B446" s="6">
        <f t="shared" si="75"/>
        <v>30</v>
      </c>
      <c r="C446" s="23">
        <f t="shared" si="77"/>
        <v>0.7643020296694778</v>
      </c>
      <c r="D446" s="23"/>
      <c r="E446" s="1" t="str">
        <f t="shared" si="76"/>
        <v>y</v>
      </c>
    </row>
    <row r="447" spans="2:5">
      <c r="B447" s="6">
        <f t="shared" si="75"/>
        <v>31</v>
      </c>
      <c r="C447" s="23">
        <f t="shared" si="77"/>
        <v>0.75748466766053313</v>
      </c>
      <c r="D447" s="23"/>
      <c r="E447" s="1" t="str">
        <f t="shared" si="76"/>
        <v>y</v>
      </c>
    </row>
    <row r="448" spans="2:5">
      <c r="B448" s="6">
        <f t="shared" si="75"/>
        <v>32</v>
      </c>
      <c r="C448" s="23">
        <f t="shared" si="77"/>
        <v>0.75072811462887334</v>
      </c>
      <c r="D448" s="23"/>
      <c r="E448" s="1" t="str">
        <f t="shared" si="76"/>
        <v>y</v>
      </c>
    </row>
    <row r="449" spans="2:5">
      <c r="B449" s="6">
        <f t="shared" si="75"/>
        <v>33</v>
      </c>
      <c r="C449" s="23">
        <f t="shared" si="77"/>
        <v>0.74403182817529578</v>
      </c>
      <c r="D449" s="23"/>
      <c r="E449" s="1" t="str">
        <f t="shared" si="76"/>
        <v>y</v>
      </c>
    </row>
    <row r="450" spans="2:5">
      <c r="B450" s="6">
        <f t="shared" si="75"/>
        <v>34</v>
      </c>
      <c r="C450" s="23">
        <f t="shared" si="77"/>
        <v>0.73739527073864808</v>
      </c>
      <c r="D450" s="23"/>
      <c r="E450" s="1" t="str">
        <f t="shared" si="76"/>
        <v>y</v>
      </c>
    </row>
    <row r="451" spans="2:5">
      <c r="B451" s="6">
        <f t="shared" si="75"/>
        <v>35</v>
      </c>
      <c r="C451" s="23">
        <f t="shared" si="77"/>
        <v>0.73081790955267412</v>
      </c>
      <c r="D451" s="23"/>
      <c r="E451" s="1" t="str">
        <f t="shared" si="76"/>
        <v>y</v>
      </c>
    </row>
    <row r="452" spans="2:5">
      <c r="B452" s="6">
        <f t="shared" si="75"/>
        <v>36</v>
      </c>
      <c r="C452" s="23">
        <f t="shared" si="77"/>
        <v>0.72429921660324503</v>
      </c>
      <c r="D452" s="23"/>
      <c r="E452" s="1" t="str">
        <f t="shared" si="76"/>
        <v>y</v>
      </c>
    </row>
    <row r="453" spans="2:5">
      <c r="B453" s="6">
        <f t="shared" si="75"/>
        <v>37</v>
      </c>
      <c r="C453" s="23">
        <f t="shared" si="77"/>
        <v>0.71783866858597134</v>
      </c>
      <c r="D453" s="23"/>
      <c r="E453" s="1" t="str">
        <f t="shared" si="76"/>
        <v>y</v>
      </c>
    </row>
    <row r="454" spans="2:5">
      <c r="B454" s="6">
        <f t="shared" si="75"/>
        <v>38</v>
      </c>
      <c r="C454" s="23">
        <f t="shared" si="77"/>
        <v>0.71143574686419364</v>
      </c>
      <c r="D454" s="23"/>
      <c r="E454" s="1" t="str">
        <f t="shared" si="76"/>
        <v>y</v>
      </c>
    </row>
    <row r="455" spans="2:5">
      <c r="B455" s="6">
        <f t="shared" si="75"/>
        <v>39</v>
      </c>
      <c r="C455" s="23">
        <f t="shared" si="77"/>
        <v>0.7050899374273476</v>
      </c>
      <c r="D455" s="23"/>
      <c r="E455" s="1" t="str">
        <f t="shared" si="76"/>
        <v>y</v>
      </c>
    </row>
    <row r="456" spans="2:5">
      <c r="B456" s="6">
        <f t="shared" si="75"/>
        <v>40</v>
      </c>
      <c r="C456" s="23">
        <f t="shared" si="77"/>
        <v>0.6988007308497004</v>
      </c>
      <c r="D456" s="23"/>
      <c r="E456" s="1" t="str">
        <f t="shared" si="76"/>
        <v>y</v>
      </c>
    </row>
    <row r="457" spans="2:5">
      <c r="B457" s="6">
        <f t="shared" si="75"/>
        <v>41</v>
      </c>
      <c r="C457" s="23">
        <f t="shared" si="77"/>
        <v>0.69256762224945534</v>
      </c>
      <c r="D457" s="23"/>
      <c r="E457" s="1" t="str">
        <f t="shared" si="76"/>
        <v>y</v>
      </c>
    </row>
    <row r="458" spans="2:5">
      <c r="B458" s="6">
        <f t="shared" si="75"/>
        <v>42</v>
      </c>
      <c r="C458" s="23">
        <f t="shared" si="77"/>
        <v>0.68639011124822147</v>
      </c>
      <c r="D458" s="23"/>
      <c r="E458" s="1" t="str">
        <f t="shared" si="76"/>
        <v>y</v>
      </c>
    </row>
    <row r="459" spans="2:5">
      <c r="B459" s="6">
        <f t="shared" si="75"/>
        <v>43</v>
      </c>
      <c r="C459" s="23">
        <f t="shared" si="77"/>
        <v>0.68026770193084396</v>
      </c>
      <c r="D459" s="23"/>
      <c r="E459" s="1" t="str">
        <f t="shared" si="76"/>
        <v>y</v>
      </c>
    </row>
    <row r="460" spans="2:5">
      <c r="B460" s="6">
        <f t="shared" si="75"/>
        <v>44</v>
      </c>
      <c r="C460" s="23">
        <f t="shared" si="77"/>
        <v>0.67419990280559372</v>
      </c>
      <c r="D460" s="23"/>
      <c r="E460" s="1" t="str">
        <f t="shared" si="76"/>
        <v>y</v>
      </c>
    </row>
    <row r="461" spans="2:5">
      <c r="B461" s="6">
        <f t="shared" si="75"/>
        <v>45</v>
      </c>
      <c r="C461" s="23">
        <f t="shared" si="77"/>
        <v>0.6681862267647114</v>
      </c>
      <c r="D461" s="23"/>
      <c r="E461" s="1" t="str">
        <f t="shared" si="76"/>
        <v>y</v>
      </c>
    </row>
    <row r="462" spans="2:5">
      <c r="B462" s="6">
        <f t="shared" si="75"/>
        <v>46</v>
      </c>
      <c r="C462" s="23">
        <f t="shared" si="77"/>
        <v>0.66222619104530378</v>
      </c>
      <c r="D462" s="23"/>
      <c r="E462" s="1" t="str">
        <f t="shared" si="76"/>
        <v>y</v>
      </c>
    </row>
    <row r="463" spans="2:5">
      <c r="B463" s="6">
        <f t="shared" si="75"/>
        <v>47</v>
      </c>
      <c r="C463" s="23">
        <f t="shared" si="77"/>
        <v>0.65631931719058856</v>
      </c>
      <c r="D463" s="23"/>
      <c r="E463" s="1" t="str">
        <f t="shared" si="76"/>
        <v>y</v>
      </c>
    </row>
    <row r="464" spans="2:5">
      <c r="B464" s="6">
        <f t="shared" si="75"/>
        <v>48</v>
      </c>
      <c r="C464" s="23">
        <f t="shared" si="77"/>
        <v>0.65046513101148529</v>
      </c>
      <c r="D464" s="23"/>
      <c r="E464" s="1" t="str">
        <f t="shared" si="76"/>
        <v>y</v>
      </c>
    </row>
    <row r="465" spans="2:5">
      <c r="B465" s="6">
        <f t="shared" si="75"/>
        <v>49</v>
      </c>
      <c r="C465" s="23">
        <f t="shared" si="77"/>
        <v>0.64466316254854839</v>
      </c>
      <c r="D465" s="23"/>
      <c r="E465" s="1" t="str">
        <f t="shared" si="76"/>
        <v>n</v>
      </c>
    </row>
    <row r="466" spans="2:5">
      <c r="B466" s="6">
        <f t="shared" si="75"/>
        <v>50</v>
      </c>
      <c r="C466" s="23">
        <f t="shared" si="77"/>
        <v>0.63891294603424031</v>
      </c>
      <c r="D466" s="23"/>
      <c r="E466" s="1" t="str">
        <f t="shared" si="76"/>
        <v>n</v>
      </c>
    </row>
    <row r="467" spans="2:5">
      <c r="B467" s="6">
        <f t="shared" si="75"/>
        <v>51</v>
      </c>
      <c r="C467" s="23">
        <f t="shared" si="77"/>
        <v>0.63321401985554049</v>
      </c>
      <c r="D467" s="23"/>
      <c r="E467" s="1" t="str">
        <f t="shared" si="76"/>
        <v>n</v>
      </c>
    </row>
    <row r="468" spans="2:5">
      <c r="B468" s="6">
        <f t="shared" si="75"/>
        <v>52</v>
      </c>
      <c r="C468" s="23">
        <f t="shared" si="77"/>
        <v>0.62756592651688858</v>
      </c>
      <c r="D468" s="23"/>
      <c r="E468" s="1" t="str">
        <f t="shared" si="76"/>
        <v>n</v>
      </c>
    </row>
    <row r="469" spans="2:5">
      <c r="B469" s="6">
        <f t="shared" si="75"/>
        <v>53</v>
      </c>
      <c r="C469" s="23">
        <f t="shared" si="77"/>
        <v>0.62196821260345758</v>
      </c>
      <c r="D469" s="23"/>
      <c r="E469" s="1" t="str">
        <f t="shared" si="76"/>
        <v>n</v>
      </c>
    </row>
    <row r="470" spans="2:5">
      <c r="B470" s="6">
        <f t="shared" si="75"/>
        <v>54</v>
      </c>
      <c r="C470" s="23">
        <f t="shared" si="77"/>
        <v>0.61642042874475489</v>
      </c>
      <c r="D470" s="23"/>
      <c r="E470" s="1" t="str">
        <f t="shared" si="76"/>
        <v>n</v>
      </c>
    </row>
    <row r="471" spans="2:5">
      <c r="B471" s="6">
        <f t="shared" si="75"/>
        <v>55</v>
      </c>
      <c r="C471" s="23">
        <f t="shared" si="77"/>
        <v>0.61092212957854797</v>
      </c>
      <c r="D471" s="23"/>
      <c r="E471" s="1" t="str">
        <f t="shared" si="76"/>
        <v>n</v>
      </c>
    </row>
    <row r="472" spans="2:5">
      <c r="B472" s="6">
        <f t="shared" si="75"/>
        <v>56</v>
      </c>
      <c r="C472" s="23">
        <f t="shared" si="77"/>
        <v>0.60547287371511205</v>
      </c>
      <c r="D472" s="23"/>
      <c r="E472" s="1" t="str">
        <f t="shared" si="76"/>
        <v>n</v>
      </c>
    </row>
    <row r="473" spans="2:5">
      <c r="B473" s="6">
        <f t="shared" si="75"/>
        <v>57</v>
      </c>
      <c r="C473" s="23">
        <f t="shared" si="77"/>
        <v>0.60007222370179591</v>
      </c>
      <c r="D473" s="23"/>
      <c r="E473" s="1" t="str">
        <f t="shared" si="76"/>
        <v>n</v>
      </c>
    </row>
    <row r="474" spans="2:5">
      <c r="B474" s="6">
        <f t="shared" si="75"/>
        <v>58</v>
      </c>
      <c r="C474" s="23">
        <f t="shared" si="77"/>
        <v>0.59471974598790478</v>
      </c>
      <c r="D474" s="23"/>
      <c r="E474" s="1" t="str">
        <f t="shared" si="76"/>
        <v>n</v>
      </c>
    </row>
    <row r="475" spans="2:5">
      <c r="B475" s="6">
        <f t="shared" si="75"/>
        <v>59</v>
      </c>
      <c r="C475" s="23">
        <f t="shared" si="77"/>
        <v>0.58941501088989579</v>
      </c>
      <c r="D475" s="23"/>
      <c r="E475" s="1" t="str">
        <f t="shared" si="76"/>
        <v>n</v>
      </c>
    </row>
    <row r="476" spans="2:5">
      <c r="B476" s="6">
        <f t="shared" si="75"/>
        <v>60</v>
      </c>
      <c r="C476" s="23">
        <f t="shared" si="77"/>
        <v>0.58415759255688393</v>
      </c>
      <c r="D476" s="23"/>
      <c r="E476" s="1" t="str">
        <f t="shared" si="76"/>
        <v>n</v>
      </c>
    </row>
    <row r="477" spans="2:5">
      <c r="B477" s="6">
        <f t="shared" si="75"/>
        <v>61</v>
      </c>
      <c r="C477" s="23">
        <f t="shared" si="77"/>
        <v>0.57894706893645587</v>
      </c>
      <c r="D477" s="23"/>
      <c r="E477" s="1" t="str">
        <f t="shared" si="76"/>
        <v>n</v>
      </c>
    </row>
    <row r="478" spans="2:5">
      <c r="B478" s="6">
        <f t="shared" si="75"/>
        <v>62</v>
      </c>
      <c r="C478" s="23">
        <f t="shared" si="77"/>
        <v>0.57378302174078888</v>
      </c>
      <c r="D478" s="23"/>
      <c r="E478" s="1" t="str">
        <f t="shared" si="76"/>
        <v>n</v>
      </c>
    </row>
    <row r="479" spans="2:5">
      <c r="B479" s="6">
        <f t="shared" si="75"/>
        <v>63</v>
      </c>
      <c r="C479" s="23">
        <f t="shared" si="77"/>
        <v>0.56866503641307131</v>
      </c>
      <c r="D479" s="23"/>
      <c r="E479" s="1" t="str">
        <f t="shared" si="76"/>
        <v>n</v>
      </c>
    </row>
    <row r="480" spans="2:5">
      <c r="B480" s="6">
        <f t="shared" si="75"/>
        <v>64</v>
      </c>
      <c r="C480" s="23">
        <f t="shared" si="77"/>
        <v>0.56359270209422341</v>
      </c>
      <c r="D480" s="23"/>
      <c r="E480" s="1" t="str">
        <f t="shared" si="76"/>
        <v>n</v>
      </c>
    </row>
    <row r="481" spans="2:5">
      <c r="B481" s="6">
        <f t="shared" si="75"/>
        <v>65</v>
      </c>
      <c r="C481" s="23">
        <f t="shared" si="77"/>
        <v>0.55856561158991425</v>
      </c>
      <c r="D481" s="23"/>
      <c r="E481" s="1" t="str">
        <f t="shared" si="76"/>
        <v>n</v>
      </c>
    </row>
    <row r="482" spans="2:5">
      <c r="B482" s="6">
        <f t="shared" ref="B482:B545" si="78">B481+1</f>
        <v>66</v>
      </c>
      <c r="C482" s="23">
        <f t="shared" si="77"/>
        <v>0.55358336133787345</v>
      </c>
      <c r="D482" s="23"/>
      <c r="E482" s="1" t="str">
        <f t="shared" ref="E482:E545" si="79">IF($B482&lt;=$I$8,"y","n")</f>
        <v>n</v>
      </c>
    </row>
    <row r="483" spans="2:5">
      <c r="B483" s="6">
        <f t="shared" si="78"/>
        <v>67</v>
      </c>
      <c r="C483" s="23">
        <f t="shared" si="77"/>
        <v>0.54864555137549409</v>
      </c>
      <c r="D483" s="23"/>
      <c r="E483" s="1" t="str">
        <f t="shared" si="79"/>
        <v>n</v>
      </c>
    </row>
    <row r="484" spans="2:5">
      <c r="B484" s="6">
        <f t="shared" si="78"/>
        <v>68</v>
      </c>
      <c r="C484" s="23">
        <f t="shared" ref="C484:C547" si="80">C483/(1+I$10)</f>
        <v>0.54375178530772461</v>
      </c>
      <c r="D484" s="23"/>
      <c r="E484" s="1" t="str">
        <f t="shared" si="79"/>
        <v>n</v>
      </c>
    </row>
    <row r="485" spans="2:5">
      <c r="B485" s="6">
        <f t="shared" si="78"/>
        <v>69</v>
      </c>
      <c r="C485" s="23">
        <f t="shared" si="80"/>
        <v>0.53890167027524749</v>
      </c>
      <c r="D485" s="23"/>
      <c r="E485" s="1" t="str">
        <f t="shared" si="79"/>
        <v>n</v>
      </c>
    </row>
    <row r="486" spans="2:5">
      <c r="B486" s="6">
        <f t="shared" si="78"/>
        <v>70</v>
      </c>
      <c r="C486" s="23">
        <f t="shared" si="80"/>
        <v>0.53409481692294103</v>
      </c>
      <c r="D486" s="23"/>
      <c r="E486" s="1" t="str">
        <f t="shared" si="79"/>
        <v>n</v>
      </c>
    </row>
    <row r="487" spans="2:5">
      <c r="B487" s="6">
        <f t="shared" si="78"/>
        <v>71</v>
      </c>
      <c r="C487" s="23">
        <f t="shared" si="80"/>
        <v>0.52933083936862346</v>
      </c>
      <c r="D487" s="23"/>
      <c r="E487" s="1" t="str">
        <f t="shared" si="79"/>
        <v>n</v>
      </c>
    </row>
    <row r="488" spans="2:5">
      <c r="B488" s="6">
        <f t="shared" si="78"/>
        <v>72</v>
      </c>
      <c r="C488" s="23">
        <f t="shared" si="80"/>
        <v>0.52460935517207485</v>
      </c>
      <c r="D488" s="23"/>
      <c r="E488" s="1" t="str">
        <f t="shared" si="79"/>
        <v>n</v>
      </c>
    </row>
    <row r="489" spans="2:5">
      <c r="B489" s="6">
        <f t="shared" si="78"/>
        <v>73</v>
      </c>
      <c r="C489" s="23">
        <f t="shared" si="80"/>
        <v>0.51992998530433587</v>
      </c>
      <c r="D489" s="23"/>
      <c r="E489" s="1" t="str">
        <f t="shared" si="79"/>
        <v>n</v>
      </c>
    </row>
    <row r="490" spans="2:5">
      <c r="B490" s="6">
        <f t="shared" si="78"/>
        <v>74</v>
      </c>
      <c r="C490" s="23">
        <f t="shared" si="80"/>
        <v>0.51529235411728036</v>
      </c>
      <c r="D490" s="23"/>
      <c r="E490" s="1" t="str">
        <f t="shared" si="79"/>
        <v>n</v>
      </c>
    </row>
    <row r="491" spans="2:5">
      <c r="B491" s="6">
        <f t="shared" si="78"/>
        <v>75</v>
      </c>
      <c r="C491" s="23">
        <f t="shared" si="80"/>
        <v>0.51069608931345933</v>
      </c>
      <c r="D491" s="23"/>
      <c r="E491" s="1" t="str">
        <f t="shared" si="79"/>
        <v>n</v>
      </c>
    </row>
    <row r="492" spans="2:5">
      <c r="B492" s="6">
        <f t="shared" si="78"/>
        <v>76</v>
      </c>
      <c r="C492" s="23">
        <f t="shared" si="80"/>
        <v>0.50614082191621346</v>
      </c>
      <c r="D492" s="23"/>
      <c r="E492" s="1" t="str">
        <f t="shared" si="79"/>
        <v>n</v>
      </c>
    </row>
    <row r="493" spans="2:5">
      <c r="B493" s="6">
        <f t="shared" si="78"/>
        <v>77</v>
      </c>
      <c r="C493" s="23">
        <f t="shared" si="80"/>
        <v>0.50162618624005306</v>
      </c>
      <c r="D493" s="23"/>
      <c r="E493" s="1" t="str">
        <f t="shared" si="79"/>
        <v>n</v>
      </c>
    </row>
    <row r="494" spans="2:5">
      <c r="B494" s="6">
        <f t="shared" si="78"/>
        <v>78</v>
      </c>
      <c r="C494" s="23">
        <f t="shared" si="80"/>
        <v>0.49715181986130141</v>
      </c>
      <c r="D494" s="23"/>
      <c r="E494" s="1" t="str">
        <f t="shared" si="79"/>
        <v>n</v>
      </c>
    </row>
    <row r="495" spans="2:5">
      <c r="B495" s="6">
        <f t="shared" si="78"/>
        <v>79</v>
      </c>
      <c r="C495" s="23">
        <f t="shared" si="80"/>
        <v>0.49271736358900048</v>
      </c>
      <c r="D495" s="23"/>
      <c r="E495" s="1" t="str">
        <f t="shared" si="79"/>
        <v>n</v>
      </c>
    </row>
    <row r="496" spans="2:5">
      <c r="B496" s="6">
        <f t="shared" si="78"/>
        <v>80</v>
      </c>
      <c r="C496" s="23">
        <f t="shared" si="80"/>
        <v>0.48832246143607583</v>
      </c>
      <c r="D496" s="23"/>
      <c r="E496" s="1" t="str">
        <f t="shared" si="79"/>
        <v>n</v>
      </c>
    </row>
    <row r="497" spans="2:5">
      <c r="B497" s="6">
        <f t="shared" si="78"/>
        <v>81</v>
      </c>
      <c r="C497" s="23">
        <f t="shared" si="80"/>
        <v>0.48396676059075905</v>
      </c>
      <c r="D497" s="23"/>
      <c r="E497" s="1" t="str">
        <f t="shared" si="79"/>
        <v>n</v>
      </c>
    </row>
    <row r="498" spans="2:5">
      <c r="B498" s="6">
        <f t="shared" si="78"/>
        <v>82</v>
      </c>
      <c r="C498" s="23">
        <f t="shared" si="80"/>
        <v>0.47964991138826474</v>
      </c>
      <c r="D498" s="23"/>
      <c r="E498" s="1" t="str">
        <f t="shared" si="79"/>
        <v>n</v>
      </c>
    </row>
    <row r="499" spans="2:5">
      <c r="B499" s="6">
        <f t="shared" si="78"/>
        <v>83</v>
      </c>
      <c r="C499" s="23">
        <f t="shared" si="80"/>
        <v>0.47537156728272029</v>
      </c>
      <c r="D499" s="23"/>
      <c r="E499" s="1" t="str">
        <f t="shared" si="79"/>
        <v>n</v>
      </c>
    </row>
    <row r="500" spans="2:5">
      <c r="B500" s="6">
        <f t="shared" si="78"/>
        <v>84</v>
      </c>
      <c r="C500" s="23">
        <f t="shared" si="80"/>
        <v>0.47113138481934624</v>
      </c>
      <c r="D500" s="23"/>
      <c r="E500" s="1" t="str">
        <f t="shared" si="79"/>
        <v>n</v>
      </c>
    </row>
    <row r="501" spans="2:5">
      <c r="B501" s="6">
        <f t="shared" si="78"/>
        <v>85</v>
      </c>
      <c r="C501" s="23">
        <f t="shared" si="80"/>
        <v>0.46692902360688432</v>
      </c>
      <c r="D501" s="23"/>
      <c r="E501" s="1" t="str">
        <f t="shared" si="79"/>
        <v>n</v>
      </c>
    </row>
    <row r="502" spans="2:5">
      <c r="B502" s="6">
        <f t="shared" si="78"/>
        <v>86</v>
      </c>
      <c r="C502" s="23">
        <f t="shared" si="80"/>
        <v>0.4627641462902719</v>
      </c>
      <c r="D502" s="23"/>
      <c r="E502" s="1" t="str">
        <f t="shared" si="79"/>
        <v>n</v>
      </c>
    </row>
    <row r="503" spans="2:5">
      <c r="B503" s="6">
        <f t="shared" si="78"/>
        <v>87</v>
      </c>
      <c r="C503" s="23">
        <f t="shared" si="80"/>
        <v>0.45863641852355991</v>
      </c>
      <c r="D503" s="23"/>
      <c r="E503" s="1" t="str">
        <f t="shared" si="79"/>
        <v>n</v>
      </c>
    </row>
    <row r="504" spans="2:5">
      <c r="B504" s="6">
        <f t="shared" si="78"/>
        <v>88</v>
      </c>
      <c r="C504" s="23">
        <f t="shared" si="80"/>
        <v>0.45454550894307233</v>
      </c>
      <c r="D504" s="23"/>
      <c r="E504" s="1" t="str">
        <f t="shared" si="79"/>
        <v>n</v>
      </c>
    </row>
    <row r="505" spans="2:5">
      <c r="B505" s="6">
        <f t="shared" si="78"/>
        <v>89</v>
      </c>
      <c r="C505" s="23">
        <f t="shared" si="80"/>
        <v>0.45049108914080516</v>
      </c>
      <c r="D505" s="23"/>
      <c r="E505" s="1" t="str">
        <f t="shared" si="79"/>
        <v>n</v>
      </c>
    </row>
    <row r="506" spans="2:5">
      <c r="B506" s="6">
        <f t="shared" si="78"/>
        <v>90</v>
      </c>
      <c r="C506" s="23">
        <f t="shared" si="80"/>
        <v>0.44647283363806262</v>
      </c>
      <c r="D506" s="23"/>
      <c r="E506" s="1" t="str">
        <f t="shared" si="79"/>
        <v>n</v>
      </c>
    </row>
    <row r="507" spans="2:5">
      <c r="B507" s="6">
        <f t="shared" si="78"/>
        <v>91</v>
      </c>
      <c r="C507" s="23">
        <f t="shared" si="80"/>
        <v>0.44249041985932869</v>
      </c>
      <c r="D507" s="23"/>
      <c r="E507" s="1" t="str">
        <f t="shared" si="79"/>
        <v>n</v>
      </c>
    </row>
    <row r="508" spans="2:5">
      <c r="B508" s="6">
        <f t="shared" si="78"/>
        <v>92</v>
      </c>
      <c r="C508" s="23">
        <f t="shared" si="80"/>
        <v>0.43854352810637137</v>
      </c>
      <c r="D508" s="23"/>
      <c r="E508" s="1" t="str">
        <f t="shared" si="79"/>
        <v>n</v>
      </c>
    </row>
    <row r="509" spans="2:5">
      <c r="B509" s="6">
        <f t="shared" si="78"/>
        <v>93</v>
      </c>
      <c r="C509" s="23">
        <f t="shared" si="80"/>
        <v>0.43463184153257822</v>
      </c>
      <c r="D509" s="23"/>
      <c r="E509" s="1" t="str">
        <f t="shared" si="79"/>
        <v>n</v>
      </c>
    </row>
    <row r="510" spans="2:5">
      <c r="B510" s="6">
        <f t="shared" si="78"/>
        <v>94</v>
      </c>
      <c r="C510" s="23">
        <f t="shared" si="80"/>
        <v>0.43075504611752058</v>
      </c>
      <c r="D510" s="23"/>
      <c r="E510" s="1" t="str">
        <f t="shared" si="79"/>
        <v>n</v>
      </c>
    </row>
    <row r="511" spans="2:5">
      <c r="B511" s="6">
        <f t="shared" si="78"/>
        <v>95</v>
      </c>
      <c r="C511" s="23">
        <f t="shared" si="80"/>
        <v>0.4269128306417449</v>
      </c>
      <c r="D511" s="23"/>
      <c r="E511" s="1" t="str">
        <f t="shared" si="79"/>
        <v>n</v>
      </c>
    </row>
    <row r="512" spans="2:5">
      <c r="B512" s="6">
        <f t="shared" si="78"/>
        <v>96</v>
      </c>
      <c r="C512" s="23">
        <f t="shared" si="80"/>
        <v>0.42310488666178886</v>
      </c>
      <c r="D512" s="23"/>
      <c r="E512" s="1" t="str">
        <f t="shared" si="79"/>
        <v>n</v>
      </c>
    </row>
    <row r="513" spans="2:5">
      <c r="B513" s="6">
        <f t="shared" si="78"/>
        <v>97</v>
      </c>
      <c r="C513" s="23">
        <f t="shared" si="80"/>
        <v>0.4193309084854201</v>
      </c>
      <c r="D513" s="23"/>
      <c r="E513" s="1" t="str">
        <f t="shared" si="79"/>
        <v>n</v>
      </c>
    </row>
    <row r="514" spans="2:5">
      <c r="B514" s="6">
        <f t="shared" si="78"/>
        <v>98</v>
      </c>
      <c r="C514" s="23">
        <f t="shared" si="80"/>
        <v>0.41559059314709629</v>
      </c>
      <c r="D514" s="23"/>
      <c r="E514" s="1" t="str">
        <f t="shared" si="79"/>
        <v>n</v>
      </c>
    </row>
    <row r="515" spans="2:5">
      <c r="B515" s="6">
        <f t="shared" si="78"/>
        <v>99</v>
      </c>
      <c r="C515" s="23">
        <f t="shared" si="80"/>
        <v>0.41188364038364356</v>
      </c>
      <c r="D515" s="23"/>
      <c r="E515" s="1" t="str">
        <f t="shared" si="79"/>
        <v>n</v>
      </c>
    </row>
    <row r="516" spans="2:5">
      <c r="B516" s="6">
        <f t="shared" si="78"/>
        <v>100</v>
      </c>
      <c r="C516" s="23">
        <f t="shared" si="80"/>
        <v>0.40820975261015224</v>
      </c>
      <c r="D516" s="23"/>
      <c r="E516" s="1" t="str">
        <f t="shared" si="79"/>
        <v>n</v>
      </c>
    </row>
    <row r="517" spans="2:5">
      <c r="B517" s="6">
        <f t="shared" si="78"/>
        <v>101</v>
      </c>
      <c r="C517" s="23">
        <f t="shared" si="80"/>
        <v>0.40456863489608752</v>
      </c>
      <c r="D517" s="23"/>
      <c r="E517" s="1" t="str">
        <f t="shared" si="79"/>
        <v>n</v>
      </c>
    </row>
    <row r="518" spans="2:5">
      <c r="B518" s="6">
        <f t="shared" si="78"/>
        <v>102</v>
      </c>
      <c r="C518" s="23">
        <f t="shared" si="80"/>
        <v>0.40095999494161305</v>
      </c>
      <c r="D518" s="23"/>
      <c r="E518" s="1" t="str">
        <f t="shared" si="79"/>
        <v>n</v>
      </c>
    </row>
    <row r="519" spans="2:5">
      <c r="B519" s="6">
        <f t="shared" si="78"/>
        <v>103</v>
      </c>
      <c r="C519" s="23">
        <f t="shared" si="80"/>
        <v>0.39738354305412593</v>
      </c>
      <c r="D519" s="23"/>
      <c r="E519" s="1" t="str">
        <f t="shared" si="79"/>
        <v>n</v>
      </c>
    </row>
    <row r="520" spans="2:5">
      <c r="B520" s="6">
        <f t="shared" si="78"/>
        <v>104</v>
      </c>
      <c r="C520" s="23">
        <f t="shared" si="80"/>
        <v>0.39383899212500095</v>
      </c>
      <c r="D520" s="23"/>
      <c r="E520" s="1" t="str">
        <f t="shared" si="79"/>
        <v>n</v>
      </c>
    </row>
    <row r="521" spans="2:5">
      <c r="B521" s="6">
        <f t="shared" si="78"/>
        <v>105</v>
      </c>
      <c r="C521" s="23">
        <f t="shared" si="80"/>
        <v>0.3903260576065421</v>
      </c>
      <c r="D521" s="23"/>
      <c r="E521" s="1" t="str">
        <f t="shared" si="79"/>
        <v>n</v>
      </c>
    </row>
    <row r="522" spans="2:5">
      <c r="B522" s="6">
        <f t="shared" si="78"/>
        <v>106</v>
      </c>
      <c r="C522" s="23">
        <f t="shared" si="80"/>
        <v>0.38684445748913987</v>
      </c>
      <c r="D522" s="23"/>
      <c r="E522" s="1" t="str">
        <f t="shared" si="79"/>
        <v>n</v>
      </c>
    </row>
    <row r="523" spans="2:5">
      <c r="B523" s="6">
        <f t="shared" si="78"/>
        <v>107</v>
      </c>
      <c r="C523" s="23">
        <f t="shared" si="80"/>
        <v>0.38339391227863223</v>
      </c>
      <c r="D523" s="23"/>
      <c r="E523" s="1" t="str">
        <f t="shared" si="79"/>
        <v>n</v>
      </c>
    </row>
    <row r="524" spans="2:5">
      <c r="B524" s="6">
        <f t="shared" si="78"/>
        <v>108</v>
      </c>
      <c r="C524" s="23">
        <f t="shared" si="80"/>
        <v>0.37997414497386744</v>
      </c>
      <c r="D524" s="23"/>
      <c r="E524" s="1" t="str">
        <f t="shared" si="79"/>
        <v>n</v>
      </c>
    </row>
    <row r="525" spans="2:5">
      <c r="B525" s="6">
        <f t="shared" si="78"/>
        <v>109</v>
      </c>
      <c r="C525" s="23">
        <f t="shared" si="80"/>
        <v>0.3765848810444673</v>
      </c>
      <c r="D525" s="23"/>
      <c r="E525" s="1" t="str">
        <f t="shared" si="79"/>
        <v>n</v>
      </c>
    </row>
    <row r="526" spans="2:5">
      <c r="B526" s="6">
        <f t="shared" si="78"/>
        <v>110</v>
      </c>
      <c r="C526" s="23">
        <f t="shared" si="80"/>
        <v>0.37322584840878825</v>
      </c>
      <c r="D526" s="23"/>
      <c r="E526" s="1" t="str">
        <f t="shared" si="79"/>
        <v>n</v>
      </c>
    </row>
    <row r="527" spans="2:5">
      <c r="B527" s="6">
        <f t="shared" si="78"/>
        <v>111</v>
      </c>
      <c r="C527" s="23">
        <f t="shared" si="80"/>
        <v>0.36989677741207955</v>
      </c>
      <c r="D527" s="23"/>
      <c r="E527" s="1" t="str">
        <f t="shared" si="79"/>
        <v>n</v>
      </c>
    </row>
    <row r="528" spans="2:5">
      <c r="B528" s="6">
        <f t="shared" si="78"/>
        <v>112</v>
      </c>
      <c r="C528" s="23">
        <f t="shared" si="80"/>
        <v>0.36659740080483605</v>
      </c>
      <c r="D528" s="23"/>
      <c r="E528" s="1" t="str">
        <f t="shared" si="79"/>
        <v>n</v>
      </c>
    </row>
    <row r="529" spans="2:5">
      <c r="B529" s="6">
        <f t="shared" si="78"/>
        <v>113</v>
      </c>
      <c r="C529" s="23">
        <f t="shared" si="80"/>
        <v>0.36332745372134401</v>
      </c>
      <c r="D529" s="23"/>
      <c r="E529" s="1" t="str">
        <f t="shared" si="79"/>
        <v>n</v>
      </c>
    </row>
    <row r="530" spans="2:5">
      <c r="B530" s="6">
        <f t="shared" si="78"/>
        <v>114</v>
      </c>
      <c r="C530" s="23">
        <f t="shared" si="80"/>
        <v>0.36008667365841829</v>
      </c>
      <c r="D530" s="23"/>
      <c r="E530" s="1" t="str">
        <f t="shared" si="79"/>
        <v>n</v>
      </c>
    </row>
    <row r="531" spans="2:5">
      <c r="B531" s="6">
        <f t="shared" si="78"/>
        <v>115</v>
      </c>
      <c r="C531" s="23">
        <f t="shared" si="80"/>
        <v>0.35687480045432934</v>
      </c>
      <c r="D531" s="23"/>
      <c r="E531" s="1" t="str">
        <f t="shared" si="79"/>
        <v>n</v>
      </c>
    </row>
    <row r="532" spans="2:5">
      <c r="B532" s="6">
        <f t="shared" si="78"/>
        <v>116</v>
      </c>
      <c r="C532" s="23">
        <f t="shared" si="80"/>
        <v>0.35369157626791814</v>
      </c>
      <c r="D532" s="23"/>
      <c r="E532" s="1" t="str">
        <f t="shared" si="79"/>
        <v>n</v>
      </c>
    </row>
    <row r="533" spans="2:5">
      <c r="B533" s="6">
        <f t="shared" si="78"/>
        <v>117</v>
      </c>
      <c r="C533" s="23">
        <f t="shared" si="80"/>
        <v>0.3505367455578971</v>
      </c>
      <c r="D533" s="23"/>
      <c r="E533" s="1" t="str">
        <f t="shared" si="79"/>
        <v>n</v>
      </c>
    </row>
    <row r="534" spans="2:5">
      <c r="B534" s="6">
        <f t="shared" si="78"/>
        <v>118</v>
      </c>
      <c r="C534" s="23">
        <f t="shared" si="80"/>
        <v>0.34741005506233613</v>
      </c>
      <c r="D534" s="23"/>
      <c r="E534" s="1" t="str">
        <f t="shared" si="79"/>
        <v>n</v>
      </c>
    </row>
    <row r="535" spans="2:5">
      <c r="B535" s="6">
        <f t="shared" si="78"/>
        <v>119</v>
      </c>
      <c r="C535" s="23">
        <f t="shared" si="80"/>
        <v>0.34431125377833116</v>
      </c>
      <c r="D535" s="23"/>
      <c r="E535" s="1" t="str">
        <f t="shared" si="79"/>
        <v>n</v>
      </c>
    </row>
    <row r="536" spans="2:5">
      <c r="B536" s="6">
        <f t="shared" si="78"/>
        <v>120</v>
      </c>
      <c r="C536" s="23">
        <f t="shared" si="80"/>
        <v>0.34124009294185448</v>
      </c>
      <c r="D536" s="23"/>
      <c r="E536" s="1" t="str">
        <f t="shared" si="79"/>
        <v>n</v>
      </c>
    </row>
    <row r="537" spans="2:5">
      <c r="B537" s="6">
        <f t="shared" si="78"/>
        <v>121</v>
      </c>
      <c r="C537" s="23">
        <f t="shared" si="80"/>
        <v>0.33819632600778443</v>
      </c>
      <c r="D537" s="23"/>
      <c r="E537" s="1" t="str">
        <f t="shared" si="79"/>
        <v>n</v>
      </c>
    </row>
    <row r="538" spans="2:5">
      <c r="B538" s="6">
        <f t="shared" si="78"/>
        <v>122</v>
      </c>
      <c r="C538" s="23">
        <f t="shared" si="80"/>
        <v>0.33517970863011343</v>
      </c>
      <c r="D538" s="23"/>
      <c r="E538" s="1" t="str">
        <f t="shared" si="79"/>
        <v>n</v>
      </c>
    </row>
    <row r="539" spans="2:5">
      <c r="B539" s="6">
        <f t="shared" si="78"/>
        <v>123</v>
      </c>
      <c r="C539" s="23">
        <f t="shared" si="80"/>
        <v>0.33218999864233245</v>
      </c>
      <c r="D539" s="23"/>
      <c r="E539" s="1" t="str">
        <f t="shared" si="79"/>
        <v>n</v>
      </c>
    </row>
    <row r="540" spans="2:5">
      <c r="B540" s="6">
        <f t="shared" si="78"/>
        <v>124</v>
      </c>
      <c r="C540" s="23">
        <f t="shared" si="80"/>
        <v>0.32922695603799057</v>
      </c>
      <c r="D540" s="23"/>
      <c r="E540" s="1" t="str">
        <f t="shared" si="79"/>
        <v>n</v>
      </c>
    </row>
    <row r="541" spans="2:5">
      <c r="B541" s="6">
        <f t="shared" si="78"/>
        <v>125</v>
      </c>
      <c r="C541" s="23">
        <f t="shared" si="80"/>
        <v>0.32629034295142778</v>
      </c>
      <c r="D541" s="23"/>
      <c r="E541" s="1" t="str">
        <f t="shared" si="79"/>
        <v>n</v>
      </c>
    </row>
    <row r="542" spans="2:5">
      <c r="B542" s="6">
        <f t="shared" si="78"/>
        <v>126</v>
      </c>
      <c r="C542" s="23">
        <f t="shared" si="80"/>
        <v>0.32337992363867968</v>
      </c>
      <c r="D542" s="23"/>
      <c r="E542" s="1" t="str">
        <f t="shared" si="79"/>
        <v>n</v>
      </c>
    </row>
    <row r="543" spans="2:5">
      <c r="B543" s="6">
        <f t="shared" si="78"/>
        <v>127</v>
      </c>
      <c r="C543" s="23">
        <f t="shared" si="80"/>
        <v>0.32049546445855276</v>
      </c>
      <c r="D543" s="23"/>
      <c r="E543" s="1" t="str">
        <f t="shared" si="79"/>
        <v>n</v>
      </c>
    </row>
    <row r="544" spans="2:5">
      <c r="B544" s="6">
        <f t="shared" si="78"/>
        <v>128</v>
      </c>
      <c r="C544" s="23">
        <f t="shared" si="80"/>
        <v>0.31763673385386798</v>
      </c>
      <c r="D544" s="23"/>
      <c r="E544" s="1" t="str">
        <f t="shared" si="79"/>
        <v>n</v>
      </c>
    </row>
    <row r="545" spans="2:5">
      <c r="B545" s="6">
        <f t="shared" si="78"/>
        <v>129</v>
      </c>
      <c r="C545" s="23">
        <f t="shared" si="80"/>
        <v>0.31480350233287219</v>
      </c>
      <c r="D545" s="23"/>
      <c r="E545" s="1" t="str">
        <f t="shared" si="79"/>
        <v>n</v>
      </c>
    </row>
    <row r="546" spans="2:5">
      <c r="B546" s="6">
        <f t="shared" ref="B546:B609" si="81">B545+1</f>
        <v>130</v>
      </c>
      <c r="C546" s="23">
        <f t="shared" si="80"/>
        <v>0.3119955424508149</v>
      </c>
      <c r="D546" s="23"/>
      <c r="E546" s="1" t="str">
        <f t="shared" ref="E546:E609" si="82">IF($B546&lt;=$I$8,"y","n")</f>
        <v>n</v>
      </c>
    </row>
    <row r="547" spans="2:5">
      <c r="B547" s="6">
        <f t="shared" si="81"/>
        <v>131</v>
      </c>
      <c r="C547" s="23">
        <f t="shared" si="80"/>
        <v>0.3092126287916897</v>
      </c>
      <c r="D547" s="23"/>
      <c r="E547" s="1" t="str">
        <f t="shared" si="82"/>
        <v>n</v>
      </c>
    </row>
    <row r="548" spans="2:5">
      <c r="B548" s="6">
        <f t="shared" si="81"/>
        <v>132</v>
      </c>
      <c r="C548" s="23">
        <f t="shared" ref="C548:C611" si="83">C547/(1+I$10)</f>
        <v>0.30645453795013849</v>
      </c>
      <c r="D548" s="23"/>
      <c r="E548" s="1" t="str">
        <f t="shared" si="82"/>
        <v>n</v>
      </c>
    </row>
    <row r="549" spans="2:5">
      <c r="B549" s="6">
        <f t="shared" si="81"/>
        <v>133</v>
      </c>
      <c r="C549" s="23">
        <f t="shared" si="83"/>
        <v>0.30372104851351689</v>
      </c>
      <c r="D549" s="23"/>
      <c r="E549" s="1" t="str">
        <f t="shared" si="82"/>
        <v>n</v>
      </c>
    </row>
    <row r="550" spans="2:5">
      <c r="B550" s="6">
        <f t="shared" si="81"/>
        <v>134</v>
      </c>
      <c r="C550" s="23">
        <f t="shared" si="83"/>
        <v>0.30101194104411982</v>
      </c>
      <c r="D550" s="23"/>
      <c r="E550" s="1" t="str">
        <f t="shared" si="82"/>
        <v>n</v>
      </c>
    </row>
    <row r="551" spans="2:5">
      <c r="B551" s="6">
        <f t="shared" si="81"/>
        <v>135</v>
      </c>
      <c r="C551" s="23">
        <f t="shared" si="83"/>
        <v>0.29832699806156576</v>
      </c>
      <c r="D551" s="23"/>
      <c r="E551" s="1" t="str">
        <f t="shared" si="82"/>
        <v>n</v>
      </c>
    </row>
    <row r="552" spans="2:5">
      <c r="B552" s="6">
        <f t="shared" si="81"/>
        <v>136</v>
      </c>
      <c r="C552" s="23">
        <f t="shared" si="83"/>
        <v>0.29566600402533777</v>
      </c>
      <c r="D552" s="23"/>
      <c r="E552" s="1" t="str">
        <f t="shared" si="82"/>
        <v>n</v>
      </c>
    </row>
    <row r="553" spans="2:5">
      <c r="B553" s="6">
        <f t="shared" si="81"/>
        <v>137</v>
      </c>
      <c r="C553" s="23">
        <f t="shared" si="83"/>
        <v>0.29302874531748047</v>
      </c>
      <c r="D553" s="23"/>
      <c r="E553" s="1" t="str">
        <f t="shared" si="82"/>
        <v>n</v>
      </c>
    </row>
    <row r="554" spans="2:5">
      <c r="B554" s="6">
        <f t="shared" si="81"/>
        <v>138</v>
      </c>
      <c r="C554" s="23">
        <f t="shared" si="83"/>
        <v>0.29041501022545141</v>
      </c>
      <c r="D554" s="23"/>
      <c r="E554" s="1" t="str">
        <f t="shared" si="82"/>
        <v>n</v>
      </c>
    </row>
    <row r="555" spans="2:5">
      <c r="B555" s="6">
        <f t="shared" si="81"/>
        <v>139</v>
      </c>
      <c r="C555" s="23">
        <f t="shared" si="83"/>
        <v>0.2878245889251253</v>
      </c>
      <c r="D555" s="23"/>
      <c r="E555" s="1" t="str">
        <f t="shared" si="82"/>
        <v>n</v>
      </c>
    </row>
    <row r="556" spans="2:5">
      <c r="B556" s="6">
        <f t="shared" si="81"/>
        <v>140</v>
      </c>
      <c r="C556" s="23">
        <f t="shared" si="83"/>
        <v>0.2852572734639498</v>
      </c>
      <c r="D556" s="23"/>
      <c r="E556" s="1" t="str">
        <f t="shared" si="82"/>
        <v>n</v>
      </c>
    </row>
    <row r="557" spans="2:5">
      <c r="B557" s="6">
        <f t="shared" si="81"/>
        <v>141</v>
      </c>
      <c r="C557" s="23">
        <f t="shared" si="83"/>
        <v>0.28271285774425159</v>
      </c>
      <c r="D557" s="23"/>
      <c r="E557" s="1" t="str">
        <f t="shared" si="82"/>
        <v>n</v>
      </c>
    </row>
    <row r="558" spans="2:5">
      <c r="B558" s="6">
        <f t="shared" si="81"/>
        <v>142</v>
      </c>
      <c r="C558" s="23">
        <f t="shared" si="83"/>
        <v>0.28019113750669139</v>
      </c>
      <c r="D558" s="23"/>
      <c r="E558" s="1" t="str">
        <f t="shared" si="82"/>
        <v>n</v>
      </c>
    </row>
    <row r="559" spans="2:5">
      <c r="B559" s="6">
        <f t="shared" si="81"/>
        <v>143</v>
      </c>
      <c r="C559" s="23">
        <f t="shared" si="83"/>
        <v>0.27769191031386664</v>
      </c>
      <c r="D559" s="23"/>
      <c r="E559" s="1" t="str">
        <f t="shared" si="82"/>
        <v>n</v>
      </c>
    </row>
    <row r="560" spans="2:5">
      <c r="B560" s="6">
        <f t="shared" si="81"/>
        <v>144</v>
      </c>
      <c r="C560" s="23">
        <f t="shared" si="83"/>
        <v>0.2752149755340601</v>
      </c>
      <c r="D560" s="23"/>
      <c r="E560" s="1" t="str">
        <f t="shared" si="82"/>
        <v>n</v>
      </c>
    </row>
    <row r="561" spans="2:5">
      <c r="B561" s="6">
        <f t="shared" si="81"/>
        <v>145</v>
      </c>
      <c r="C561" s="23">
        <f t="shared" si="83"/>
        <v>0.27276013432513391</v>
      </c>
      <c r="D561" s="23"/>
      <c r="E561" s="1" t="str">
        <f t="shared" si="82"/>
        <v>n</v>
      </c>
    </row>
    <row r="562" spans="2:5">
      <c r="B562" s="6">
        <f t="shared" si="81"/>
        <v>146</v>
      </c>
      <c r="C562" s="23">
        <f t="shared" si="83"/>
        <v>0.27032718961856683</v>
      </c>
      <c r="D562" s="23"/>
      <c r="E562" s="1" t="str">
        <f t="shared" si="82"/>
        <v>n</v>
      </c>
    </row>
    <row r="563" spans="2:5">
      <c r="B563" s="6">
        <f t="shared" si="81"/>
        <v>147</v>
      </c>
      <c r="C563" s="23">
        <f t="shared" si="83"/>
        <v>0.26791594610363417</v>
      </c>
      <c r="D563" s="23"/>
      <c r="E563" s="1" t="str">
        <f t="shared" si="82"/>
        <v>n</v>
      </c>
    </row>
    <row r="564" spans="2:5">
      <c r="B564" s="6">
        <f t="shared" si="81"/>
        <v>148</v>
      </c>
      <c r="C564" s="23">
        <f t="shared" si="83"/>
        <v>0.26552621021172862</v>
      </c>
      <c r="D564" s="23"/>
      <c r="E564" s="1" t="str">
        <f t="shared" si="82"/>
        <v>n</v>
      </c>
    </row>
    <row r="565" spans="2:5">
      <c r="B565" s="6">
        <f t="shared" si="81"/>
        <v>149</v>
      </c>
      <c r="C565" s="23">
        <f t="shared" si="83"/>
        <v>0.26315779010082124</v>
      </c>
      <c r="D565" s="23"/>
      <c r="E565" s="1" t="str">
        <f t="shared" si="82"/>
        <v>n</v>
      </c>
    </row>
    <row r="566" spans="2:5">
      <c r="B566" s="6">
        <f t="shared" si="81"/>
        <v>150</v>
      </c>
      <c r="C566" s="23">
        <f t="shared" si="83"/>
        <v>0.2608104956400607</v>
      </c>
      <c r="D566" s="23"/>
      <c r="E566" s="1" t="str">
        <f t="shared" si="82"/>
        <v>n</v>
      </c>
    </row>
    <row r="567" spans="2:5">
      <c r="B567" s="6">
        <f t="shared" si="81"/>
        <v>151</v>
      </c>
      <c r="C567" s="23">
        <f t="shared" si="83"/>
        <v>0.25848413839451012</v>
      </c>
      <c r="D567" s="23"/>
      <c r="E567" s="1" t="str">
        <f t="shared" si="82"/>
        <v>n</v>
      </c>
    </row>
    <row r="568" spans="2:5">
      <c r="B568" s="6">
        <f t="shared" si="81"/>
        <v>152</v>
      </c>
      <c r="C568" s="23">
        <f t="shared" si="83"/>
        <v>0.25617853161001997</v>
      </c>
      <c r="D568" s="23"/>
      <c r="E568" s="1" t="str">
        <f t="shared" si="82"/>
        <v>n</v>
      </c>
    </row>
    <row r="569" spans="2:5">
      <c r="B569" s="6">
        <f t="shared" si="81"/>
        <v>153</v>
      </c>
      <c r="C569" s="23">
        <f t="shared" si="83"/>
        <v>0.25389349019823587</v>
      </c>
      <c r="D569" s="23"/>
      <c r="E569" s="1" t="str">
        <f t="shared" si="82"/>
        <v>n</v>
      </c>
    </row>
    <row r="570" spans="2:5">
      <c r="B570" s="6">
        <f t="shared" si="81"/>
        <v>154</v>
      </c>
      <c r="C570" s="23">
        <f t="shared" si="83"/>
        <v>0.25162883072174025</v>
      </c>
      <c r="D570" s="23"/>
      <c r="E570" s="1" t="str">
        <f t="shared" si="82"/>
        <v>n</v>
      </c>
    </row>
    <row r="571" spans="2:5">
      <c r="B571" s="6">
        <f t="shared" si="81"/>
        <v>155</v>
      </c>
      <c r="C571" s="23">
        <f t="shared" si="83"/>
        <v>0.24938437137932634</v>
      </c>
      <c r="D571" s="23"/>
      <c r="E571" s="1" t="str">
        <f t="shared" si="82"/>
        <v>n</v>
      </c>
    </row>
    <row r="572" spans="2:5">
      <c r="B572" s="6">
        <f t="shared" si="81"/>
        <v>156</v>
      </c>
      <c r="C572" s="23">
        <f t="shared" si="83"/>
        <v>0.24715993199140374</v>
      </c>
      <c r="D572" s="23"/>
      <c r="E572" s="1" t="str">
        <f t="shared" si="82"/>
        <v>n</v>
      </c>
    </row>
    <row r="573" spans="2:5">
      <c r="B573" s="6">
        <f t="shared" si="81"/>
        <v>157</v>
      </c>
      <c r="C573" s="23">
        <f t="shared" si="83"/>
        <v>0.24495533398553396</v>
      </c>
      <c r="D573" s="23"/>
      <c r="E573" s="1" t="str">
        <f t="shared" si="82"/>
        <v>n</v>
      </c>
    </row>
    <row r="574" spans="2:5">
      <c r="B574" s="6">
        <f t="shared" si="81"/>
        <v>158</v>
      </c>
      <c r="C574" s="23">
        <f t="shared" si="83"/>
        <v>0.24277040038209513</v>
      </c>
      <c r="D574" s="23"/>
      <c r="E574" s="1" t="str">
        <f t="shared" si="82"/>
        <v>n</v>
      </c>
    </row>
    <row r="575" spans="2:5">
      <c r="B575" s="6">
        <f t="shared" si="81"/>
        <v>159</v>
      </c>
      <c r="C575" s="23">
        <f t="shared" si="83"/>
        <v>0.24060495578007449</v>
      </c>
      <c r="D575" s="23"/>
      <c r="E575" s="1" t="str">
        <f t="shared" si="82"/>
        <v>n</v>
      </c>
    </row>
    <row r="576" spans="2:5">
      <c r="B576" s="6">
        <f t="shared" si="81"/>
        <v>160</v>
      </c>
      <c r="C576" s="23">
        <f t="shared" si="83"/>
        <v>0.23845882634298762</v>
      </c>
      <c r="D576" s="23"/>
      <c r="E576" s="1" t="str">
        <f t="shared" si="82"/>
        <v>n</v>
      </c>
    </row>
    <row r="577" spans="2:5">
      <c r="B577" s="6">
        <f t="shared" si="81"/>
        <v>161</v>
      </c>
      <c r="C577" s="23">
        <f t="shared" si="83"/>
        <v>0.23633183978492334</v>
      </c>
      <c r="D577" s="23"/>
      <c r="E577" s="1" t="str">
        <f t="shared" si="82"/>
        <v>n</v>
      </c>
    </row>
    <row r="578" spans="2:5">
      <c r="B578" s="6">
        <f t="shared" si="81"/>
        <v>162</v>
      </c>
      <c r="C578" s="23">
        <f t="shared" si="83"/>
        <v>0.23422382535671293</v>
      </c>
      <c r="D578" s="23"/>
      <c r="E578" s="1" t="str">
        <f t="shared" si="82"/>
        <v>n</v>
      </c>
    </row>
    <row r="579" spans="2:5">
      <c r="B579" s="6">
        <f t="shared" si="81"/>
        <v>163</v>
      </c>
      <c r="C579" s="23">
        <f t="shared" si="83"/>
        <v>0.23213461383222295</v>
      </c>
      <c r="D579" s="23"/>
      <c r="E579" s="1" t="str">
        <f t="shared" si="82"/>
        <v>n</v>
      </c>
    </row>
    <row r="580" spans="2:5">
      <c r="B580" s="6">
        <f t="shared" si="81"/>
        <v>164</v>
      </c>
      <c r="C580" s="23">
        <f t="shared" si="83"/>
        <v>0.23006403749477003</v>
      </c>
      <c r="D580" s="23"/>
      <c r="E580" s="1" t="str">
        <f t="shared" si="82"/>
        <v>n</v>
      </c>
    </row>
    <row r="581" spans="2:5">
      <c r="B581" s="6">
        <f t="shared" si="81"/>
        <v>165</v>
      </c>
      <c r="C581" s="23">
        <f t="shared" si="83"/>
        <v>0.22801193012365714</v>
      </c>
      <c r="D581" s="23"/>
      <c r="E581" s="1" t="str">
        <f t="shared" si="82"/>
        <v>n</v>
      </c>
    </row>
    <row r="582" spans="2:5">
      <c r="B582" s="6">
        <f t="shared" si="81"/>
        <v>166</v>
      </c>
      <c r="C582" s="23">
        <f t="shared" si="83"/>
        <v>0.2259781269808297</v>
      </c>
      <c r="D582" s="23"/>
      <c r="E582" s="1" t="str">
        <f t="shared" si="82"/>
        <v>n</v>
      </c>
    </row>
    <row r="583" spans="2:5">
      <c r="B583" s="6">
        <f t="shared" si="81"/>
        <v>167</v>
      </c>
      <c r="C583" s="23">
        <f t="shared" si="83"/>
        <v>0.22396246479765086</v>
      </c>
      <c r="D583" s="23"/>
      <c r="E583" s="1" t="str">
        <f t="shared" si="82"/>
        <v>n</v>
      </c>
    </row>
    <row r="584" spans="2:5">
      <c r="B584" s="6">
        <f t="shared" si="81"/>
        <v>168</v>
      </c>
      <c r="C584" s="23">
        <f t="shared" si="83"/>
        <v>0.22196478176179474</v>
      </c>
      <c r="D584" s="23"/>
      <c r="E584" s="1" t="str">
        <f t="shared" si="82"/>
        <v>n</v>
      </c>
    </row>
    <row r="585" spans="2:5">
      <c r="B585" s="6">
        <f t="shared" si="81"/>
        <v>169</v>
      </c>
      <c r="C585" s="23">
        <f t="shared" si="83"/>
        <v>0.21998491750425644</v>
      </c>
      <c r="D585" s="23"/>
      <c r="E585" s="1" t="str">
        <f t="shared" si="82"/>
        <v>n</v>
      </c>
    </row>
    <row r="586" spans="2:5">
      <c r="B586" s="6">
        <f t="shared" si="81"/>
        <v>170</v>
      </c>
      <c r="C586" s="23">
        <f t="shared" si="83"/>
        <v>0.21802271308647816</v>
      </c>
      <c r="D586" s="23"/>
      <c r="E586" s="1" t="str">
        <f t="shared" si="82"/>
        <v>n</v>
      </c>
    </row>
    <row r="587" spans="2:5">
      <c r="B587" s="6">
        <f t="shared" si="81"/>
        <v>171</v>
      </c>
      <c r="C587" s="23">
        <f t="shared" si="83"/>
        <v>0.21607801098758989</v>
      </c>
      <c r="D587" s="23"/>
      <c r="E587" s="1" t="str">
        <f t="shared" si="82"/>
        <v>n</v>
      </c>
    </row>
    <row r="588" spans="2:5">
      <c r="B588" s="6">
        <f t="shared" si="81"/>
        <v>172</v>
      </c>
      <c r="C588" s="23">
        <f t="shared" si="83"/>
        <v>0.21415065509176404</v>
      </c>
      <c r="D588" s="23"/>
      <c r="E588" s="1" t="str">
        <f t="shared" si="82"/>
        <v>n</v>
      </c>
    </row>
    <row r="589" spans="2:5">
      <c r="B589" s="6">
        <f t="shared" si="81"/>
        <v>173</v>
      </c>
      <c r="C589" s="23">
        <f t="shared" si="83"/>
        <v>0.2122404906756829</v>
      </c>
      <c r="D589" s="23"/>
      <c r="E589" s="1" t="str">
        <f t="shared" si="82"/>
        <v>n</v>
      </c>
    </row>
    <row r="590" spans="2:5">
      <c r="B590" s="6">
        <f t="shared" si="81"/>
        <v>174</v>
      </c>
      <c r="C590" s="23">
        <f t="shared" si="83"/>
        <v>0.21034736439611787</v>
      </c>
      <c r="D590" s="23"/>
      <c r="E590" s="1" t="str">
        <f t="shared" si="82"/>
        <v>n</v>
      </c>
    </row>
    <row r="591" spans="2:5">
      <c r="B591" s="6">
        <f t="shared" si="81"/>
        <v>175</v>
      </c>
      <c r="C591" s="23">
        <f t="shared" si="83"/>
        <v>0.20847112427761932</v>
      </c>
      <c r="D591" s="23"/>
      <c r="E591" s="1" t="str">
        <f t="shared" si="82"/>
        <v>n</v>
      </c>
    </row>
    <row r="592" spans="2:5">
      <c r="B592" s="6">
        <f t="shared" si="81"/>
        <v>176</v>
      </c>
      <c r="C592" s="23">
        <f t="shared" si="83"/>
        <v>0.2066116197003165</v>
      </c>
      <c r="D592" s="23"/>
      <c r="E592" s="1" t="str">
        <f t="shared" si="82"/>
        <v>n</v>
      </c>
    </row>
    <row r="593" spans="2:5">
      <c r="B593" s="6">
        <f t="shared" si="81"/>
        <v>177</v>
      </c>
      <c r="C593" s="23">
        <f t="shared" si="83"/>
        <v>0.20476870138782607</v>
      </c>
      <c r="D593" s="23"/>
      <c r="E593" s="1" t="str">
        <f t="shared" si="82"/>
        <v>n</v>
      </c>
    </row>
    <row r="594" spans="2:5">
      <c r="B594" s="6">
        <f t="shared" si="81"/>
        <v>178</v>
      </c>
      <c r="C594" s="23">
        <f t="shared" si="83"/>
        <v>0.20294222139526868</v>
      </c>
      <c r="D594" s="23"/>
      <c r="E594" s="1" t="str">
        <f t="shared" si="82"/>
        <v>n</v>
      </c>
    </row>
    <row r="595" spans="2:5">
      <c r="B595" s="6">
        <f t="shared" si="81"/>
        <v>179</v>
      </c>
      <c r="C595" s="23">
        <f t="shared" si="83"/>
        <v>0.20113203309739217</v>
      </c>
      <c r="D595" s="23"/>
      <c r="E595" s="1" t="str">
        <f t="shared" si="82"/>
        <v>n</v>
      </c>
    </row>
    <row r="596" spans="2:5">
      <c r="B596" s="6">
        <f t="shared" si="81"/>
        <v>180</v>
      </c>
      <c r="C596" s="23">
        <f t="shared" si="83"/>
        <v>0.19933799117680098</v>
      </c>
      <c r="D596" s="23"/>
      <c r="E596" s="1" t="str">
        <f t="shared" si="82"/>
        <v>n</v>
      </c>
    </row>
    <row r="597" spans="2:5">
      <c r="B597" s="6">
        <f t="shared" si="81"/>
        <v>181</v>
      </c>
      <c r="C597" s="23">
        <f t="shared" si="83"/>
        <v>0.1975599516122904</v>
      </c>
      <c r="D597" s="23"/>
      <c r="E597" s="1" t="str">
        <f t="shared" si="82"/>
        <v>n</v>
      </c>
    </row>
    <row r="598" spans="2:5">
      <c r="B598" s="6">
        <f t="shared" si="81"/>
        <v>182</v>
      </c>
      <c r="C598" s="23">
        <f t="shared" si="83"/>
        <v>0.19579777166728485</v>
      </c>
      <c r="D598" s="23"/>
      <c r="E598" s="1" t="str">
        <f t="shared" si="82"/>
        <v>n</v>
      </c>
    </row>
    <row r="599" spans="2:5">
      <c r="B599" s="6">
        <f t="shared" si="81"/>
        <v>183</v>
      </c>
      <c r="C599" s="23">
        <f t="shared" si="83"/>
        <v>0.19405130987837946</v>
      </c>
      <c r="D599" s="23"/>
      <c r="E599" s="1" t="str">
        <f t="shared" si="82"/>
        <v>n</v>
      </c>
    </row>
    <row r="600" spans="2:5">
      <c r="B600" s="6">
        <f t="shared" si="81"/>
        <v>184</v>
      </c>
      <c r="C600" s="23">
        <f t="shared" si="83"/>
        <v>0.19232042604398361</v>
      </c>
      <c r="D600" s="23"/>
      <c r="E600" s="1" t="str">
        <f t="shared" si="82"/>
        <v>n</v>
      </c>
    </row>
    <row r="601" spans="2:5">
      <c r="B601" s="6">
        <f t="shared" si="81"/>
        <v>185</v>
      </c>
      <c r="C601" s="23">
        <f t="shared" si="83"/>
        <v>0.19060498121306604</v>
      </c>
      <c r="D601" s="23"/>
      <c r="E601" s="1" t="str">
        <f t="shared" si="82"/>
        <v>n</v>
      </c>
    </row>
    <row r="602" spans="2:5">
      <c r="B602" s="6">
        <f t="shared" si="81"/>
        <v>186</v>
      </c>
      <c r="C602" s="23">
        <f t="shared" si="83"/>
        <v>0.18890483767400007</v>
      </c>
      <c r="D602" s="23"/>
      <c r="E602" s="1" t="str">
        <f t="shared" si="82"/>
        <v>n</v>
      </c>
    </row>
    <row r="603" spans="2:5">
      <c r="B603" s="6">
        <f t="shared" si="81"/>
        <v>187</v>
      </c>
      <c r="C603" s="23">
        <f t="shared" si="83"/>
        <v>0.18721985894350851</v>
      </c>
      <c r="D603" s="23"/>
      <c r="E603" s="1" t="str">
        <f t="shared" si="82"/>
        <v>n</v>
      </c>
    </row>
    <row r="604" spans="2:5">
      <c r="B604" s="6">
        <f t="shared" si="81"/>
        <v>188</v>
      </c>
      <c r="C604" s="23">
        <f t="shared" si="83"/>
        <v>0.18554990975570718</v>
      </c>
      <c r="D604" s="23"/>
      <c r="E604" s="1" t="str">
        <f t="shared" si="82"/>
        <v>n</v>
      </c>
    </row>
    <row r="605" spans="2:5">
      <c r="B605" s="6">
        <f t="shared" si="81"/>
        <v>189</v>
      </c>
      <c r="C605" s="23">
        <f t="shared" si="83"/>
        <v>0.18389485605124598</v>
      </c>
      <c r="D605" s="23"/>
      <c r="E605" s="1" t="str">
        <f t="shared" si="82"/>
        <v>n</v>
      </c>
    </row>
    <row r="606" spans="2:5">
      <c r="B606" s="6">
        <f t="shared" si="81"/>
        <v>190</v>
      </c>
      <c r="C606" s="23">
        <f t="shared" si="83"/>
        <v>0.18225456496654707</v>
      </c>
      <c r="D606" s="23"/>
      <c r="E606" s="1" t="str">
        <f t="shared" si="82"/>
        <v>n</v>
      </c>
    </row>
    <row r="607" spans="2:5">
      <c r="B607" s="6">
        <f t="shared" si="81"/>
        <v>191</v>
      </c>
      <c r="C607" s="23">
        <f t="shared" si="83"/>
        <v>0.18062890482313884</v>
      </c>
      <c r="D607" s="23"/>
      <c r="E607" s="1" t="str">
        <f t="shared" si="82"/>
        <v>n</v>
      </c>
    </row>
    <row r="608" spans="2:5">
      <c r="B608" s="6">
        <f t="shared" si="81"/>
        <v>192</v>
      </c>
      <c r="C608" s="23">
        <f t="shared" si="83"/>
        <v>0.1790177451170851</v>
      </c>
      <c r="D608" s="23"/>
      <c r="E608" s="1" t="str">
        <f t="shared" si="82"/>
        <v>n</v>
      </c>
    </row>
    <row r="609" spans="2:5">
      <c r="B609" s="6">
        <f t="shared" si="81"/>
        <v>193</v>
      </c>
      <c r="C609" s="23">
        <f t="shared" si="83"/>
        <v>0.17742095650850853</v>
      </c>
      <c r="D609" s="23"/>
      <c r="E609" s="1" t="str">
        <f t="shared" si="82"/>
        <v>n</v>
      </c>
    </row>
    <row r="610" spans="2:5">
      <c r="B610" s="6">
        <f t="shared" ref="B610:B673" si="84">B609+1</f>
        <v>194</v>
      </c>
      <c r="C610" s="23">
        <f t="shared" si="83"/>
        <v>0.17583841081120768</v>
      </c>
      <c r="D610" s="23"/>
      <c r="E610" s="1" t="str">
        <f t="shared" ref="E610:E673" si="85">IF($B610&lt;=$I$8,"y","n")</f>
        <v>n</v>
      </c>
    </row>
    <row r="611" spans="2:5">
      <c r="B611" s="6">
        <f t="shared" si="84"/>
        <v>195</v>
      </c>
      <c r="C611" s="23">
        <f t="shared" si="83"/>
        <v>0.1742699809823664</v>
      </c>
      <c r="D611" s="23"/>
      <c r="E611" s="1" t="str">
        <f t="shared" si="85"/>
        <v>n</v>
      </c>
    </row>
    <row r="612" spans="2:5">
      <c r="B612" s="6">
        <f t="shared" si="84"/>
        <v>196</v>
      </c>
      <c r="C612" s="23">
        <f t="shared" ref="C612:C675" si="86">C611/(1+I$10)</f>
        <v>0.17271554111235521</v>
      </c>
      <c r="D612" s="23"/>
      <c r="E612" s="1" t="str">
        <f t="shared" si="85"/>
        <v>n</v>
      </c>
    </row>
    <row r="613" spans="2:5">
      <c r="B613" s="6">
        <f t="shared" si="84"/>
        <v>197</v>
      </c>
      <c r="C613" s="23">
        <f t="shared" si="86"/>
        <v>0.17117496641462362</v>
      </c>
      <c r="D613" s="23"/>
      <c r="E613" s="1" t="str">
        <f t="shared" si="85"/>
        <v>n</v>
      </c>
    </row>
    <row r="614" spans="2:5">
      <c r="B614" s="6">
        <f t="shared" si="84"/>
        <v>198</v>
      </c>
      <c r="C614" s="23">
        <f t="shared" si="86"/>
        <v>0.16964813321568251</v>
      </c>
      <c r="D614" s="23"/>
      <c r="E614" s="1" t="str">
        <f t="shared" si="85"/>
        <v>n</v>
      </c>
    </row>
    <row r="615" spans="2:5">
      <c r="B615" s="6">
        <f t="shared" si="84"/>
        <v>199</v>
      </c>
      <c r="C615" s="23">
        <f t="shared" si="86"/>
        <v>0.16813491894517593</v>
      </c>
      <c r="D615" s="23"/>
      <c r="E615" s="1" t="str">
        <f t="shared" si="85"/>
        <v>n</v>
      </c>
    </row>
    <row r="616" spans="2:5">
      <c r="B616" s="6">
        <f t="shared" si="84"/>
        <v>200</v>
      </c>
      <c r="C616" s="23">
        <f t="shared" si="86"/>
        <v>0.16663520212604158</v>
      </c>
      <c r="D616" s="23"/>
      <c r="E616" s="1" t="str">
        <f t="shared" si="85"/>
        <v>n</v>
      </c>
    </row>
    <row r="617" spans="2:5">
      <c r="B617" s="6">
        <f t="shared" si="84"/>
        <v>201</v>
      </c>
      <c r="C617" s="23">
        <f t="shared" si="86"/>
        <v>0.16514886236475876</v>
      </c>
      <c r="D617" s="23"/>
      <c r="E617" s="1" t="str">
        <f t="shared" si="85"/>
        <v>n</v>
      </c>
    </row>
    <row r="618" spans="2:5">
      <c r="B618" s="6">
        <f t="shared" si="84"/>
        <v>202</v>
      </c>
      <c r="C618" s="23">
        <f t="shared" si="86"/>
        <v>0.16367578034168362</v>
      </c>
      <c r="D618" s="23"/>
      <c r="E618" s="1" t="str">
        <f t="shared" si="85"/>
        <v>n</v>
      </c>
    </row>
    <row r="619" spans="2:5">
      <c r="B619" s="6">
        <f t="shared" si="84"/>
        <v>203</v>
      </c>
      <c r="C619" s="23">
        <f t="shared" si="86"/>
        <v>0.16221583780147039</v>
      </c>
      <c r="D619" s="23"/>
      <c r="E619" s="1" t="str">
        <f t="shared" si="85"/>
        <v>n</v>
      </c>
    </row>
    <row r="620" spans="2:5">
      <c r="B620" s="6">
        <f t="shared" si="84"/>
        <v>204</v>
      </c>
      <c r="C620" s="23">
        <f t="shared" si="86"/>
        <v>0.16076891754357819</v>
      </c>
      <c r="D620" s="23"/>
      <c r="E620" s="1" t="str">
        <f t="shared" si="85"/>
        <v>n</v>
      </c>
    </row>
    <row r="621" spans="2:5">
      <c r="B621" s="6">
        <f t="shared" si="84"/>
        <v>205</v>
      </c>
      <c r="C621" s="23">
        <f t="shared" si="86"/>
        <v>0.15933490341286244</v>
      </c>
      <c r="D621" s="23"/>
      <c r="E621" s="1" t="str">
        <f t="shared" si="85"/>
        <v>n</v>
      </c>
    </row>
    <row r="622" spans="2:5">
      <c r="B622" s="6">
        <f t="shared" si="84"/>
        <v>206</v>
      </c>
      <c r="C622" s="23">
        <f t="shared" si="86"/>
        <v>0.15791368029025021</v>
      </c>
      <c r="D622" s="23"/>
      <c r="E622" s="1" t="str">
        <f t="shared" si="85"/>
        <v>n</v>
      </c>
    </row>
    <row r="623" spans="2:5">
      <c r="B623" s="6">
        <f t="shared" si="84"/>
        <v>207</v>
      </c>
      <c r="C623" s="23">
        <f t="shared" si="86"/>
        <v>0.15650513408349875</v>
      </c>
      <c r="D623" s="23"/>
      <c r="E623" s="1" t="str">
        <f t="shared" si="85"/>
        <v>n</v>
      </c>
    </row>
    <row r="624" spans="2:5">
      <c r="B624" s="6">
        <f t="shared" si="84"/>
        <v>208</v>
      </c>
      <c r="C624" s="23">
        <f t="shared" si="86"/>
        <v>0.15510915171803644</v>
      </c>
      <c r="D624" s="23"/>
      <c r="E624" s="1" t="str">
        <f t="shared" si="85"/>
        <v>n</v>
      </c>
    </row>
    <row r="625" spans="2:5">
      <c r="B625" s="6">
        <f t="shared" si="84"/>
        <v>209</v>
      </c>
      <c r="C625" s="23">
        <f t="shared" si="86"/>
        <v>0.15372562112788549</v>
      </c>
      <c r="D625" s="23"/>
      <c r="E625" s="1" t="str">
        <f t="shared" si="85"/>
        <v>n</v>
      </c>
    </row>
    <row r="626" spans="2:5">
      <c r="B626" s="6">
        <f t="shared" si="84"/>
        <v>210</v>
      </c>
      <c r="C626" s="23">
        <f t="shared" si="86"/>
        <v>0.15235443124666551</v>
      </c>
      <c r="D626" s="23"/>
      <c r="E626" s="1" t="str">
        <f t="shared" si="85"/>
        <v>n</v>
      </c>
    </row>
    <row r="627" spans="2:5">
      <c r="B627" s="6">
        <f t="shared" si="84"/>
        <v>211</v>
      </c>
      <c r="C627" s="23">
        <f t="shared" si="86"/>
        <v>0.15099547199867744</v>
      </c>
      <c r="D627" s="23"/>
      <c r="E627" s="1" t="str">
        <f t="shared" si="85"/>
        <v>n</v>
      </c>
    </row>
    <row r="628" spans="2:5">
      <c r="B628" s="6">
        <f t="shared" si="84"/>
        <v>212</v>
      </c>
      <c r="C628" s="23">
        <f t="shared" si="86"/>
        <v>0.14964863429006686</v>
      </c>
      <c r="D628" s="23"/>
      <c r="E628" s="1" t="str">
        <f t="shared" si="85"/>
        <v>n</v>
      </c>
    </row>
    <row r="629" spans="2:5">
      <c r="B629" s="6">
        <f t="shared" si="84"/>
        <v>213</v>
      </c>
      <c r="C629" s="23">
        <f t="shared" si="86"/>
        <v>0.14831381000006627</v>
      </c>
      <c r="D629" s="23"/>
      <c r="E629" s="1" t="str">
        <f t="shared" si="85"/>
        <v>n</v>
      </c>
    </row>
    <row r="630" spans="2:5">
      <c r="B630" s="6">
        <f t="shared" si="84"/>
        <v>214</v>
      </c>
      <c r="C630" s="23">
        <f t="shared" si="86"/>
        <v>0.14699089197231544</v>
      </c>
      <c r="D630" s="23"/>
      <c r="E630" s="1" t="str">
        <f t="shared" si="85"/>
        <v>n</v>
      </c>
    </row>
    <row r="631" spans="2:5">
      <c r="B631" s="6">
        <f t="shared" si="84"/>
        <v>215</v>
      </c>
      <c r="C631" s="23">
        <f t="shared" si="86"/>
        <v>0.14567977400625912</v>
      </c>
      <c r="D631" s="23"/>
      <c r="E631" s="1" t="str">
        <f t="shared" si="85"/>
        <v>n</v>
      </c>
    </row>
    <row r="632" spans="2:5">
      <c r="B632" s="6">
        <f t="shared" si="84"/>
        <v>216</v>
      </c>
      <c r="C632" s="23">
        <f t="shared" si="86"/>
        <v>0.14438035084862152</v>
      </c>
      <c r="D632" s="23"/>
      <c r="E632" s="1" t="str">
        <f t="shared" si="85"/>
        <v>n</v>
      </c>
    </row>
    <row r="633" spans="2:5">
      <c r="B633" s="6">
        <f t="shared" si="84"/>
        <v>217</v>
      </c>
      <c r="C633" s="23">
        <f t="shared" si="86"/>
        <v>0.14309251818495694</v>
      </c>
      <c r="D633" s="23"/>
      <c r="E633" s="1" t="str">
        <f t="shared" si="85"/>
        <v>n</v>
      </c>
    </row>
    <row r="634" spans="2:5">
      <c r="B634" s="6">
        <f t="shared" si="84"/>
        <v>218</v>
      </c>
      <c r="C634" s="23">
        <f t="shared" si="86"/>
        <v>0.14181617263127547</v>
      </c>
      <c r="D634" s="23"/>
      <c r="E634" s="1" t="str">
        <f t="shared" si="85"/>
        <v>n</v>
      </c>
    </row>
    <row r="635" spans="2:5">
      <c r="B635" s="6">
        <f t="shared" si="84"/>
        <v>219</v>
      </c>
      <c r="C635" s="23">
        <f t="shared" si="86"/>
        <v>0.14055121172574378</v>
      </c>
      <c r="D635" s="23"/>
      <c r="E635" s="1" t="str">
        <f t="shared" si="85"/>
        <v>n</v>
      </c>
    </row>
    <row r="636" spans="2:5">
      <c r="B636" s="6">
        <f t="shared" si="84"/>
        <v>220</v>
      </c>
      <c r="C636" s="23">
        <f t="shared" si="86"/>
        <v>0.13929753392045965</v>
      </c>
      <c r="D636" s="23"/>
      <c r="E636" s="1" t="str">
        <f t="shared" si="85"/>
        <v>n</v>
      </c>
    </row>
    <row r="637" spans="2:5">
      <c r="B637" s="6">
        <f t="shared" si="84"/>
        <v>221</v>
      </c>
      <c r="C637" s="23">
        <f t="shared" si="86"/>
        <v>0.13805503857329998</v>
      </c>
      <c r="D637" s="23"/>
      <c r="E637" s="1" t="str">
        <f t="shared" si="85"/>
        <v>n</v>
      </c>
    </row>
    <row r="638" spans="2:5">
      <c r="B638" s="6">
        <f t="shared" si="84"/>
        <v>222</v>
      </c>
      <c r="C638" s="23">
        <f t="shared" si="86"/>
        <v>0.13682362593984143</v>
      </c>
      <c r="D638" s="23"/>
      <c r="E638" s="1" t="str">
        <f t="shared" si="85"/>
        <v>n</v>
      </c>
    </row>
    <row r="639" spans="2:5">
      <c r="B639" s="6">
        <f t="shared" si="84"/>
        <v>223</v>
      </c>
      <c r="C639" s="23">
        <f t="shared" si="86"/>
        <v>0.13560319716535327</v>
      </c>
      <c r="D639" s="23"/>
      <c r="E639" s="1" t="str">
        <f t="shared" si="85"/>
        <v>n</v>
      </c>
    </row>
    <row r="640" spans="2:5">
      <c r="B640" s="6">
        <f t="shared" si="84"/>
        <v>224</v>
      </c>
      <c r="C640" s="23">
        <f t="shared" si="86"/>
        <v>0.13439365427686153</v>
      </c>
      <c r="D640" s="23"/>
      <c r="E640" s="1" t="str">
        <f t="shared" si="85"/>
        <v>n</v>
      </c>
    </row>
    <row r="641" spans="2:5">
      <c r="B641" s="6">
        <f t="shared" si="84"/>
        <v>225</v>
      </c>
      <c r="C641" s="23">
        <f t="shared" si="86"/>
        <v>0.13319490017528399</v>
      </c>
      <c r="D641" s="23"/>
      <c r="E641" s="1" t="str">
        <f t="shared" si="85"/>
        <v>n</v>
      </c>
    </row>
    <row r="642" spans="2:5">
      <c r="B642" s="6">
        <f t="shared" si="84"/>
        <v>226</v>
      </c>
      <c r="C642" s="23">
        <f t="shared" si="86"/>
        <v>0.13200683862763529</v>
      </c>
      <c r="D642" s="23"/>
      <c r="E642" s="1" t="str">
        <f t="shared" si="85"/>
        <v>n</v>
      </c>
    </row>
    <row r="643" spans="2:5">
      <c r="B643" s="6">
        <f t="shared" si="84"/>
        <v>227</v>
      </c>
      <c r="C643" s="23">
        <f t="shared" si="86"/>
        <v>0.13082937425930158</v>
      </c>
      <c r="D643" s="23"/>
      <c r="E643" s="1" t="str">
        <f t="shared" si="85"/>
        <v>n</v>
      </c>
    </row>
    <row r="644" spans="2:5">
      <c r="B644" s="6">
        <f t="shared" si="84"/>
        <v>228</v>
      </c>
      <c r="C644" s="23">
        <f t="shared" si="86"/>
        <v>0.12966241254638414</v>
      </c>
      <c r="D644" s="23"/>
      <c r="E644" s="1" t="str">
        <f t="shared" si="85"/>
        <v>n</v>
      </c>
    </row>
    <row r="645" spans="2:5">
      <c r="B645" s="6">
        <f t="shared" si="84"/>
        <v>229</v>
      </c>
      <c r="C645" s="23">
        <f t="shared" si="86"/>
        <v>0.12850585980811116</v>
      </c>
      <c r="D645" s="23"/>
      <c r="E645" s="1" t="str">
        <f t="shared" si="85"/>
        <v>n</v>
      </c>
    </row>
    <row r="646" spans="2:5">
      <c r="B646" s="6">
        <f t="shared" si="84"/>
        <v>230</v>
      </c>
      <c r="C646" s="23">
        <f t="shared" si="86"/>
        <v>0.12735962319931732</v>
      </c>
      <c r="D646" s="23"/>
      <c r="E646" s="1" t="str">
        <f t="shared" si="85"/>
        <v>n</v>
      </c>
    </row>
    <row r="647" spans="2:5">
      <c r="B647" s="6">
        <f t="shared" si="84"/>
        <v>231</v>
      </c>
      <c r="C647" s="23">
        <f t="shared" si="86"/>
        <v>0.12622361070299043</v>
      </c>
      <c r="D647" s="23"/>
      <c r="E647" s="1" t="str">
        <f t="shared" si="85"/>
        <v>n</v>
      </c>
    </row>
    <row r="648" spans="2:5">
      <c r="B648" s="6">
        <f t="shared" si="84"/>
        <v>232</v>
      </c>
      <c r="C648" s="23">
        <f t="shared" si="86"/>
        <v>0.12509773112288447</v>
      </c>
      <c r="D648" s="23"/>
      <c r="E648" s="1" t="str">
        <f t="shared" si="85"/>
        <v>n</v>
      </c>
    </row>
    <row r="649" spans="2:5">
      <c r="B649" s="6">
        <f t="shared" si="84"/>
        <v>233</v>
      </c>
      <c r="C649" s="23">
        <f t="shared" si="86"/>
        <v>0.1239818940761987</v>
      </c>
      <c r="D649" s="23"/>
      <c r="E649" s="1" t="str">
        <f t="shared" si="85"/>
        <v>n</v>
      </c>
    </row>
    <row r="650" spans="2:5">
      <c r="B650" s="6">
        <f t="shared" si="84"/>
        <v>234</v>
      </c>
      <c r="C650" s="23">
        <f t="shared" si="86"/>
        <v>0.12287600998632181</v>
      </c>
      <c r="D650" s="23"/>
      <c r="E650" s="1" t="str">
        <f t="shared" si="85"/>
        <v>n</v>
      </c>
    </row>
    <row r="651" spans="2:5">
      <c r="B651" s="6">
        <f t="shared" si="84"/>
        <v>235</v>
      </c>
      <c r="C651" s="23">
        <f t="shared" si="86"/>
        <v>0.12177999007564105</v>
      </c>
      <c r="D651" s="23"/>
      <c r="E651" s="1" t="str">
        <f t="shared" si="85"/>
        <v>n</v>
      </c>
    </row>
    <row r="652" spans="2:5">
      <c r="B652" s="6">
        <f t="shared" si="84"/>
        <v>236</v>
      </c>
      <c r="C652" s="23">
        <f t="shared" si="86"/>
        <v>0.12069374635841533</v>
      </c>
      <c r="D652" s="23"/>
      <c r="E652" s="1" t="str">
        <f t="shared" si="85"/>
        <v>n</v>
      </c>
    </row>
    <row r="653" spans="2:5">
      <c r="B653" s="6">
        <f t="shared" si="84"/>
        <v>237</v>
      </c>
      <c r="C653" s="23">
        <f t="shared" si="86"/>
        <v>0.11961719163371193</v>
      </c>
      <c r="D653" s="23"/>
      <c r="E653" s="1" t="str">
        <f t="shared" si="85"/>
        <v>n</v>
      </c>
    </row>
    <row r="654" spans="2:5">
      <c r="B654" s="6">
        <f t="shared" si="84"/>
        <v>238</v>
      </c>
      <c r="C654" s="23">
        <f t="shared" si="86"/>
        <v>0.11855023947840629</v>
      </c>
      <c r="D654" s="23"/>
      <c r="E654" s="1" t="str">
        <f t="shared" si="85"/>
        <v>n</v>
      </c>
    </row>
    <row r="655" spans="2:5">
      <c r="B655" s="6">
        <f t="shared" si="84"/>
        <v>239</v>
      </c>
      <c r="C655" s="23">
        <f t="shared" si="86"/>
        <v>0.11749280424024411</v>
      </c>
      <c r="D655" s="23"/>
      <c r="E655" s="1" t="str">
        <f t="shared" si="85"/>
        <v>n</v>
      </c>
    </row>
    <row r="656" spans="2:5">
      <c r="B656" s="6">
        <f t="shared" si="84"/>
        <v>240</v>
      </c>
      <c r="C656" s="23">
        <f t="shared" si="86"/>
        <v>0.11644480103096543</v>
      </c>
      <c r="D656" s="23"/>
      <c r="E656" s="1" t="str">
        <f t="shared" si="85"/>
        <v>n</v>
      </c>
    </row>
    <row r="657" spans="2:5">
      <c r="B657" s="6">
        <f t="shared" si="84"/>
        <v>241</v>
      </c>
      <c r="C657" s="23">
        <f t="shared" si="86"/>
        <v>0.11540614571949002</v>
      </c>
      <c r="D657" s="23"/>
      <c r="E657" s="1" t="str">
        <f t="shared" si="85"/>
        <v>n</v>
      </c>
    </row>
    <row r="658" spans="2:5">
      <c r="B658" s="6">
        <f t="shared" si="84"/>
        <v>242</v>
      </c>
      <c r="C658" s="23">
        <f t="shared" si="86"/>
        <v>0.11437675492516357</v>
      </c>
      <c r="D658" s="23"/>
      <c r="E658" s="1" t="str">
        <f t="shared" si="85"/>
        <v>n</v>
      </c>
    </row>
    <row r="659" spans="2:5">
      <c r="B659" s="6">
        <f t="shared" si="84"/>
        <v>243</v>
      </c>
      <c r="C659" s="23">
        <f t="shared" si="86"/>
        <v>0.113356546011064</v>
      </c>
      <c r="D659" s="23"/>
      <c r="E659" s="1" t="str">
        <f t="shared" si="85"/>
        <v>n</v>
      </c>
    </row>
    <row r="660" spans="2:5">
      <c r="B660" s="6">
        <f t="shared" si="84"/>
        <v>244</v>
      </c>
      <c r="C660" s="23">
        <f t="shared" si="86"/>
        <v>0.1123454370773677</v>
      </c>
      <c r="D660" s="23"/>
      <c r="E660" s="1" t="str">
        <f t="shared" si="85"/>
        <v>n</v>
      </c>
    </row>
    <row r="661" spans="2:5">
      <c r="B661" s="6">
        <f t="shared" si="84"/>
        <v>245</v>
      </c>
      <c r="C661" s="23">
        <f t="shared" si="86"/>
        <v>0.11134334695477474</v>
      </c>
      <c r="D661" s="23"/>
      <c r="E661" s="1" t="str">
        <f t="shared" si="85"/>
        <v>n</v>
      </c>
    </row>
    <row r="662" spans="2:5">
      <c r="B662" s="6">
        <f t="shared" si="84"/>
        <v>246</v>
      </c>
      <c r="C662" s="23">
        <f t="shared" si="86"/>
        <v>0.11035019519799281</v>
      </c>
      <c r="D662" s="23"/>
      <c r="E662" s="1" t="str">
        <f t="shared" si="85"/>
        <v>n</v>
      </c>
    </row>
    <row r="663" spans="2:5">
      <c r="B663" s="6">
        <f t="shared" si="84"/>
        <v>247</v>
      </c>
      <c r="C663" s="23">
        <f t="shared" si="86"/>
        <v>0.10936590207927931</v>
      </c>
      <c r="D663" s="23"/>
      <c r="E663" s="1" t="str">
        <f t="shared" si="85"/>
        <v>n</v>
      </c>
    </row>
    <row r="664" spans="2:5">
      <c r="B664" s="6">
        <f t="shared" si="84"/>
        <v>248</v>
      </c>
      <c r="C664" s="23">
        <f t="shared" si="86"/>
        <v>0.10839038858204095</v>
      </c>
      <c r="D664" s="23"/>
      <c r="E664" s="1" t="str">
        <f t="shared" si="85"/>
        <v>n</v>
      </c>
    </row>
    <row r="665" spans="2:5">
      <c r="B665" s="6">
        <f t="shared" si="84"/>
        <v>249</v>
      </c>
      <c r="C665" s="23">
        <f t="shared" si="86"/>
        <v>0.10742357639449054</v>
      </c>
      <c r="D665" s="23"/>
      <c r="E665" s="1" t="str">
        <f t="shared" si="85"/>
        <v>n</v>
      </c>
    </row>
    <row r="666" spans="2:5">
      <c r="B666" s="6">
        <f t="shared" si="84"/>
        <v>250</v>
      </c>
      <c r="C666" s="23">
        <f t="shared" si="86"/>
        <v>0.10646538790336031</v>
      </c>
      <c r="D666" s="23"/>
      <c r="E666" s="1" t="str">
        <f t="shared" si="85"/>
        <v>n</v>
      </c>
    </row>
    <row r="667" spans="2:5">
      <c r="B667" s="6">
        <f t="shared" si="84"/>
        <v>251</v>
      </c>
      <c r="C667" s="23">
        <f t="shared" si="86"/>
        <v>0.10551574618767127</v>
      </c>
      <c r="D667" s="23"/>
      <c r="E667" s="1" t="str">
        <f t="shared" si="85"/>
        <v>n</v>
      </c>
    </row>
    <row r="668" spans="2:5">
      <c r="B668" s="6">
        <f t="shared" si="84"/>
        <v>252</v>
      </c>
      <c r="C668" s="23">
        <f t="shared" si="86"/>
        <v>0.10457457501255826</v>
      </c>
      <c r="D668" s="23"/>
      <c r="E668" s="1" t="str">
        <f t="shared" si="85"/>
        <v>n</v>
      </c>
    </row>
    <row r="669" spans="2:5">
      <c r="B669" s="6">
        <f t="shared" si="84"/>
        <v>253</v>
      </c>
      <c r="C669" s="23">
        <f t="shared" si="86"/>
        <v>0.10364179882314993</v>
      </c>
      <c r="D669" s="23"/>
      <c r="E669" s="1" t="str">
        <f t="shared" si="85"/>
        <v>n</v>
      </c>
    </row>
    <row r="670" spans="2:5">
      <c r="B670" s="6">
        <f t="shared" si="84"/>
        <v>254</v>
      </c>
      <c r="C670" s="23">
        <f t="shared" si="86"/>
        <v>0.10271734273850341</v>
      </c>
      <c r="D670" s="23"/>
      <c r="E670" s="1" t="str">
        <f t="shared" si="85"/>
        <v>n</v>
      </c>
    </row>
    <row r="671" spans="2:5">
      <c r="B671" s="6">
        <f t="shared" si="84"/>
        <v>255</v>
      </c>
      <c r="C671" s="23">
        <f t="shared" si="86"/>
        <v>0.10180113254559309</v>
      </c>
      <c r="D671" s="23"/>
      <c r="E671" s="1" t="str">
        <f t="shared" si="85"/>
        <v>n</v>
      </c>
    </row>
    <row r="672" spans="2:5">
      <c r="B672" s="6">
        <f t="shared" si="84"/>
        <v>256</v>
      </c>
      <c r="C672" s="23">
        <f t="shared" si="86"/>
        <v>0.10089309469335292</v>
      </c>
      <c r="D672" s="23"/>
      <c r="E672" s="1" t="str">
        <f t="shared" si="85"/>
        <v>n</v>
      </c>
    </row>
    <row r="673" spans="2:5">
      <c r="B673" s="6">
        <f t="shared" si="84"/>
        <v>257</v>
      </c>
      <c r="C673" s="23">
        <f t="shared" si="86"/>
        <v>9.9993156286771981E-2</v>
      </c>
      <c r="D673" s="23"/>
      <c r="E673" s="1" t="str">
        <f t="shared" si="85"/>
        <v>n</v>
      </c>
    </row>
    <row r="674" spans="2:5">
      <c r="B674" s="6">
        <f t="shared" ref="B674:B737" si="87">B673+1</f>
        <v>258</v>
      </c>
      <c r="C674" s="23">
        <f t="shared" si="86"/>
        <v>9.9101245081042608E-2</v>
      </c>
      <c r="D674" s="23"/>
      <c r="E674" s="1" t="str">
        <f t="shared" ref="E674:E737" si="88">IF($B674&lt;=$I$8,"y","n")</f>
        <v>n</v>
      </c>
    </row>
    <row r="675" spans="2:5">
      <c r="B675" s="6">
        <f t="shared" si="87"/>
        <v>259</v>
      </c>
      <c r="C675" s="23">
        <f t="shared" si="86"/>
        <v>9.8217289475760777E-2</v>
      </c>
      <c r="D675" s="23"/>
      <c r="E675" s="1" t="str">
        <f t="shared" si="88"/>
        <v>n</v>
      </c>
    </row>
    <row r="676" spans="2:5">
      <c r="B676" s="6">
        <f t="shared" si="87"/>
        <v>260</v>
      </c>
      <c r="C676" s="23">
        <f t="shared" ref="C676:C739" si="89">C675/(1+I$10)</f>
        <v>9.7341218509178179E-2</v>
      </c>
      <c r="D676" s="23"/>
      <c r="E676" s="1" t="str">
        <f t="shared" si="88"/>
        <v>n</v>
      </c>
    </row>
    <row r="677" spans="2:5">
      <c r="B677" s="6">
        <f t="shared" si="87"/>
        <v>261</v>
      </c>
      <c r="C677" s="23">
        <f t="shared" si="89"/>
        <v>9.6472961852505631E-2</v>
      </c>
      <c r="D677" s="23"/>
      <c r="E677" s="1" t="str">
        <f t="shared" si="88"/>
        <v>n</v>
      </c>
    </row>
    <row r="678" spans="2:5">
      <c r="B678" s="6">
        <f t="shared" si="87"/>
        <v>262</v>
      </c>
      <c r="C678" s="23">
        <f t="shared" si="89"/>
        <v>9.5612449804267238E-2</v>
      </c>
      <c r="D678" s="23"/>
      <c r="E678" s="1" t="str">
        <f t="shared" si="88"/>
        <v>n</v>
      </c>
    </row>
    <row r="679" spans="2:5">
      <c r="B679" s="6">
        <f t="shared" si="87"/>
        <v>263</v>
      </c>
      <c r="C679" s="23">
        <f t="shared" si="89"/>
        <v>9.4759613284704905E-2</v>
      </c>
      <c r="D679" s="23"/>
      <c r="E679" s="1" t="str">
        <f t="shared" si="88"/>
        <v>n</v>
      </c>
    </row>
    <row r="680" spans="2:5">
      <c r="B680" s="6">
        <f t="shared" si="87"/>
        <v>264</v>
      </c>
      <c r="C680" s="23">
        <f t="shared" si="89"/>
        <v>9.3914383830232817E-2</v>
      </c>
      <c r="D680" s="23"/>
      <c r="E680" s="1" t="str">
        <f t="shared" si="88"/>
        <v>n</v>
      </c>
    </row>
    <row r="681" spans="2:5">
      <c r="B681" s="6">
        <f t="shared" si="87"/>
        <v>265</v>
      </c>
      <c r="C681" s="23">
        <f t="shared" si="89"/>
        <v>9.307669358794135E-2</v>
      </c>
      <c r="D681" s="23"/>
      <c r="E681" s="1" t="str">
        <f t="shared" si="88"/>
        <v>n</v>
      </c>
    </row>
    <row r="682" spans="2:5">
      <c r="B682" s="6">
        <f t="shared" si="87"/>
        <v>266</v>
      </c>
      <c r="C682" s="23">
        <f t="shared" si="89"/>
        <v>9.2246475310150011E-2</v>
      </c>
      <c r="D682" s="23"/>
      <c r="E682" s="1" t="str">
        <f t="shared" si="88"/>
        <v>n</v>
      </c>
    </row>
    <row r="683" spans="2:5">
      <c r="B683" s="6">
        <f t="shared" si="87"/>
        <v>267</v>
      </c>
      <c r="C683" s="23">
        <f t="shared" si="89"/>
        <v>9.1423662349008936E-2</v>
      </c>
      <c r="D683" s="23"/>
      <c r="E683" s="1" t="str">
        <f t="shared" si="88"/>
        <v>n</v>
      </c>
    </row>
    <row r="684" spans="2:5">
      <c r="B684" s="6">
        <f t="shared" si="87"/>
        <v>268</v>
      </c>
      <c r="C684" s="23">
        <f t="shared" si="89"/>
        <v>9.0608188651148613E-2</v>
      </c>
      <c r="D684" s="23"/>
      <c r="E684" s="1" t="str">
        <f t="shared" si="88"/>
        <v>n</v>
      </c>
    </row>
    <row r="685" spans="2:5">
      <c r="B685" s="6">
        <f t="shared" si="87"/>
        <v>269</v>
      </c>
      <c r="C685" s="23">
        <f t="shared" si="89"/>
        <v>8.9799988752377227E-2</v>
      </c>
      <c r="D685" s="23"/>
      <c r="E685" s="1" t="str">
        <f t="shared" si="88"/>
        <v>n</v>
      </c>
    </row>
    <row r="686" spans="2:5">
      <c r="B686" s="6">
        <f t="shared" si="87"/>
        <v>270</v>
      </c>
      <c r="C686" s="23">
        <f t="shared" si="89"/>
        <v>8.8998997772425412E-2</v>
      </c>
      <c r="D686" s="23"/>
      <c r="E686" s="1" t="str">
        <f t="shared" si="88"/>
        <v>n</v>
      </c>
    </row>
    <row r="687" spans="2:5">
      <c r="B687" s="6">
        <f t="shared" si="87"/>
        <v>271</v>
      </c>
      <c r="C687" s="23">
        <f t="shared" si="89"/>
        <v>8.8205151409737781E-2</v>
      </c>
      <c r="D687" s="23"/>
      <c r="E687" s="1" t="str">
        <f t="shared" si="88"/>
        <v>n</v>
      </c>
    </row>
    <row r="688" spans="2:5">
      <c r="B688" s="6">
        <f t="shared" si="87"/>
        <v>272</v>
      </c>
      <c r="C688" s="23">
        <f t="shared" si="89"/>
        <v>8.7418385936310988E-2</v>
      </c>
      <c r="D688" s="23"/>
      <c r="E688" s="1" t="str">
        <f t="shared" si="88"/>
        <v>n</v>
      </c>
    </row>
    <row r="689" spans="2:5">
      <c r="B689" s="6">
        <f t="shared" si="87"/>
        <v>273</v>
      </c>
      <c r="C689" s="23">
        <f t="shared" si="89"/>
        <v>8.6638638192577791E-2</v>
      </c>
      <c r="D689" s="23"/>
      <c r="E689" s="1" t="str">
        <f t="shared" si="88"/>
        <v>n</v>
      </c>
    </row>
    <row r="690" spans="2:5">
      <c r="B690" s="6">
        <f t="shared" si="87"/>
        <v>274</v>
      </c>
      <c r="C690" s="23">
        <f t="shared" si="89"/>
        <v>8.5865845582336772E-2</v>
      </c>
      <c r="D690" s="23"/>
      <c r="E690" s="1" t="str">
        <f t="shared" si="88"/>
        <v>n</v>
      </c>
    </row>
    <row r="691" spans="2:5">
      <c r="B691" s="6">
        <f t="shared" si="87"/>
        <v>275</v>
      </c>
      <c r="C691" s="23">
        <f t="shared" si="89"/>
        <v>8.5099946067727236E-2</v>
      </c>
      <c r="D691" s="23"/>
      <c r="E691" s="1" t="str">
        <f t="shared" si="88"/>
        <v>n</v>
      </c>
    </row>
    <row r="692" spans="2:5">
      <c r="B692" s="6">
        <f t="shared" si="87"/>
        <v>276</v>
      </c>
      <c r="C692" s="23">
        <f t="shared" si="89"/>
        <v>8.4340878164248997E-2</v>
      </c>
      <c r="D692" s="23"/>
      <c r="E692" s="1" t="str">
        <f t="shared" si="88"/>
        <v>n</v>
      </c>
    </row>
    <row r="693" spans="2:5">
      <c r="B693" s="6">
        <f t="shared" si="87"/>
        <v>277</v>
      </c>
      <c r="C693" s="23">
        <f t="shared" si="89"/>
        <v>8.3588580935826565E-2</v>
      </c>
      <c r="D693" s="23"/>
      <c r="E693" s="1" t="str">
        <f t="shared" si="88"/>
        <v>n</v>
      </c>
    </row>
    <row r="694" spans="2:5">
      <c r="B694" s="6">
        <f t="shared" si="87"/>
        <v>278</v>
      </c>
      <c r="C694" s="23">
        <f t="shared" si="89"/>
        <v>8.2842993989917318E-2</v>
      </c>
      <c r="D694" s="23"/>
      <c r="E694" s="1" t="str">
        <f t="shared" si="88"/>
        <v>n</v>
      </c>
    </row>
    <row r="695" spans="2:5">
      <c r="B695" s="6">
        <f t="shared" si="87"/>
        <v>279</v>
      </c>
      <c r="C695" s="23">
        <f t="shared" si="89"/>
        <v>8.2104057472663361E-2</v>
      </c>
      <c r="D695" s="23"/>
      <c r="E695" s="1" t="str">
        <f t="shared" si="88"/>
        <v>n</v>
      </c>
    </row>
    <row r="696" spans="2:5">
      <c r="B696" s="6">
        <f t="shared" si="87"/>
        <v>280</v>
      </c>
      <c r="C696" s="23">
        <f t="shared" si="89"/>
        <v>8.1371712064086596E-2</v>
      </c>
      <c r="D696" s="23"/>
      <c r="E696" s="1" t="str">
        <f t="shared" si="88"/>
        <v>n</v>
      </c>
    </row>
    <row r="697" spans="2:5">
      <c r="B697" s="6">
        <f t="shared" si="87"/>
        <v>281</v>
      </c>
      <c r="C697" s="23">
        <f t="shared" si="89"/>
        <v>8.0645898973326663E-2</v>
      </c>
      <c r="D697" s="23"/>
      <c r="E697" s="1" t="str">
        <f t="shared" si="88"/>
        <v>n</v>
      </c>
    </row>
    <row r="698" spans="2:5">
      <c r="B698" s="6">
        <f t="shared" si="87"/>
        <v>282</v>
      </c>
      <c r="C698" s="23">
        <f t="shared" si="89"/>
        <v>7.9926559933921379E-2</v>
      </c>
      <c r="D698" s="23"/>
      <c r="E698" s="1" t="str">
        <f t="shared" si="88"/>
        <v>n</v>
      </c>
    </row>
    <row r="699" spans="2:5">
      <c r="B699" s="6">
        <f t="shared" si="87"/>
        <v>283</v>
      </c>
      <c r="C699" s="23">
        <f t="shared" si="89"/>
        <v>7.921363719912923E-2</v>
      </c>
      <c r="D699" s="23"/>
      <c r="E699" s="1" t="str">
        <f t="shared" si="88"/>
        <v>n</v>
      </c>
    </row>
    <row r="700" spans="2:5">
      <c r="B700" s="6">
        <f t="shared" si="87"/>
        <v>284</v>
      </c>
      <c r="C700" s="23">
        <f t="shared" si="89"/>
        <v>7.8507073537293595E-2</v>
      </c>
      <c r="D700" s="23"/>
      <c r="E700" s="1" t="str">
        <f t="shared" si="88"/>
        <v>n</v>
      </c>
    </row>
    <row r="701" spans="2:5">
      <c r="B701" s="6">
        <f t="shared" si="87"/>
        <v>285</v>
      </c>
      <c r="C701" s="23">
        <f t="shared" si="89"/>
        <v>7.7806812227248362E-2</v>
      </c>
      <c r="D701" s="23"/>
      <c r="E701" s="1" t="str">
        <f t="shared" si="88"/>
        <v>n</v>
      </c>
    </row>
    <row r="702" spans="2:5">
      <c r="B702" s="6">
        <f t="shared" si="87"/>
        <v>286</v>
      </c>
      <c r="C702" s="23">
        <f t="shared" si="89"/>
        <v>7.711279705376449E-2</v>
      </c>
      <c r="D702" s="23"/>
      <c r="E702" s="1" t="str">
        <f t="shared" si="88"/>
        <v>n</v>
      </c>
    </row>
    <row r="703" spans="2:5">
      <c r="B703" s="6">
        <f t="shared" si="87"/>
        <v>287</v>
      </c>
      <c r="C703" s="23">
        <f t="shared" si="89"/>
        <v>7.6424972303037159E-2</v>
      </c>
      <c r="D703" s="23"/>
      <c r="E703" s="1" t="str">
        <f t="shared" si="88"/>
        <v>n</v>
      </c>
    </row>
    <row r="704" spans="2:5">
      <c r="B704" s="6">
        <f t="shared" si="87"/>
        <v>288</v>
      </c>
      <c r="C704" s="23">
        <f t="shared" si="89"/>
        <v>7.5743282758213251E-2</v>
      </c>
      <c r="D704" s="23"/>
      <c r="E704" s="1" t="str">
        <f t="shared" si="88"/>
        <v>n</v>
      </c>
    </row>
    <row r="705" spans="2:5">
      <c r="B705" s="6">
        <f t="shared" si="87"/>
        <v>289</v>
      </c>
      <c r="C705" s="23">
        <f t="shared" si="89"/>
        <v>7.5067673694958634E-2</v>
      </c>
      <c r="D705" s="23"/>
      <c r="E705" s="1" t="str">
        <f t="shared" si="88"/>
        <v>n</v>
      </c>
    </row>
    <row r="706" spans="2:5">
      <c r="B706" s="6">
        <f t="shared" si="87"/>
        <v>290</v>
      </c>
      <c r="C706" s="23">
        <f t="shared" si="89"/>
        <v>7.439809087706506E-2</v>
      </c>
      <c r="D706" s="23"/>
      <c r="E706" s="1" t="str">
        <f t="shared" si="88"/>
        <v>n</v>
      </c>
    </row>
    <row r="707" spans="2:5">
      <c r="B707" s="6">
        <f t="shared" si="87"/>
        <v>291</v>
      </c>
      <c r="C707" s="23">
        <f t="shared" si="89"/>
        <v>7.3734480552096207E-2</v>
      </c>
      <c r="D707" s="23"/>
      <c r="E707" s="1" t="str">
        <f t="shared" si="88"/>
        <v>n</v>
      </c>
    </row>
    <row r="708" spans="2:5">
      <c r="B708" s="6">
        <f t="shared" si="87"/>
        <v>292</v>
      </c>
      <c r="C708" s="23">
        <f t="shared" si="89"/>
        <v>7.3076789447072563E-2</v>
      </c>
      <c r="D708" s="23"/>
      <c r="E708" s="1" t="str">
        <f t="shared" si="88"/>
        <v>n</v>
      </c>
    </row>
    <row r="709" spans="2:5">
      <c r="B709" s="6">
        <f t="shared" si="87"/>
        <v>293</v>
      </c>
      <c r="C709" s="23">
        <f t="shared" si="89"/>
        <v>7.2424964764194813E-2</v>
      </c>
      <c r="D709" s="23"/>
      <c r="E709" s="1" t="str">
        <f t="shared" si="88"/>
        <v>n</v>
      </c>
    </row>
    <row r="710" spans="2:5">
      <c r="B710" s="6">
        <f t="shared" si="87"/>
        <v>294</v>
      </c>
      <c r="C710" s="23">
        <f t="shared" si="89"/>
        <v>7.1778954176605375E-2</v>
      </c>
      <c r="D710" s="23"/>
      <c r="E710" s="1" t="str">
        <f t="shared" si="88"/>
        <v>n</v>
      </c>
    </row>
    <row r="711" spans="2:5">
      <c r="B711" s="6">
        <f t="shared" si="87"/>
        <v>295</v>
      </c>
      <c r="C711" s="23">
        <f t="shared" si="89"/>
        <v>7.1138705824187687E-2</v>
      </c>
      <c r="D711" s="23"/>
      <c r="E711" s="1" t="str">
        <f t="shared" si="88"/>
        <v>n</v>
      </c>
    </row>
    <row r="712" spans="2:5">
      <c r="B712" s="6">
        <f t="shared" si="87"/>
        <v>296</v>
      </c>
      <c r="C712" s="23">
        <f t="shared" si="89"/>
        <v>7.0504168309403065E-2</v>
      </c>
      <c r="D712" s="23"/>
      <c r="E712" s="1" t="str">
        <f t="shared" si="88"/>
        <v>n</v>
      </c>
    </row>
    <row r="713" spans="2:5">
      <c r="B713" s="6">
        <f t="shared" si="87"/>
        <v>297</v>
      </c>
      <c r="C713" s="23">
        <f t="shared" si="89"/>
        <v>6.9875290693164588E-2</v>
      </c>
      <c r="D713" s="23"/>
      <c r="E713" s="1" t="str">
        <f t="shared" si="88"/>
        <v>n</v>
      </c>
    </row>
    <row r="714" spans="2:5">
      <c r="B714" s="6">
        <f t="shared" si="87"/>
        <v>298</v>
      </c>
      <c r="C714" s="23">
        <f t="shared" si="89"/>
        <v>6.9252022490747869E-2</v>
      </c>
      <c r="D714" s="23"/>
      <c r="E714" s="1" t="str">
        <f t="shared" si="88"/>
        <v>n</v>
      </c>
    </row>
    <row r="715" spans="2:5">
      <c r="B715" s="6">
        <f t="shared" si="87"/>
        <v>299</v>
      </c>
      <c r="C715" s="23">
        <f t="shared" si="89"/>
        <v>6.8634313667738228E-2</v>
      </c>
      <c r="D715" s="23"/>
      <c r="E715" s="1" t="str">
        <f t="shared" si="88"/>
        <v>n</v>
      </c>
    </row>
    <row r="716" spans="2:5">
      <c r="B716" s="6">
        <f t="shared" si="87"/>
        <v>300</v>
      </c>
      <c r="C716" s="23">
        <f t="shared" si="89"/>
        <v>6.8022114636014111E-2</v>
      </c>
      <c r="D716" s="23"/>
      <c r="E716" s="1" t="str">
        <f t="shared" si="88"/>
        <v>n</v>
      </c>
    </row>
    <row r="717" spans="2:5">
      <c r="B717" s="6">
        <f t="shared" si="87"/>
        <v>301</v>
      </c>
      <c r="C717" s="23">
        <f t="shared" si="89"/>
        <v>6.7415376249766221E-2</v>
      </c>
      <c r="D717" s="23"/>
      <c r="E717" s="1" t="str">
        <f t="shared" si="88"/>
        <v>n</v>
      </c>
    </row>
    <row r="718" spans="2:5">
      <c r="B718" s="6">
        <f t="shared" si="87"/>
        <v>302</v>
      </c>
      <c r="C718" s="23">
        <f t="shared" si="89"/>
        <v>6.6814049801552255E-2</v>
      </c>
      <c r="D718" s="23"/>
      <c r="E718" s="1" t="str">
        <f t="shared" si="88"/>
        <v>n</v>
      </c>
    </row>
    <row r="719" spans="2:5">
      <c r="B719" s="6">
        <f t="shared" si="87"/>
        <v>303</v>
      </c>
      <c r="C719" s="23">
        <f t="shared" si="89"/>
        <v>6.6218087018386787E-2</v>
      </c>
      <c r="D719" s="23"/>
      <c r="E719" s="1" t="str">
        <f t="shared" si="88"/>
        <v>n</v>
      </c>
    </row>
    <row r="720" spans="2:5">
      <c r="B720" s="6">
        <f t="shared" si="87"/>
        <v>304</v>
      </c>
      <c r="C720" s="23">
        <f t="shared" si="89"/>
        <v>6.5627440057865999E-2</v>
      </c>
      <c r="D720" s="23"/>
      <c r="E720" s="1" t="str">
        <f t="shared" si="88"/>
        <v>n</v>
      </c>
    </row>
    <row r="721" spans="2:5">
      <c r="B721" s="6">
        <f t="shared" si="87"/>
        <v>305</v>
      </c>
      <c r="C721" s="23">
        <f t="shared" si="89"/>
        <v>6.5042061504327064E-2</v>
      </c>
      <c r="D721" s="23"/>
      <c r="E721" s="1" t="str">
        <f t="shared" si="88"/>
        <v>n</v>
      </c>
    </row>
    <row r="722" spans="2:5">
      <c r="B722" s="6">
        <f t="shared" si="87"/>
        <v>306</v>
      </c>
      <c r="C722" s="23">
        <f t="shared" si="89"/>
        <v>6.4461904365041692E-2</v>
      </c>
      <c r="D722" s="23"/>
      <c r="E722" s="1" t="str">
        <f t="shared" si="88"/>
        <v>n</v>
      </c>
    </row>
    <row r="723" spans="2:5">
      <c r="B723" s="6">
        <f t="shared" si="87"/>
        <v>307</v>
      </c>
      <c r="C723" s="23">
        <f t="shared" si="89"/>
        <v>6.388692206644371E-2</v>
      </c>
      <c r="D723" s="23"/>
      <c r="E723" s="1" t="str">
        <f t="shared" si="88"/>
        <v>n</v>
      </c>
    </row>
    <row r="724" spans="2:5">
      <c r="B724" s="6">
        <f t="shared" si="87"/>
        <v>308</v>
      </c>
      <c r="C724" s="23">
        <f t="shared" si="89"/>
        <v>6.3317068450390201E-2</v>
      </c>
      <c r="D724" s="23"/>
      <c r="E724" s="1" t="str">
        <f t="shared" si="88"/>
        <v>n</v>
      </c>
    </row>
    <row r="725" spans="2:5">
      <c r="B725" s="6">
        <f t="shared" si="87"/>
        <v>309</v>
      </c>
      <c r="C725" s="23">
        <f t="shared" si="89"/>
        <v>6.27522977704561E-2</v>
      </c>
      <c r="D725" s="23"/>
      <c r="E725" s="1" t="str">
        <f t="shared" si="88"/>
        <v>n</v>
      </c>
    </row>
    <row r="726" spans="2:5">
      <c r="B726" s="6">
        <f t="shared" si="87"/>
        <v>310</v>
      </c>
      <c r="C726" s="23">
        <f t="shared" si="89"/>
        <v>6.2192564688261752E-2</v>
      </c>
      <c r="D726" s="23"/>
      <c r="E726" s="1" t="str">
        <f t="shared" si="88"/>
        <v>n</v>
      </c>
    </row>
    <row r="727" spans="2:5">
      <c r="B727" s="6">
        <f t="shared" si="87"/>
        <v>311</v>
      </c>
      <c r="C727" s="23">
        <f t="shared" si="89"/>
        <v>6.1637824269833261E-2</v>
      </c>
      <c r="D727" s="23"/>
      <c r="E727" s="1" t="str">
        <f t="shared" si="88"/>
        <v>n</v>
      </c>
    </row>
    <row r="728" spans="2:5">
      <c r="B728" s="6">
        <f t="shared" si="87"/>
        <v>312</v>
      </c>
      <c r="C728" s="23">
        <f t="shared" si="89"/>
        <v>6.1088031981995312E-2</v>
      </c>
      <c r="D728" s="23"/>
      <c r="E728" s="1" t="str">
        <f t="shared" si="88"/>
        <v>n</v>
      </c>
    </row>
    <row r="729" spans="2:5">
      <c r="B729" s="6">
        <f t="shared" si="87"/>
        <v>313</v>
      </c>
      <c r="C729" s="23">
        <f t="shared" si="89"/>
        <v>6.0543143688796153E-2</v>
      </c>
      <c r="D729" s="23"/>
      <c r="E729" s="1" t="str">
        <f t="shared" si="88"/>
        <v>n</v>
      </c>
    </row>
    <row r="730" spans="2:5">
      <c r="B730" s="6">
        <f t="shared" si="87"/>
        <v>314</v>
      </c>
      <c r="C730" s="23">
        <f t="shared" si="89"/>
        <v>6.0003115647964476E-2</v>
      </c>
      <c r="D730" s="23"/>
      <c r="E730" s="1" t="str">
        <f t="shared" si="88"/>
        <v>n</v>
      </c>
    </row>
    <row r="731" spans="2:5">
      <c r="B731" s="6">
        <f t="shared" si="87"/>
        <v>315</v>
      </c>
      <c r="C731" s="23">
        <f t="shared" si="89"/>
        <v>5.9467904507397903E-2</v>
      </c>
      <c r="D731" s="23"/>
      <c r="E731" s="1" t="str">
        <f t="shared" si="88"/>
        <v>n</v>
      </c>
    </row>
    <row r="732" spans="2:5">
      <c r="B732" s="6">
        <f t="shared" si="87"/>
        <v>316</v>
      </c>
      <c r="C732" s="23">
        <f t="shared" si="89"/>
        <v>5.8937467301682762E-2</v>
      </c>
      <c r="D732" s="23"/>
      <c r="E732" s="1" t="str">
        <f t="shared" si="88"/>
        <v>n</v>
      </c>
    </row>
    <row r="733" spans="2:5">
      <c r="B733" s="6">
        <f t="shared" si="87"/>
        <v>317</v>
      </c>
      <c r="C733" s="23">
        <f t="shared" si="89"/>
        <v>5.8411761448644961E-2</v>
      </c>
      <c r="D733" s="23"/>
      <c r="E733" s="1" t="str">
        <f t="shared" si="88"/>
        <v>n</v>
      </c>
    </row>
    <row r="734" spans="2:5">
      <c r="B734" s="6">
        <f t="shared" si="87"/>
        <v>318</v>
      </c>
      <c r="C734" s="23">
        <f t="shared" si="89"/>
        <v>5.7890744745931581E-2</v>
      </c>
      <c r="D734" s="23"/>
      <c r="E734" s="1" t="str">
        <f t="shared" si="88"/>
        <v>n</v>
      </c>
    </row>
    <row r="735" spans="2:5">
      <c r="B735" s="6">
        <f t="shared" si="87"/>
        <v>319</v>
      </c>
      <c r="C735" s="23">
        <f t="shared" si="89"/>
        <v>5.7374375367622979E-2</v>
      </c>
      <c r="D735" s="23"/>
      <c r="E735" s="1" t="str">
        <f t="shared" si="88"/>
        <v>n</v>
      </c>
    </row>
    <row r="736" spans="2:5">
      <c r="B736" s="6">
        <f t="shared" si="87"/>
        <v>320</v>
      </c>
      <c r="C736" s="23">
        <f t="shared" si="89"/>
        <v>5.6862611860875108E-2</v>
      </c>
      <c r="D736" s="23"/>
      <c r="E736" s="1" t="str">
        <f t="shared" si="88"/>
        <v>n</v>
      </c>
    </row>
    <row r="737" spans="2:5">
      <c r="B737" s="6">
        <f t="shared" si="87"/>
        <v>321</v>
      </c>
      <c r="C737" s="23">
        <f t="shared" si="89"/>
        <v>5.6355413142591786E-2</v>
      </c>
      <c r="D737" s="23"/>
      <c r="E737" s="1" t="str">
        <f t="shared" si="88"/>
        <v>n</v>
      </c>
    </row>
    <row r="738" spans="2:5">
      <c r="B738" s="6">
        <f t="shared" ref="B738:B779" si="90">B737+1</f>
        <v>322</v>
      </c>
      <c r="C738" s="23">
        <f t="shared" si="89"/>
        <v>5.5852738496126653E-2</v>
      </c>
      <c r="D738" s="23"/>
      <c r="E738" s="1" t="str">
        <f t="shared" ref="E738:E779" si="91">IF($B738&lt;=$I$8,"y","n")</f>
        <v>n</v>
      </c>
    </row>
    <row r="739" spans="2:5">
      <c r="B739" s="6">
        <f t="shared" si="90"/>
        <v>323</v>
      </c>
      <c r="C739" s="23">
        <f t="shared" si="89"/>
        <v>5.5354547568014528E-2</v>
      </c>
      <c r="D739" s="23"/>
      <c r="E739" s="1" t="str">
        <f t="shared" si="91"/>
        <v>n</v>
      </c>
    </row>
    <row r="740" spans="2:5">
      <c r="B740" s="6">
        <f t="shared" si="90"/>
        <v>324</v>
      </c>
      <c r="C740" s="23">
        <f t="shared" ref="C740:C779" si="92">C739/(1+I$10)</f>
        <v>5.4860800364731947E-2</v>
      </c>
      <c r="D740" s="23"/>
      <c r="E740" s="1" t="str">
        <f t="shared" si="91"/>
        <v>n</v>
      </c>
    </row>
    <row r="741" spans="2:5">
      <c r="B741" s="6">
        <f t="shared" si="90"/>
        <v>325</v>
      </c>
      <c r="C741" s="23">
        <f t="shared" si="92"/>
        <v>5.4371457249486575E-2</v>
      </c>
      <c r="D741" s="23"/>
      <c r="E741" s="1" t="str">
        <f t="shared" si="91"/>
        <v>n</v>
      </c>
    </row>
    <row r="742" spans="2:5">
      <c r="B742" s="6">
        <f t="shared" si="90"/>
        <v>326</v>
      </c>
      <c r="C742" s="23">
        <f t="shared" si="92"/>
        <v>5.3886478939035261E-2</v>
      </c>
      <c r="D742" s="23"/>
      <c r="E742" s="1" t="str">
        <f t="shared" si="91"/>
        <v>n</v>
      </c>
    </row>
    <row r="743" spans="2:5">
      <c r="B743" s="6">
        <f t="shared" si="90"/>
        <v>327</v>
      </c>
      <c r="C743" s="23">
        <f t="shared" si="92"/>
        <v>5.3405826500530489E-2</v>
      </c>
      <c r="D743" s="23"/>
      <c r="E743" s="1" t="str">
        <f t="shared" si="91"/>
        <v>n</v>
      </c>
    </row>
    <row r="744" spans="2:5">
      <c r="B744" s="6">
        <f t="shared" si="90"/>
        <v>328</v>
      </c>
      <c r="C744" s="23">
        <f t="shared" si="92"/>
        <v>5.2929461348394942E-2</v>
      </c>
      <c r="D744" s="23"/>
      <c r="E744" s="1" t="str">
        <f t="shared" si="91"/>
        <v>n</v>
      </c>
    </row>
    <row r="745" spans="2:5">
      <c r="B745" s="6">
        <f t="shared" si="90"/>
        <v>329</v>
      </c>
      <c r="C745" s="23">
        <f t="shared" si="92"/>
        <v>5.2457345241223932E-2</v>
      </c>
      <c r="D745" s="23"/>
      <c r="E745" s="1" t="str">
        <f t="shared" si="91"/>
        <v>n</v>
      </c>
    </row>
    <row r="746" spans="2:5">
      <c r="B746" s="6">
        <f t="shared" si="90"/>
        <v>330</v>
      </c>
      <c r="C746" s="23">
        <f t="shared" si="92"/>
        <v>5.19894402787155E-2</v>
      </c>
      <c r="D746" s="23"/>
      <c r="E746" s="1" t="str">
        <f t="shared" si="91"/>
        <v>n</v>
      </c>
    </row>
    <row r="747" spans="2:5">
      <c r="B747" s="6">
        <f t="shared" si="90"/>
        <v>331</v>
      </c>
      <c r="C747" s="23">
        <f t="shared" si="92"/>
        <v>5.1525708898627856E-2</v>
      </c>
      <c r="D747" s="23"/>
      <c r="E747" s="1" t="str">
        <f t="shared" si="91"/>
        <v>n</v>
      </c>
    </row>
    <row r="748" spans="2:5">
      <c r="B748" s="6">
        <f t="shared" si="90"/>
        <v>332</v>
      </c>
      <c r="C748" s="23">
        <f t="shared" si="92"/>
        <v>5.1066113873763988E-2</v>
      </c>
      <c r="D748" s="23"/>
      <c r="E748" s="1" t="str">
        <f t="shared" si="91"/>
        <v>n</v>
      </c>
    </row>
    <row r="749" spans="2:5">
      <c r="B749" s="6">
        <f t="shared" si="90"/>
        <v>333</v>
      </c>
      <c r="C749" s="23">
        <f t="shared" si="92"/>
        <v>5.0610618308983148E-2</v>
      </c>
      <c r="D749" s="23"/>
      <c r="E749" s="1" t="str">
        <f t="shared" si="91"/>
        <v>n</v>
      </c>
    </row>
    <row r="750" spans="2:5">
      <c r="B750" s="6">
        <f t="shared" si="90"/>
        <v>334</v>
      </c>
      <c r="C750" s="23">
        <f t="shared" si="92"/>
        <v>5.0159185638239005E-2</v>
      </c>
      <c r="D750" s="23"/>
      <c r="E750" s="1" t="str">
        <f t="shared" si="91"/>
        <v>n</v>
      </c>
    </row>
    <row r="751" spans="2:5">
      <c r="B751" s="6">
        <f t="shared" si="90"/>
        <v>335</v>
      </c>
      <c r="C751" s="23">
        <f t="shared" si="92"/>
        <v>4.9711779621644213E-2</v>
      </c>
      <c r="D751" s="23"/>
      <c r="E751" s="1" t="str">
        <f t="shared" si="91"/>
        <v>n</v>
      </c>
    </row>
    <row r="752" spans="2:5">
      <c r="B752" s="6">
        <f t="shared" si="90"/>
        <v>336</v>
      </c>
      <c r="C752" s="23">
        <f t="shared" si="92"/>
        <v>4.9268364342561169E-2</v>
      </c>
      <c r="D752" s="23"/>
      <c r="E752" s="1" t="str">
        <f t="shared" si="91"/>
        <v>n</v>
      </c>
    </row>
    <row r="753" spans="2:5">
      <c r="B753" s="6">
        <f t="shared" si="90"/>
        <v>337</v>
      </c>
      <c r="C753" s="23">
        <f t="shared" si="92"/>
        <v>4.8828904204718707E-2</v>
      </c>
      <c r="D753" s="23"/>
      <c r="E753" s="1" t="str">
        <f t="shared" si="91"/>
        <v>n</v>
      </c>
    </row>
    <row r="754" spans="2:5">
      <c r="B754" s="6">
        <f t="shared" si="90"/>
        <v>338</v>
      </c>
      <c r="C754" s="23">
        <f t="shared" si="92"/>
        <v>4.8393363929354519E-2</v>
      </c>
      <c r="D754" s="23"/>
      <c r="E754" s="1" t="str">
        <f t="shared" si="91"/>
        <v>n</v>
      </c>
    </row>
    <row r="755" spans="2:5">
      <c r="B755" s="6">
        <f t="shared" si="90"/>
        <v>339</v>
      </c>
      <c r="C755" s="23">
        <f t="shared" si="92"/>
        <v>4.7961708552383076E-2</v>
      </c>
      <c r="D755" s="23"/>
      <c r="E755" s="1" t="str">
        <f t="shared" si="91"/>
        <v>n</v>
      </c>
    </row>
    <row r="756" spans="2:5">
      <c r="B756" s="6">
        <f t="shared" si="90"/>
        <v>340</v>
      </c>
      <c r="C756" s="23">
        <f t="shared" si="92"/>
        <v>4.753390342158878E-2</v>
      </c>
      <c r="D756" s="23"/>
      <c r="E756" s="1" t="str">
        <f t="shared" si="91"/>
        <v>n</v>
      </c>
    </row>
    <row r="757" spans="2:5">
      <c r="B757" s="6">
        <f t="shared" si="90"/>
        <v>341</v>
      </c>
      <c r="C757" s="23">
        <f t="shared" si="92"/>
        <v>4.7109914193844186E-2</v>
      </c>
      <c r="D757" s="23"/>
      <c r="E757" s="1" t="str">
        <f t="shared" si="91"/>
        <v>n</v>
      </c>
    </row>
    <row r="758" spans="2:5">
      <c r="B758" s="6">
        <f t="shared" si="90"/>
        <v>342</v>
      </c>
      <c r="C758" s="23">
        <f t="shared" si="92"/>
        <v>4.6689706832353017E-2</v>
      </c>
      <c r="D758" s="23"/>
      <c r="E758" s="1" t="str">
        <f t="shared" si="91"/>
        <v>n</v>
      </c>
    </row>
    <row r="759" spans="2:5">
      <c r="B759" s="6">
        <f t="shared" si="90"/>
        <v>343</v>
      </c>
      <c r="C759" s="23">
        <f t="shared" si="92"/>
        <v>4.627324760391776E-2</v>
      </c>
      <c r="D759" s="23"/>
      <c r="E759" s="1" t="str">
        <f t="shared" si="91"/>
        <v>n</v>
      </c>
    </row>
    <row r="760" spans="2:5">
      <c r="B760" s="6">
        <f t="shared" si="90"/>
        <v>344</v>
      </c>
      <c r="C760" s="23">
        <f t="shared" si="92"/>
        <v>4.5860503076231678E-2</v>
      </c>
      <c r="D760" s="23"/>
      <c r="E760" s="1" t="str">
        <f t="shared" si="91"/>
        <v>n</v>
      </c>
    </row>
    <row r="761" spans="2:5">
      <c r="B761" s="6">
        <f t="shared" si="90"/>
        <v>345</v>
      </c>
      <c r="C761" s="23">
        <f t="shared" si="92"/>
        <v>4.5451440115194926E-2</v>
      </c>
      <c r="D761" s="23"/>
      <c r="E761" s="1" t="str">
        <f t="shared" si="91"/>
        <v>n</v>
      </c>
    </row>
    <row r="762" spans="2:5">
      <c r="B762" s="6">
        <f t="shared" si="90"/>
        <v>346</v>
      </c>
      <c r="C762" s="23">
        <f t="shared" si="92"/>
        <v>4.5046025882254641E-2</v>
      </c>
      <c r="D762" s="23"/>
      <c r="E762" s="1" t="str">
        <f t="shared" si="91"/>
        <v>n</v>
      </c>
    </row>
    <row r="763" spans="2:5">
      <c r="B763" s="6">
        <f t="shared" si="90"/>
        <v>347</v>
      </c>
      <c r="C763" s="23">
        <f t="shared" si="92"/>
        <v>4.4644227831768725E-2</v>
      </c>
      <c r="D763" s="23"/>
      <c r="E763" s="1" t="str">
        <f t="shared" si="91"/>
        <v>n</v>
      </c>
    </row>
    <row r="764" spans="2:5">
      <c r="B764" s="6">
        <f t="shared" si="90"/>
        <v>348</v>
      </c>
      <c r="C764" s="23">
        <f t="shared" si="92"/>
        <v>4.4246013708393192E-2</v>
      </c>
      <c r="D764" s="23"/>
      <c r="E764" s="1" t="str">
        <f t="shared" si="91"/>
        <v>n</v>
      </c>
    </row>
    <row r="765" spans="2:5">
      <c r="B765" s="6">
        <f t="shared" si="90"/>
        <v>349</v>
      </c>
      <c r="C765" s="23">
        <f t="shared" si="92"/>
        <v>4.385135154449276E-2</v>
      </c>
      <c r="D765" s="23"/>
      <c r="E765" s="1" t="str">
        <f t="shared" si="91"/>
        <v>n</v>
      </c>
    </row>
    <row r="766" spans="2:5">
      <c r="B766" s="6">
        <f t="shared" si="90"/>
        <v>350</v>
      </c>
      <c r="C766" s="23">
        <f t="shared" si="92"/>
        <v>4.3460209657574592E-2</v>
      </c>
      <c r="D766" s="23"/>
      <c r="E766" s="1" t="str">
        <f t="shared" si="91"/>
        <v>n</v>
      </c>
    </row>
    <row r="767" spans="2:5">
      <c r="B767" s="6">
        <f t="shared" si="90"/>
        <v>351</v>
      </c>
      <c r="C767" s="23">
        <f t="shared" si="92"/>
        <v>4.307255664774489E-2</v>
      </c>
      <c r="D767" s="23"/>
      <c r="E767" s="1" t="str">
        <f t="shared" si="91"/>
        <v>n</v>
      </c>
    </row>
    <row r="768" spans="2:5">
      <c r="B768" s="6">
        <f t="shared" si="90"/>
        <v>352</v>
      </c>
      <c r="C768" s="23">
        <f t="shared" si="92"/>
        <v>4.2688361395188203E-2</v>
      </c>
      <c r="D768" s="23"/>
      <c r="E768" s="1" t="str">
        <f t="shared" si="91"/>
        <v>n</v>
      </c>
    </row>
    <row r="769" spans="2:23">
      <c r="B769" s="6">
        <f t="shared" si="90"/>
        <v>353</v>
      </c>
      <c r="C769" s="23">
        <f t="shared" si="92"/>
        <v>4.2307593057669186E-2</v>
      </c>
      <c r="D769" s="23"/>
      <c r="E769" s="1" t="str">
        <f t="shared" si="91"/>
        <v>n</v>
      </c>
    </row>
    <row r="770" spans="2:23">
      <c r="B770" s="6">
        <f t="shared" si="90"/>
        <v>354</v>
      </c>
      <c r="C770" s="23">
        <f t="shared" si="92"/>
        <v>4.1930221068056682E-2</v>
      </c>
      <c r="D770" s="23"/>
      <c r="E770" s="1" t="str">
        <f t="shared" si="91"/>
        <v>n</v>
      </c>
    </row>
    <row r="771" spans="2:23">
      <c r="B771" s="6">
        <f t="shared" si="90"/>
        <v>355</v>
      </c>
      <c r="C771" s="23">
        <f t="shared" si="92"/>
        <v>4.1556215131869856E-2</v>
      </c>
      <c r="D771" s="23"/>
      <c r="E771" s="1" t="str">
        <f t="shared" si="91"/>
        <v>n</v>
      </c>
    </row>
    <row r="772" spans="2:23">
      <c r="B772" s="6">
        <f t="shared" si="90"/>
        <v>356</v>
      </c>
      <c r="C772" s="23">
        <f t="shared" si="92"/>
        <v>4.1185545224846243E-2</v>
      </c>
      <c r="D772" s="23"/>
      <c r="E772" s="1" t="str">
        <f t="shared" si="91"/>
        <v>n</v>
      </c>
    </row>
    <row r="773" spans="2:23">
      <c r="B773" s="6">
        <f t="shared" si="90"/>
        <v>357</v>
      </c>
      <c r="C773" s="23">
        <f t="shared" si="92"/>
        <v>4.0818181590531466E-2</v>
      </c>
      <c r="D773" s="23"/>
      <c r="E773" s="1" t="str">
        <f t="shared" si="91"/>
        <v>n</v>
      </c>
    </row>
    <row r="774" spans="2:23">
      <c r="B774" s="6">
        <f t="shared" si="90"/>
        <v>358</v>
      </c>
      <c r="C774" s="23">
        <f t="shared" si="92"/>
        <v>4.0454094737890453E-2</v>
      </c>
      <c r="D774" s="23"/>
      <c r="E774" s="1" t="str">
        <f t="shared" si="91"/>
        <v>n</v>
      </c>
    </row>
    <row r="775" spans="2:23">
      <c r="B775" s="6">
        <f t="shared" si="90"/>
        <v>359</v>
      </c>
      <c r="C775" s="23">
        <f t="shared" si="92"/>
        <v>4.0093255438939997E-2</v>
      </c>
      <c r="D775" s="23"/>
      <c r="E775" s="1" t="str">
        <f t="shared" si="91"/>
        <v>n</v>
      </c>
    </row>
    <row r="776" spans="2:23">
      <c r="B776" s="6">
        <f t="shared" si="90"/>
        <v>360</v>
      </c>
      <c r="C776" s="23">
        <f t="shared" si="92"/>
        <v>3.9735634726402382E-2</v>
      </c>
      <c r="D776" s="23"/>
      <c r="E776" s="1" t="str">
        <f t="shared" si="91"/>
        <v>n</v>
      </c>
    </row>
    <row r="777" spans="2:23">
      <c r="B777" s="6">
        <f t="shared" si="90"/>
        <v>361</v>
      </c>
      <c r="C777" s="23">
        <f t="shared" si="92"/>
        <v>3.9381203891379966E-2</v>
      </c>
      <c r="D777" s="23"/>
      <c r="E777" s="1" t="str">
        <f t="shared" si="91"/>
        <v>n</v>
      </c>
    </row>
    <row r="778" spans="2:23">
      <c r="B778" s="6">
        <f t="shared" si="90"/>
        <v>362</v>
      </c>
      <c r="C778" s="23">
        <f t="shared" si="92"/>
        <v>3.9029934481050514E-2</v>
      </c>
      <c r="D778" s="23"/>
      <c r="E778" s="1" t="str">
        <f t="shared" si="91"/>
        <v>n</v>
      </c>
    </row>
    <row r="779" spans="2:23" ht="15" thickBot="1">
      <c r="B779" s="24">
        <f t="shared" si="90"/>
        <v>363</v>
      </c>
      <c r="C779" s="25">
        <f t="shared" si="92"/>
        <v>3.8681798296383067E-2</v>
      </c>
      <c r="D779" s="25"/>
      <c r="E779" s="26" t="str">
        <f t="shared" si="91"/>
        <v>n</v>
      </c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</row>
  </sheetData>
  <mergeCells count="12">
    <mergeCell ref="E378:G378"/>
    <mergeCell ref="H378:J378"/>
    <mergeCell ref="U378:W378"/>
    <mergeCell ref="U4:V4"/>
    <mergeCell ref="P12:W12"/>
    <mergeCell ref="AP13:AQ13"/>
    <mergeCell ref="AS13:AT13"/>
    <mergeCell ref="AP12:AT12"/>
    <mergeCell ref="Y4:Z4"/>
    <mergeCell ref="AA12:AH12"/>
    <mergeCell ref="AJ12:AO12"/>
    <mergeCell ref="X12:Z12"/>
  </mergeCells>
  <phoneticPr fontId="1" type="noConversion"/>
  <pageMargins left="0.7" right="0.7" top="0.75" bottom="0.75" header="0.3" footer="0.3"/>
  <pageSetup paperSize="9" scale="41" orientation="portrait" r:id="rId1"/>
  <ignoredErrors>
    <ignoredError sqref="N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E45A-B1D7-478A-8133-60ECAA99A511}">
  <dimension ref="B2:AG73"/>
  <sheetViews>
    <sheetView showGridLines="0" workbookViewId="0">
      <pane xSplit="2" ySplit="12" topLeftCell="C43" activePane="bottomRight" state="frozen"/>
      <selection pane="topRight" activeCell="D1" sqref="D1"/>
      <selection pane="bottomLeft" activeCell="A12" sqref="A12"/>
      <selection pane="bottomRight" activeCell="X7" sqref="X7"/>
    </sheetView>
  </sheetViews>
  <sheetFormatPr defaultRowHeight="15"/>
  <cols>
    <col min="1" max="1" width="2.625" style="81" customWidth="1"/>
    <col min="2" max="2" width="11.625" style="81" bestFit="1" customWidth="1"/>
    <col min="3" max="3" width="9.125" style="81" bestFit="1" customWidth="1"/>
    <col min="4" max="4" width="9.125" style="81" hidden="1" customWidth="1"/>
    <col min="5" max="5" width="11.75" style="81" bestFit="1" customWidth="1"/>
    <col min="6" max="6" width="9.125" style="81" hidden="1" customWidth="1"/>
    <col min="7" max="7" width="11.75" style="81" bestFit="1" customWidth="1"/>
    <col min="8" max="8" width="9.5" style="81" hidden="1" customWidth="1"/>
    <col min="9" max="9" width="14.75" style="81" bestFit="1" customWidth="1"/>
    <col min="10" max="10" width="9.125" style="81" bestFit="1" customWidth="1"/>
    <col min="11" max="11" width="11.625" style="81" bestFit="1" customWidth="1"/>
    <col min="12" max="12" width="10.5" style="81" bestFit="1" customWidth="1"/>
    <col min="13" max="13" width="9" style="81"/>
    <col min="14" max="14" width="9.25" style="81" customWidth="1"/>
    <col min="15" max="15" width="9" style="81"/>
    <col min="16" max="16" width="14.25" style="81" customWidth="1"/>
    <col min="17" max="17" width="0" style="81" hidden="1" customWidth="1"/>
    <col min="18" max="18" width="14.125" style="81" bestFit="1" customWidth="1"/>
    <col min="19" max="19" width="13.125" style="81" hidden="1" customWidth="1"/>
    <col min="20" max="20" width="13.125" style="81" customWidth="1"/>
    <col min="21" max="21" width="15.5" style="81" hidden="1" customWidth="1"/>
    <col min="22" max="22" width="15.5" style="81" customWidth="1"/>
    <col min="23" max="26" width="9" style="81"/>
    <col min="27" max="27" width="0" style="81" hidden="1" customWidth="1"/>
    <col min="28" max="28" width="14.125" style="81" bestFit="1" customWidth="1"/>
    <col min="29" max="29" width="13.125" style="81" hidden="1" customWidth="1"/>
    <col min="30" max="30" width="13.125" style="81" customWidth="1"/>
    <col min="31" max="31" width="15.5" style="81" hidden="1" customWidth="1"/>
    <col min="32" max="32" width="15.5" style="81" customWidth="1"/>
    <col min="33" max="16384" width="9" style="81"/>
  </cols>
  <sheetData>
    <row r="2" spans="2:32">
      <c r="D2" s="81">
        <v>1000000</v>
      </c>
    </row>
    <row r="4" spans="2:32">
      <c r="C4" s="81" t="s">
        <v>53</v>
      </c>
      <c r="D4" s="82">
        <v>16500</v>
      </c>
      <c r="E4" s="172"/>
      <c r="F4" s="83" t="s">
        <v>54</v>
      </c>
      <c r="G4" s="83"/>
      <c r="M4" s="81">
        <v>1000000</v>
      </c>
    </row>
    <row r="5" spans="2:32">
      <c r="C5" s="81" t="s">
        <v>0</v>
      </c>
      <c r="D5" s="82">
        <v>0</v>
      </c>
      <c r="E5" s="172"/>
      <c r="F5" s="83"/>
      <c r="G5" s="83"/>
    </row>
    <row r="6" spans="2:32">
      <c r="C6" s="81" t="s">
        <v>55</v>
      </c>
      <c r="D6" s="82">
        <v>12</v>
      </c>
      <c r="E6" s="172"/>
      <c r="F6" s="81" t="s">
        <v>56</v>
      </c>
      <c r="H6" s="81" t="s">
        <v>55</v>
      </c>
      <c r="J6" s="82">
        <v>48</v>
      </c>
      <c r="K6" s="81" t="s">
        <v>57</v>
      </c>
      <c r="L6" s="1" t="s">
        <v>101</v>
      </c>
      <c r="M6" s="182">
        <v>50000</v>
      </c>
    </row>
    <row r="7" spans="2:32">
      <c r="C7" s="81" t="s">
        <v>58</v>
      </c>
      <c r="D7" s="82">
        <v>3</v>
      </c>
      <c r="E7" s="172"/>
      <c r="F7" s="81" t="s">
        <v>56</v>
      </c>
      <c r="H7" s="81" t="s">
        <v>58</v>
      </c>
      <c r="J7" s="82">
        <v>12</v>
      </c>
      <c r="K7" s="81" t="s">
        <v>57</v>
      </c>
      <c r="L7" s="188" t="s">
        <v>100</v>
      </c>
      <c r="M7" s="182">
        <v>69213</v>
      </c>
    </row>
    <row r="8" spans="2:32" ht="15.75" thickBot="1">
      <c r="C8" s="81" t="s">
        <v>59</v>
      </c>
      <c r="D8" s="84">
        <v>3.4000000000000002E-2</v>
      </c>
      <c r="E8" s="173"/>
      <c r="F8" s="81" t="s">
        <v>60</v>
      </c>
      <c r="H8" s="81" t="s">
        <v>59</v>
      </c>
      <c r="J8" s="85">
        <f>D8/4</f>
        <v>8.5000000000000006E-3</v>
      </c>
      <c r="K8" s="81" t="s">
        <v>61</v>
      </c>
    </row>
    <row r="9" spans="2:32" ht="15.75" thickBot="1">
      <c r="G9" s="195" t="s">
        <v>21</v>
      </c>
      <c r="H9" s="196"/>
      <c r="I9" s="197">
        <f>XIRR(I13:I73,B13:B73)</f>
        <v>3.4393373131752017E-2</v>
      </c>
      <c r="O9" s="124"/>
      <c r="P9" s="124"/>
      <c r="Q9" s="124"/>
      <c r="R9" s="124"/>
      <c r="S9" s="124"/>
      <c r="T9" s="198" t="s">
        <v>21</v>
      </c>
      <c r="U9" s="199"/>
      <c r="V9" s="200">
        <f>XIRR(V13:V49,B13:B49)</f>
        <v>3.5016235709190366E-2</v>
      </c>
      <c r="X9" s="131"/>
      <c r="Y9" s="131"/>
      <c r="Z9" s="131"/>
      <c r="AA9" s="131"/>
      <c r="AB9" s="131"/>
      <c r="AC9" s="131"/>
      <c r="AD9" s="201" t="s">
        <v>21</v>
      </c>
      <c r="AE9" s="202"/>
      <c r="AF9" s="203">
        <f>XIRR(AF13:AF61,B13:B61)</f>
        <v>3.4653654694557195E-2</v>
      </c>
    </row>
    <row r="10" spans="2:32" ht="15.75" thickBot="1">
      <c r="C10" s="120"/>
      <c r="D10" s="120"/>
      <c r="E10" s="120"/>
      <c r="F10" s="121" t="s">
        <v>21</v>
      </c>
      <c r="G10" s="193"/>
      <c r="H10" s="194">
        <f>XIRR(H13:H73,B13:B73)</f>
        <v>3.4416964650154119E-2</v>
      </c>
      <c r="I10" s="174"/>
      <c r="J10" s="93" t="s">
        <v>89</v>
      </c>
      <c r="O10" s="124"/>
      <c r="P10" s="124"/>
      <c r="Q10" s="124"/>
      <c r="R10" s="124"/>
      <c r="S10" s="125" t="s">
        <v>21</v>
      </c>
      <c r="T10" s="205"/>
      <c r="U10" s="204">
        <f>XIRR(U13:U49,B13:B49)</f>
        <v>3.5032042860984797E-2</v>
      </c>
      <c r="V10" s="175"/>
      <c r="X10" s="131"/>
      <c r="Y10" s="131"/>
      <c r="Z10" s="131"/>
      <c r="AA10" s="131"/>
      <c r="AB10" s="131"/>
      <c r="AC10" s="132" t="s">
        <v>21</v>
      </c>
      <c r="AD10" s="207"/>
      <c r="AE10" s="206">
        <f>XIRR(AE13:AE61,B13:B61)</f>
        <v>3.4673526883125305E-2</v>
      </c>
      <c r="AF10" s="176"/>
    </row>
    <row r="11" spans="2:32">
      <c r="C11" s="120"/>
      <c r="D11" s="120"/>
      <c r="E11" s="120"/>
      <c r="F11" s="120"/>
      <c r="G11" s="120"/>
      <c r="H11" s="120"/>
      <c r="I11" s="120"/>
      <c r="O11" s="124"/>
      <c r="P11" s="124"/>
      <c r="Q11" s="124"/>
      <c r="R11" s="124"/>
      <c r="S11" s="124"/>
      <c r="T11" s="124"/>
      <c r="U11" s="124"/>
      <c r="V11" s="124"/>
      <c r="X11" s="131"/>
      <c r="Y11" s="131"/>
      <c r="Z11" s="131"/>
      <c r="AA11" s="131"/>
      <c r="AB11" s="131"/>
      <c r="AC11" s="131"/>
      <c r="AD11" s="131"/>
      <c r="AE11" s="131"/>
      <c r="AF11" s="131"/>
    </row>
    <row r="12" spans="2:32">
      <c r="C12" s="122" t="s">
        <v>90</v>
      </c>
      <c r="D12" s="122" t="s">
        <v>63</v>
      </c>
      <c r="E12" s="122" t="s">
        <v>63</v>
      </c>
      <c r="F12" s="122" t="s">
        <v>64</v>
      </c>
      <c r="G12" s="122" t="s">
        <v>64</v>
      </c>
      <c r="H12" s="122" t="s">
        <v>65</v>
      </c>
      <c r="I12" s="122" t="s">
        <v>65</v>
      </c>
      <c r="J12" s="186" t="s">
        <v>99</v>
      </c>
      <c r="L12" s="87" t="s">
        <v>91</v>
      </c>
      <c r="O12" s="124"/>
      <c r="P12" s="126" t="s">
        <v>92</v>
      </c>
      <c r="Q12" s="127" t="s">
        <v>63</v>
      </c>
      <c r="R12" s="127" t="s">
        <v>63</v>
      </c>
      <c r="S12" s="127" t="s">
        <v>64</v>
      </c>
      <c r="T12" s="127" t="s">
        <v>64</v>
      </c>
      <c r="U12" s="127" t="s">
        <v>65</v>
      </c>
      <c r="V12" s="127" t="s">
        <v>65</v>
      </c>
      <c r="X12" s="131"/>
      <c r="Y12" s="131"/>
      <c r="Z12" s="133" t="s">
        <v>93</v>
      </c>
      <c r="AA12" s="134" t="s">
        <v>63</v>
      </c>
      <c r="AB12" s="134" t="s">
        <v>63</v>
      </c>
      <c r="AC12" s="134" t="s">
        <v>64</v>
      </c>
      <c r="AD12" s="134" t="s">
        <v>64</v>
      </c>
      <c r="AE12" s="134" t="s">
        <v>65</v>
      </c>
      <c r="AF12" s="134" t="s">
        <v>65</v>
      </c>
    </row>
    <row r="13" spans="2:32">
      <c r="B13" s="88">
        <v>44543</v>
      </c>
      <c r="C13" s="120">
        <v>0</v>
      </c>
      <c r="D13" s="123"/>
      <c r="E13" s="123"/>
      <c r="F13" s="123"/>
      <c r="G13" s="123"/>
      <c r="H13" s="123">
        <f>-D4</f>
        <v>-16500</v>
      </c>
      <c r="I13" s="123">
        <f>H13*$D$2</f>
        <v>-16500000000</v>
      </c>
      <c r="L13" s="81">
        <v>0</v>
      </c>
      <c r="O13" s="124"/>
      <c r="P13" s="124"/>
      <c r="Q13" s="128"/>
      <c r="R13" s="128"/>
      <c r="S13" s="128"/>
      <c r="T13" s="128"/>
      <c r="U13" s="130">
        <f>-D4</f>
        <v>-16500</v>
      </c>
      <c r="V13" s="130">
        <f>U13*$M$4</f>
        <v>-16500000000</v>
      </c>
      <c r="X13" s="131"/>
      <c r="Y13" s="131"/>
      <c r="Z13" s="131"/>
      <c r="AA13" s="135"/>
      <c r="AB13" s="135"/>
      <c r="AC13" s="135"/>
      <c r="AD13" s="135"/>
      <c r="AE13" s="137">
        <f>-D4</f>
        <v>-16500</v>
      </c>
      <c r="AF13" s="137">
        <f>AE13*$M$4</f>
        <v>-16500000000</v>
      </c>
    </row>
    <row r="14" spans="2:32">
      <c r="B14" s="88">
        <f>+DATE(YEAR(B13),MONTH(B13)+3,DAY(B13))</f>
        <v>44633</v>
      </c>
      <c r="C14" s="120">
        <f>C13+1</f>
        <v>1</v>
      </c>
      <c r="D14" s="123">
        <v>0</v>
      </c>
      <c r="E14" s="123">
        <f>D14*$D$2</f>
        <v>0</v>
      </c>
      <c r="F14" s="123">
        <f t="shared" ref="F14:F25" si="0">F15</f>
        <v>140.25</v>
      </c>
      <c r="G14" s="123">
        <f>F14*$D$2</f>
        <v>140250000</v>
      </c>
      <c r="H14" s="123">
        <f t="shared" ref="H14:H73" si="1">D14+F14</f>
        <v>140.25</v>
      </c>
      <c r="I14" s="123">
        <f>H14*$D$2-$M$6</f>
        <v>140200000</v>
      </c>
      <c r="M14" s="90"/>
      <c r="O14" s="124"/>
      <c r="P14" s="124"/>
      <c r="Q14" s="128">
        <v>0</v>
      </c>
      <c r="R14" s="128">
        <f>Q14*$M$4</f>
        <v>0</v>
      </c>
      <c r="S14" s="128">
        <f t="shared" ref="S14:S25" si="2">S15</f>
        <v>140.25</v>
      </c>
      <c r="T14" s="128">
        <f>S14*$M$4</f>
        <v>140250000</v>
      </c>
      <c r="U14" s="130">
        <f t="shared" ref="U14:U48" si="3">Q14+S14</f>
        <v>140.25</v>
      </c>
      <c r="V14" s="128">
        <f t="shared" ref="V14:V16" si="4">U14*$M$4</f>
        <v>140250000</v>
      </c>
      <c r="X14" s="131"/>
      <c r="Y14" s="131"/>
      <c r="Z14" s="131"/>
      <c r="AA14" s="135">
        <v>0</v>
      </c>
      <c r="AB14" s="135">
        <f>AA14*$M$4</f>
        <v>0</v>
      </c>
      <c r="AC14" s="135">
        <f t="shared" ref="AC14:AC25" si="5">AC15</f>
        <v>140.25</v>
      </c>
      <c r="AD14" s="135">
        <f>AC14*$M$4</f>
        <v>140250000</v>
      </c>
      <c r="AE14" s="137">
        <f t="shared" ref="AE14:AE60" si="6">AA14+AC14</f>
        <v>140.25</v>
      </c>
      <c r="AF14" s="135">
        <f>AE14*$M$4-$M$6</f>
        <v>140200000</v>
      </c>
    </row>
    <row r="15" spans="2:32">
      <c r="B15" s="88">
        <f t="shared" ref="B15:B73" si="7">+DATE(YEAR(B14),MONTH(B14)+3,DAY(B14))</f>
        <v>44725</v>
      </c>
      <c r="C15" s="120">
        <f t="shared" ref="C15:C73" si="8">C14+1</f>
        <v>2</v>
      </c>
      <c r="D15" s="123">
        <v>0</v>
      </c>
      <c r="E15" s="123">
        <f t="shared" ref="E15:E73" si="9">D15*$D$2</f>
        <v>0</v>
      </c>
      <c r="F15" s="123">
        <f t="shared" si="0"/>
        <v>140.25</v>
      </c>
      <c r="G15" s="123">
        <f t="shared" ref="G15:G73" si="10">F15*$D$2</f>
        <v>140250000</v>
      </c>
      <c r="H15" s="123">
        <f t="shared" si="1"/>
        <v>140.25</v>
      </c>
      <c r="I15" s="123">
        <f t="shared" ref="I15:I25" si="11">H15*$D$2-$M$6</f>
        <v>140200000</v>
      </c>
      <c r="O15" s="124"/>
      <c r="P15" s="124"/>
      <c r="Q15" s="128">
        <v>0</v>
      </c>
      <c r="R15" s="128">
        <f t="shared" ref="R15:R47" si="12">Q15*$M$4</f>
        <v>0</v>
      </c>
      <c r="S15" s="128">
        <f t="shared" si="2"/>
        <v>140.25</v>
      </c>
      <c r="T15" s="128">
        <f t="shared" ref="T15:T49" si="13">S15*$M$4</f>
        <v>140250000</v>
      </c>
      <c r="U15" s="130">
        <f t="shared" si="3"/>
        <v>140.25</v>
      </c>
      <c r="V15" s="128">
        <f t="shared" si="4"/>
        <v>140250000</v>
      </c>
      <c r="X15" s="131"/>
      <c r="Y15" s="131"/>
      <c r="Z15" s="131"/>
      <c r="AA15" s="135">
        <v>0</v>
      </c>
      <c r="AB15" s="135">
        <f t="shared" ref="AB15:AB62" si="14">AA15*$M$4</f>
        <v>0</v>
      </c>
      <c r="AC15" s="135">
        <f t="shared" si="5"/>
        <v>140.25</v>
      </c>
      <c r="AD15" s="135">
        <f t="shared" ref="AD15:AD61" si="15">AC15*$M$4</f>
        <v>140250000</v>
      </c>
      <c r="AE15" s="137">
        <f t="shared" si="6"/>
        <v>140.25</v>
      </c>
      <c r="AF15" s="135">
        <f t="shared" ref="AF15:AF25" si="16">AE15*$M$4-$M$6</f>
        <v>140200000</v>
      </c>
    </row>
    <row r="16" spans="2:32">
      <c r="B16" s="88">
        <f t="shared" si="7"/>
        <v>44817</v>
      </c>
      <c r="C16" s="120">
        <f t="shared" si="8"/>
        <v>3</v>
      </c>
      <c r="D16" s="123">
        <v>0</v>
      </c>
      <c r="E16" s="123">
        <f t="shared" si="9"/>
        <v>0</v>
      </c>
      <c r="F16" s="123">
        <f t="shared" si="0"/>
        <v>140.25</v>
      </c>
      <c r="G16" s="123">
        <f t="shared" si="10"/>
        <v>140250000</v>
      </c>
      <c r="H16" s="123">
        <f t="shared" si="1"/>
        <v>140.25</v>
      </c>
      <c r="I16" s="123">
        <f t="shared" si="11"/>
        <v>140200000</v>
      </c>
      <c r="O16" s="124"/>
      <c r="P16" s="124"/>
      <c r="Q16" s="128">
        <v>0</v>
      </c>
      <c r="R16" s="128">
        <f t="shared" si="12"/>
        <v>0</v>
      </c>
      <c r="S16" s="128">
        <f t="shared" si="2"/>
        <v>140.25</v>
      </c>
      <c r="T16" s="128">
        <f t="shared" si="13"/>
        <v>140250000</v>
      </c>
      <c r="U16" s="130">
        <f t="shared" si="3"/>
        <v>140.25</v>
      </c>
      <c r="V16" s="128">
        <f t="shared" si="4"/>
        <v>140250000</v>
      </c>
      <c r="X16" s="131"/>
      <c r="Y16" s="131"/>
      <c r="Z16" s="131"/>
      <c r="AA16" s="135">
        <v>0</v>
      </c>
      <c r="AB16" s="135">
        <f t="shared" si="14"/>
        <v>0</v>
      </c>
      <c r="AC16" s="135">
        <f t="shared" si="5"/>
        <v>140.25</v>
      </c>
      <c r="AD16" s="135">
        <f t="shared" si="15"/>
        <v>140250000</v>
      </c>
      <c r="AE16" s="137">
        <f t="shared" si="6"/>
        <v>140.25</v>
      </c>
      <c r="AF16" s="135">
        <f t="shared" si="16"/>
        <v>140200000</v>
      </c>
    </row>
    <row r="17" spans="2:33">
      <c r="B17" s="88">
        <f t="shared" si="7"/>
        <v>44908</v>
      </c>
      <c r="C17" s="120">
        <f t="shared" si="8"/>
        <v>4</v>
      </c>
      <c r="D17" s="123">
        <v>0</v>
      </c>
      <c r="E17" s="123">
        <f t="shared" si="9"/>
        <v>0</v>
      </c>
      <c r="F17" s="123">
        <f t="shared" si="0"/>
        <v>140.25</v>
      </c>
      <c r="G17" s="123">
        <f t="shared" si="10"/>
        <v>140250000</v>
      </c>
      <c r="H17" s="123">
        <f t="shared" si="1"/>
        <v>140.25</v>
      </c>
      <c r="I17" s="123">
        <f t="shared" si="11"/>
        <v>140200000</v>
      </c>
      <c r="O17" s="124"/>
      <c r="P17" s="124"/>
      <c r="Q17" s="128">
        <v>0</v>
      </c>
      <c r="R17" s="128">
        <f t="shared" si="12"/>
        <v>0</v>
      </c>
      <c r="S17" s="128">
        <f t="shared" si="2"/>
        <v>140.25</v>
      </c>
      <c r="T17" s="128">
        <f t="shared" si="13"/>
        <v>140250000</v>
      </c>
      <c r="U17" s="130">
        <f t="shared" si="3"/>
        <v>140.25</v>
      </c>
      <c r="V17" s="128">
        <f>U17*$M$4-$M$6</f>
        <v>140200000</v>
      </c>
      <c r="X17" s="131"/>
      <c r="Y17" s="131"/>
      <c r="Z17" s="131"/>
      <c r="AA17" s="135">
        <v>0</v>
      </c>
      <c r="AB17" s="135">
        <f t="shared" si="14"/>
        <v>0</v>
      </c>
      <c r="AC17" s="135">
        <f t="shared" si="5"/>
        <v>140.25</v>
      </c>
      <c r="AD17" s="135">
        <f t="shared" si="15"/>
        <v>140250000</v>
      </c>
      <c r="AE17" s="137">
        <f t="shared" si="6"/>
        <v>140.25</v>
      </c>
      <c r="AF17" s="135">
        <f t="shared" si="16"/>
        <v>140200000</v>
      </c>
    </row>
    <row r="18" spans="2:33">
      <c r="B18" s="88">
        <f t="shared" si="7"/>
        <v>44998</v>
      </c>
      <c r="C18" s="120">
        <f t="shared" si="8"/>
        <v>5</v>
      </c>
      <c r="D18" s="123">
        <v>0</v>
      </c>
      <c r="E18" s="123">
        <f t="shared" si="9"/>
        <v>0</v>
      </c>
      <c r="F18" s="123">
        <f t="shared" si="0"/>
        <v>140.25</v>
      </c>
      <c r="G18" s="123">
        <f t="shared" si="10"/>
        <v>140250000</v>
      </c>
      <c r="H18" s="123">
        <f t="shared" si="1"/>
        <v>140.25</v>
      </c>
      <c r="I18" s="123">
        <f t="shared" si="11"/>
        <v>140200000</v>
      </c>
      <c r="O18" s="124"/>
      <c r="P18" s="124"/>
      <c r="Q18" s="128">
        <v>0</v>
      </c>
      <c r="R18" s="128">
        <f t="shared" si="12"/>
        <v>0</v>
      </c>
      <c r="S18" s="128">
        <f t="shared" si="2"/>
        <v>140.25</v>
      </c>
      <c r="T18" s="128">
        <f t="shared" si="13"/>
        <v>140250000</v>
      </c>
      <c r="U18" s="130">
        <f t="shared" si="3"/>
        <v>140.25</v>
      </c>
      <c r="V18" s="128">
        <f t="shared" ref="V18:V25" si="17">U18*$M$4-$M$6</f>
        <v>140200000</v>
      </c>
      <c r="X18" s="131"/>
      <c r="Y18" s="131"/>
      <c r="Z18" s="131"/>
      <c r="AA18" s="135">
        <v>0</v>
      </c>
      <c r="AB18" s="135">
        <f t="shared" si="14"/>
        <v>0</v>
      </c>
      <c r="AC18" s="135">
        <f t="shared" si="5"/>
        <v>140.25</v>
      </c>
      <c r="AD18" s="135">
        <f t="shared" si="15"/>
        <v>140250000</v>
      </c>
      <c r="AE18" s="137">
        <f t="shared" si="6"/>
        <v>140.25</v>
      </c>
      <c r="AF18" s="135">
        <f t="shared" si="16"/>
        <v>140200000</v>
      </c>
    </row>
    <row r="19" spans="2:33">
      <c r="B19" s="88">
        <f t="shared" si="7"/>
        <v>45090</v>
      </c>
      <c r="C19" s="120">
        <f t="shared" si="8"/>
        <v>6</v>
      </c>
      <c r="D19" s="123">
        <v>0</v>
      </c>
      <c r="E19" s="123">
        <f t="shared" si="9"/>
        <v>0</v>
      </c>
      <c r="F19" s="123">
        <f t="shared" si="0"/>
        <v>140.25</v>
      </c>
      <c r="G19" s="123">
        <f t="shared" si="10"/>
        <v>140250000</v>
      </c>
      <c r="H19" s="123">
        <f t="shared" si="1"/>
        <v>140.25</v>
      </c>
      <c r="I19" s="123">
        <f t="shared" si="11"/>
        <v>140200000</v>
      </c>
      <c r="O19" s="124"/>
      <c r="P19" s="124"/>
      <c r="Q19" s="128">
        <v>0</v>
      </c>
      <c r="R19" s="128">
        <f t="shared" si="12"/>
        <v>0</v>
      </c>
      <c r="S19" s="128">
        <f t="shared" si="2"/>
        <v>140.25</v>
      </c>
      <c r="T19" s="128">
        <f t="shared" si="13"/>
        <v>140250000</v>
      </c>
      <c r="U19" s="130">
        <f t="shared" si="3"/>
        <v>140.25</v>
      </c>
      <c r="V19" s="128">
        <f t="shared" si="17"/>
        <v>140200000</v>
      </c>
      <c r="X19" s="131"/>
      <c r="Y19" s="131"/>
      <c r="Z19" s="131"/>
      <c r="AA19" s="135">
        <v>0</v>
      </c>
      <c r="AB19" s="135">
        <f t="shared" si="14"/>
        <v>0</v>
      </c>
      <c r="AC19" s="135">
        <f t="shared" si="5"/>
        <v>140.25</v>
      </c>
      <c r="AD19" s="135">
        <f t="shared" si="15"/>
        <v>140250000</v>
      </c>
      <c r="AE19" s="137">
        <f t="shared" si="6"/>
        <v>140.25</v>
      </c>
      <c r="AF19" s="135">
        <f t="shared" si="16"/>
        <v>140200000</v>
      </c>
    </row>
    <row r="20" spans="2:33">
      <c r="B20" s="88">
        <f t="shared" si="7"/>
        <v>45182</v>
      </c>
      <c r="C20" s="120">
        <f t="shared" si="8"/>
        <v>7</v>
      </c>
      <c r="D20" s="123">
        <v>0</v>
      </c>
      <c r="E20" s="123">
        <f t="shared" si="9"/>
        <v>0</v>
      </c>
      <c r="F20" s="123">
        <f t="shared" si="0"/>
        <v>140.25</v>
      </c>
      <c r="G20" s="123">
        <f t="shared" si="10"/>
        <v>140250000</v>
      </c>
      <c r="H20" s="123">
        <f t="shared" si="1"/>
        <v>140.25</v>
      </c>
      <c r="I20" s="123">
        <f t="shared" si="11"/>
        <v>140200000</v>
      </c>
      <c r="O20" s="124"/>
      <c r="P20" s="124"/>
      <c r="Q20" s="128">
        <v>0</v>
      </c>
      <c r="R20" s="128">
        <f t="shared" si="12"/>
        <v>0</v>
      </c>
      <c r="S20" s="128">
        <f t="shared" si="2"/>
        <v>140.25</v>
      </c>
      <c r="T20" s="128">
        <f t="shared" si="13"/>
        <v>140250000</v>
      </c>
      <c r="U20" s="130">
        <f t="shared" si="3"/>
        <v>140.25</v>
      </c>
      <c r="V20" s="128">
        <f t="shared" si="17"/>
        <v>140200000</v>
      </c>
      <c r="X20" s="131"/>
      <c r="Y20" s="131"/>
      <c r="Z20" s="131"/>
      <c r="AA20" s="135">
        <v>0</v>
      </c>
      <c r="AB20" s="135">
        <f t="shared" si="14"/>
        <v>0</v>
      </c>
      <c r="AC20" s="135">
        <f t="shared" si="5"/>
        <v>140.25</v>
      </c>
      <c r="AD20" s="135">
        <f t="shared" si="15"/>
        <v>140250000</v>
      </c>
      <c r="AE20" s="137">
        <f t="shared" si="6"/>
        <v>140.25</v>
      </c>
      <c r="AF20" s="135">
        <f t="shared" si="16"/>
        <v>140200000</v>
      </c>
    </row>
    <row r="21" spans="2:33">
      <c r="B21" s="88">
        <f t="shared" si="7"/>
        <v>45273</v>
      </c>
      <c r="C21" s="120">
        <f t="shared" si="8"/>
        <v>8</v>
      </c>
      <c r="D21" s="123">
        <v>0</v>
      </c>
      <c r="E21" s="123">
        <f t="shared" si="9"/>
        <v>0</v>
      </c>
      <c r="F21" s="123">
        <f t="shared" si="0"/>
        <v>140.25</v>
      </c>
      <c r="G21" s="123">
        <f t="shared" si="10"/>
        <v>140250000</v>
      </c>
      <c r="H21" s="123">
        <f t="shared" si="1"/>
        <v>140.25</v>
      </c>
      <c r="I21" s="123">
        <f t="shared" si="11"/>
        <v>140200000</v>
      </c>
      <c r="O21" s="124"/>
      <c r="P21" s="124"/>
      <c r="Q21" s="128">
        <v>0</v>
      </c>
      <c r="R21" s="128">
        <f t="shared" si="12"/>
        <v>0</v>
      </c>
      <c r="S21" s="128">
        <f t="shared" si="2"/>
        <v>140.25</v>
      </c>
      <c r="T21" s="128">
        <f t="shared" si="13"/>
        <v>140250000</v>
      </c>
      <c r="U21" s="130">
        <f t="shared" si="3"/>
        <v>140.25</v>
      </c>
      <c r="V21" s="128">
        <f t="shared" si="17"/>
        <v>140200000</v>
      </c>
      <c r="X21" s="131"/>
      <c r="Y21" s="131"/>
      <c r="Z21" s="131"/>
      <c r="AA21" s="135">
        <v>0</v>
      </c>
      <c r="AB21" s="135">
        <f t="shared" si="14"/>
        <v>0</v>
      </c>
      <c r="AC21" s="135">
        <f t="shared" si="5"/>
        <v>140.25</v>
      </c>
      <c r="AD21" s="135">
        <f t="shared" si="15"/>
        <v>140250000</v>
      </c>
      <c r="AE21" s="137">
        <f t="shared" si="6"/>
        <v>140.25</v>
      </c>
      <c r="AF21" s="135">
        <f t="shared" si="16"/>
        <v>140200000</v>
      </c>
    </row>
    <row r="22" spans="2:33">
      <c r="B22" s="88">
        <f t="shared" si="7"/>
        <v>45364</v>
      </c>
      <c r="C22" s="120">
        <f t="shared" si="8"/>
        <v>9</v>
      </c>
      <c r="D22" s="123">
        <v>0</v>
      </c>
      <c r="E22" s="123">
        <f t="shared" si="9"/>
        <v>0</v>
      </c>
      <c r="F22" s="123">
        <f t="shared" si="0"/>
        <v>140.25</v>
      </c>
      <c r="G22" s="123">
        <f t="shared" si="10"/>
        <v>140250000</v>
      </c>
      <c r="H22" s="123">
        <f t="shared" si="1"/>
        <v>140.25</v>
      </c>
      <c r="I22" s="123">
        <f t="shared" si="11"/>
        <v>140200000</v>
      </c>
      <c r="O22" s="124"/>
      <c r="P22" s="124"/>
      <c r="Q22" s="128">
        <v>0</v>
      </c>
      <c r="R22" s="128">
        <f t="shared" si="12"/>
        <v>0</v>
      </c>
      <c r="S22" s="128">
        <f t="shared" si="2"/>
        <v>140.25</v>
      </c>
      <c r="T22" s="128">
        <f t="shared" si="13"/>
        <v>140250000</v>
      </c>
      <c r="U22" s="130">
        <f t="shared" si="3"/>
        <v>140.25</v>
      </c>
      <c r="V22" s="128">
        <f t="shared" si="17"/>
        <v>140200000</v>
      </c>
      <c r="X22" s="131"/>
      <c r="Y22" s="131"/>
      <c r="Z22" s="131"/>
      <c r="AA22" s="135">
        <v>0</v>
      </c>
      <c r="AB22" s="135">
        <f t="shared" si="14"/>
        <v>0</v>
      </c>
      <c r="AC22" s="135">
        <f t="shared" si="5"/>
        <v>140.25</v>
      </c>
      <c r="AD22" s="135">
        <f t="shared" si="15"/>
        <v>140250000</v>
      </c>
      <c r="AE22" s="137">
        <f t="shared" si="6"/>
        <v>140.25</v>
      </c>
      <c r="AF22" s="135">
        <f t="shared" si="16"/>
        <v>140200000</v>
      </c>
    </row>
    <row r="23" spans="2:33">
      <c r="B23" s="88">
        <f t="shared" si="7"/>
        <v>45456</v>
      </c>
      <c r="C23" s="120">
        <f t="shared" si="8"/>
        <v>10</v>
      </c>
      <c r="D23" s="123">
        <v>0</v>
      </c>
      <c r="E23" s="123">
        <f t="shared" si="9"/>
        <v>0</v>
      </c>
      <c r="F23" s="123">
        <f t="shared" si="0"/>
        <v>140.25</v>
      </c>
      <c r="G23" s="123">
        <f t="shared" si="10"/>
        <v>140250000</v>
      </c>
      <c r="H23" s="123">
        <f t="shared" si="1"/>
        <v>140.25</v>
      </c>
      <c r="I23" s="123">
        <f t="shared" si="11"/>
        <v>140200000</v>
      </c>
      <c r="O23" s="124"/>
      <c r="P23" s="124"/>
      <c r="Q23" s="128">
        <v>0</v>
      </c>
      <c r="R23" s="128">
        <f t="shared" si="12"/>
        <v>0</v>
      </c>
      <c r="S23" s="128">
        <f t="shared" si="2"/>
        <v>140.25</v>
      </c>
      <c r="T23" s="128">
        <f t="shared" si="13"/>
        <v>140250000</v>
      </c>
      <c r="U23" s="130">
        <f t="shared" si="3"/>
        <v>140.25</v>
      </c>
      <c r="V23" s="128">
        <f t="shared" si="17"/>
        <v>140200000</v>
      </c>
      <c r="X23" s="131"/>
      <c r="Y23" s="131"/>
      <c r="Z23" s="131"/>
      <c r="AA23" s="135">
        <v>0</v>
      </c>
      <c r="AB23" s="135">
        <f t="shared" si="14"/>
        <v>0</v>
      </c>
      <c r="AC23" s="135">
        <f t="shared" si="5"/>
        <v>140.25</v>
      </c>
      <c r="AD23" s="135">
        <f t="shared" si="15"/>
        <v>140250000</v>
      </c>
      <c r="AE23" s="137">
        <f t="shared" si="6"/>
        <v>140.25</v>
      </c>
      <c r="AF23" s="135">
        <f t="shared" si="16"/>
        <v>140200000</v>
      </c>
    </row>
    <row r="24" spans="2:33">
      <c r="B24" s="88">
        <f t="shared" si="7"/>
        <v>45548</v>
      </c>
      <c r="C24" s="120">
        <f t="shared" si="8"/>
        <v>11</v>
      </c>
      <c r="D24" s="123">
        <v>0</v>
      </c>
      <c r="E24" s="123">
        <f t="shared" si="9"/>
        <v>0</v>
      </c>
      <c r="F24" s="123">
        <f t="shared" si="0"/>
        <v>140.25</v>
      </c>
      <c r="G24" s="123">
        <f t="shared" si="10"/>
        <v>140250000</v>
      </c>
      <c r="H24" s="123">
        <f t="shared" si="1"/>
        <v>140.25</v>
      </c>
      <c r="I24" s="123">
        <f t="shared" si="11"/>
        <v>140200000</v>
      </c>
      <c r="O24" s="124"/>
      <c r="P24" s="124"/>
      <c r="Q24" s="128">
        <v>0</v>
      </c>
      <c r="R24" s="128">
        <f t="shared" si="12"/>
        <v>0</v>
      </c>
      <c r="S24" s="128">
        <f t="shared" si="2"/>
        <v>140.25</v>
      </c>
      <c r="T24" s="128">
        <f t="shared" si="13"/>
        <v>140250000</v>
      </c>
      <c r="U24" s="130">
        <f t="shared" si="3"/>
        <v>140.25</v>
      </c>
      <c r="V24" s="128">
        <f t="shared" si="17"/>
        <v>140200000</v>
      </c>
      <c r="X24" s="131"/>
      <c r="Y24" s="131"/>
      <c r="Z24" s="131"/>
      <c r="AA24" s="135">
        <v>0</v>
      </c>
      <c r="AB24" s="135">
        <f t="shared" si="14"/>
        <v>0</v>
      </c>
      <c r="AC24" s="135">
        <f t="shared" si="5"/>
        <v>140.25</v>
      </c>
      <c r="AD24" s="135">
        <f t="shared" si="15"/>
        <v>140250000</v>
      </c>
      <c r="AE24" s="137">
        <f t="shared" si="6"/>
        <v>140.25</v>
      </c>
      <c r="AF24" s="135">
        <f t="shared" si="16"/>
        <v>140200000</v>
      </c>
    </row>
    <row r="25" spans="2:33">
      <c r="B25" s="88">
        <f t="shared" si="7"/>
        <v>45639</v>
      </c>
      <c r="C25" s="120">
        <f t="shared" si="8"/>
        <v>12</v>
      </c>
      <c r="D25" s="123">
        <v>0</v>
      </c>
      <c r="E25" s="123">
        <f t="shared" si="9"/>
        <v>0</v>
      </c>
      <c r="F25" s="123">
        <f t="shared" si="0"/>
        <v>140.25</v>
      </c>
      <c r="G25" s="123">
        <f t="shared" si="10"/>
        <v>140250000</v>
      </c>
      <c r="H25" s="123">
        <f t="shared" si="1"/>
        <v>140.25</v>
      </c>
      <c r="I25" s="123">
        <f t="shared" si="11"/>
        <v>140200000</v>
      </c>
      <c r="O25" s="124"/>
      <c r="P25" s="124"/>
      <c r="Q25" s="128">
        <v>0</v>
      </c>
      <c r="R25" s="128">
        <f t="shared" si="12"/>
        <v>0</v>
      </c>
      <c r="S25" s="128">
        <f t="shared" si="2"/>
        <v>140.25</v>
      </c>
      <c r="T25" s="128">
        <f t="shared" si="13"/>
        <v>140250000</v>
      </c>
      <c r="U25" s="130">
        <f t="shared" si="3"/>
        <v>140.25</v>
      </c>
      <c r="V25" s="128">
        <f t="shared" si="17"/>
        <v>140200000</v>
      </c>
      <c r="X25" s="131"/>
      <c r="Y25" s="131"/>
      <c r="Z25" s="131"/>
      <c r="AA25" s="135">
        <v>0</v>
      </c>
      <c r="AB25" s="135">
        <f t="shared" si="14"/>
        <v>0</v>
      </c>
      <c r="AC25" s="135">
        <f t="shared" si="5"/>
        <v>140.25</v>
      </c>
      <c r="AD25" s="135">
        <f t="shared" si="15"/>
        <v>140250000</v>
      </c>
      <c r="AE25" s="137">
        <f t="shared" si="6"/>
        <v>140.25</v>
      </c>
      <c r="AF25" s="135">
        <f t="shared" si="16"/>
        <v>140200000</v>
      </c>
    </row>
    <row r="26" spans="2:33">
      <c r="B26" s="88">
        <f t="shared" si="7"/>
        <v>45729</v>
      </c>
      <c r="C26" s="120">
        <f t="shared" si="8"/>
        <v>13</v>
      </c>
      <c r="D26" s="123">
        <f t="shared" ref="D26:D73" si="18">-PPMT($J$8,$L26,$J$6,$D$4,0,0)</f>
        <v>279.81921299718812</v>
      </c>
      <c r="E26" s="123">
        <f t="shared" si="9"/>
        <v>279819212.99718809</v>
      </c>
      <c r="F26" s="123">
        <f t="shared" ref="F26:F73" si="19">-IPMT($J$8,$L26,$J$6,$D$4,0,0)</f>
        <v>140.25</v>
      </c>
      <c r="G26" s="123">
        <f t="shared" si="10"/>
        <v>140250000</v>
      </c>
      <c r="H26" s="123">
        <f t="shared" si="1"/>
        <v>420.06921299718812</v>
      </c>
      <c r="I26" s="123">
        <f>H26*$D$2-$M$7</f>
        <v>419999999.99718809</v>
      </c>
      <c r="J26" s="187"/>
      <c r="L26" s="81">
        <v>1</v>
      </c>
      <c r="O26" s="124"/>
      <c r="P26" s="124"/>
      <c r="Q26" s="128">
        <f t="shared" ref="Q26:Q48" si="20">-PPMT($J$8,$L26,$J$6,$D$4,0,0)</f>
        <v>279.81921299718812</v>
      </c>
      <c r="R26" s="128">
        <f t="shared" si="12"/>
        <v>279819212.99718809</v>
      </c>
      <c r="S26" s="128">
        <f t="shared" ref="S26:S48" si="21">-IPMT($J$8,$L26,$J$6,$D$4,0,0)</f>
        <v>140.25</v>
      </c>
      <c r="T26" s="128">
        <f t="shared" si="13"/>
        <v>140250000</v>
      </c>
      <c r="U26" s="130">
        <f t="shared" si="3"/>
        <v>420.06921299718812</v>
      </c>
      <c r="V26" s="128">
        <f>U26*$M$4-$M$7</f>
        <v>419999999.99718809</v>
      </c>
      <c r="W26" s="187"/>
      <c r="X26" s="131"/>
      <c r="Y26" s="131"/>
      <c r="Z26" s="131"/>
      <c r="AA26" s="135">
        <f t="shared" ref="AA26:AA60" si="22">-PPMT($J$8,$L26,$J$6,$D$4,0,0)</f>
        <v>279.81921299718812</v>
      </c>
      <c r="AB26" s="135">
        <f t="shared" si="14"/>
        <v>279819212.99718809</v>
      </c>
      <c r="AC26" s="135">
        <f t="shared" ref="AC26:AC60" si="23">-IPMT($J$8,$L26,$J$6,$D$4,0,0)</f>
        <v>140.25</v>
      </c>
      <c r="AD26" s="135">
        <f t="shared" si="15"/>
        <v>140250000</v>
      </c>
      <c r="AE26" s="137">
        <f t="shared" si="6"/>
        <v>420.06921299718812</v>
      </c>
      <c r="AF26" s="135">
        <f>AE26*$M$4-$M$7</f>
        <v>419999999.99718809</v>
      </c>
      <c r="AG26" s="187"/>
    </row>
    <row r="27" spans="2:33">
      <c r="B27" s="88">
        <f t="shared" si="7"/>
        <v>45821</v>
      </c>
      <c r="C27" s="120">
        <f t="shared" si="8"/>
        <v>14</v>
      </c>
      <c r="D27" s="123">
        <f t="shared" si="18"/>
        <v>282.19767630766421</v>
      </c>
      <c r="E27" s="123">
        <f t="shared" si="9"/>
        <v>282197676.30766422</v>
      </c>
      <c r="F27" s="123">
        <f t="shared" si="19"/>
        <v>137.87153668952394</v>
      </c>
      <c r="G27" s="123">
        <f t="shared" si="10"/>
        <v>137871536.68952394</v>
      </c>
      <c r="H27" s="123">
        <f t="shared" si="1"/>
        <v>420.06921299718817</v>
      </c>
      <c r="I27" s="123">
        <f t="shared" ref="I27:I73" si="24">H27*$D$2-$M$7</f>
        <v>419999999.99718815</v>
      </c>
      <c r="J27" s="187"/>
      <c r="L27" s="81">
        <f>L26+1</f>
        <v>2</v>
      </c>
      <c r="O27" s="124"/>
      <c r="P27" s="124"/>
      <c r="Q27" s="128">
        <f t="shared" si="20"/>
        <v>282.19767630766421</v>
      </c>
      <c r="R27" s="128">
        <f t="shared" si="12"/>
        <v>282197676.30766422</v>
      </c>
      <c r="S27" s="128">
        <f t="shared" si="21"/>
        <v>137.87153668952394</v>
      </c>
      <c r="T27" s="128">
        <f>S27*$M$4</f>
        <v>137871536.68952394</v>
      </c>
      <c r="U27" s="130">
        <f t="shared" si="3"/>
        <v>420.06921299718817</v>
      </c>
      <c r="V27" s="128">
        <f t="shared" ref="V27:V48" si="25">U27*$M$4-$M$7</f>
        <v>419999999.99718815</v>
      </c>
      <c r="W27" s="187"/>
      <c r="X27" s="131"/>
      <c r="Y27" s="131"/>
      <c r="Z27" s="131"/>
      <c r="AA27" s="135">
        <f t="shared" si="22"/>
        <v>282.19767630766421</v>
      </c>
      <c r="AB27" s="135">
        <f t="shared" si="14"/>
        <v>282197676.30766422</v>
      </c>
      <c r="AC27" s="135">
        <f t="shared" si="23"/>
        <v>137.87153668952394</v>
      </c>
      <c r="AD27" s="135">
        <f t="shared" si="15"/>
        <v>137871536.68952394</v>
      </c>
      <c r="AE27" s="137">
        <f t="shared" si="6"/>
        <v>420.06921299718817</v>
      </c>
      <c r="AF27" s="135">
        <f t="shared" ref="AF27:AF60" si="26">AE27*$M$4-$M$7</f>
        <v>419999999.99718815</v>
      </c>
      <c r="AG27" s="187"/>
    </row>
    <row r="28" spans="2:33">
      <c r="B28" s="88">
        <f t="shared" si="7"/>
        <v>45913</v>
      </c>
      <c r="C28" s="120">
        <f t="shared" si="8"/>
        <v>15</v>
      </c>
      <c r="D28" s="123">
        <f t="shared" si="18"/>
        <v>284.59635655627937</v>
      </c>
      <c r="E28" s="123">
        <f t="shared" si="9"/>
        <v>284596356.55627936</v>
      </c>
      <c r="F28" s="123">
        <f t="shared" si="19"/>
        <v>135.47285644090877</v>
      </c>
      <c r="G28" s="123">
        <f t="shared" si="10"/>
        <v>135472856.44090876</v>
      </c>
      <c r="H28" s="123">
        <f t="shared" si="1"/>
        <v>420.06921299718817</v>
      </c>
      <c r="I28" s="123">
        <f t="shared" si="24"/>
        <v>419999999.99718815</v>
      </c>
      <c r="J28" s="187"/>
      <c r="L28" s="81">
        <f t="shared" ref="L28:L73" si="27">L27+1</f>
        <v>3</v>
      </c>
      <c r="O28" s="124"/>
      <c r="P28" s="124"/>
      <c r="Q28" s="128">
        <f t="shared" si="20"/>
        <v>284.59635655627937</v>
      </c>
      <c r="R28" s="128">
        <f t="shared" si="12"/>
        <v>284596356.55627936</v>
      </c>
      <c r="S28" s="128">
        <f t="shared" si="21"/>
        <v>135.47285644090877</v>
      </c>
      <c r="T28" s="128">
        <f t="shared" si="13"/>
        <v>135472856.44090876</v>
      </c>
      <c r="U28" s="130">
        <f t="shared" si="3"/>
        <v>420.06921299718817</v>
      </c>
      <c r="V28" s="128">
        <f t="shared" si="25"/>
        <v>419999999.99718815</v>
      </c>
      <c r="W28" s="187"/>
      <c r="X28" s="131"/>
      <c r="Y28" s="131"/>
      <c r="Z28" s="131"/>
      <c r="AA28" s="135">
        <f t="shared" si="22"/>
        <v>284.59635655627937</v>
      </c>
      <c r="AB28" s="135">
        <f t="shared" si="14"/>
        <v>284596356.55627936</v>
      </c>
      <c r="AC28" s="135">
        <f t="shared" si="23"/>
        <v>135.47285644090877</v>
      </c>
      <c r="AD28" s="135">
        <f t="shared" si="15"/>
        <v>135472856.44090876</v>
      </c>
      <c r="AE28" s="137">
        <f t="shared" si="6"/>
        <v>420.06921299718817</v>
      </c>
      <c r="AF28" s="135">
        <f t="shared" si="26"/>
        <v>419999999.99718815</v>
      </c>
      <c r="AG28" s="187"/>
    </row>
    <row r="29" spans="2:33">
      <c r="B29" s="88">
        <f t="shared" si="7"/>
        <v>46004</v>
      </c>
      <c r="C29" s="120">
        <f t="shared" si="8"/>
        <v>16</v>
      </c>
      <c r="D29" s="123">
        <f t="shared" si="18"/>
        <v>287.01542558700777</v>
      </c>
      <c r="E29" s="123">
        <f t="shared" si="9"/>
        <v>287015425.58700776</v>
      </c>
      <c r="F29" s="123">
        <f t="shared" si="19"/>
        <v>133.05378741018041</v>
      </c>
      <c r="G29" s="123">
        <f t="shared" si="10"/>
        <v>133053787.4101804</v>
      </c>
      <c r="H29" s="123">
        <f t="shared" si="1"/>
        <v>420.06921299718817</v>
      </c>
      <c r="I29" s="123">
        <f t="shared" si="24"/>
        <v>419999999.99718815</v>
      </c>
      <c r="J29" s="187"/>
      <c r="L29" s="81">
        <f t="shared" si="27"/>
        <v>4</v>
      </c>
      <c r="O29" s="124"/>
      <c r="P29" s="124"/>
      <c r="Q29" s="128">
        <f t="shared" si="20"/>
        <v>287.01542558700777</v>
      </c>
      <c r="R29" s="128">
        <f t="shared" si="12"/>
        <v>287015425.58700776</v>
      </c>
      <c r="S29" s="128">
        <f t="shared" si="21"/>
        <v>133.05378741018041</v>
      </c>
      <c r="T29" s="128">
        <f t="shared" si="13"/>
        <v>133053787.4101804</v>
      </c>
      <c r="U29" s="130">
        <f t="shared" si="3"/>
        <v>420.06921299718817</v>
      </c>
      <c r="V29" s="128">
        <f t="shared" si="25"/>
        <v>419999999.99718815</v>
      </c>
      <c r="W29" s="187"/>
      <c r="X29" s="131"/>
      <c r="Y29" s="131"/>
      <c r="Z29" s="131"/>
      <c r="AA29" s="135">
        <f t="shared" si="22"/>
        <v>287.01542558700777</v>
      </c>
      <c r="AB29" s="135">
        <f t="shared" si="14"/>
        <v>287015425.58700776</v>
      </c>
      <c r="AC29" s="135">
        <f t="shared" si="23"/>
        <v>133.05378741018041</v>
      </c>
      <c r="AD29" s="135">
        <f t="shared" si="15"/>
        <v>133053787.4101804</v>
      </c>
      <c r="AE29" s="137">
        <f t="shared" si="6"/>
        <v>420.06921299718817</v>
      </c>
      <c r="AF29" s="135">
        <f t="shared" si="26"/>
        <v>419999999.99718815</v>
      </c>
      <c r="AG29" s="187"/>
    </row>
    <row r="30" spans="2:33">
      <c r="B30" s="88">
        <f t="shared" si="7"/>
        <v>46094</v>
      </c>
      <c r="C30" s="120">
        <f t="shared" si="8"/>
        <v>17</v>
      </c>
      <c r="D30" s="123">
        <f t="shared" si="18"/>
        <v>289.45505670449722</v>
      </c>
      <c r="E30" s="123">
        <f t="shared" si="9"/>
        <v>289455056.70449722</v>
      </c>
      <c r="F30" s="123">
        <f t="shared" si="19"/>
        <v>130.61415629269084</v>
      </c>
      <c r="G30" s="123">
        <f t="shared" si="10"/>
        <v>130614156.29269084</v>
      </c>
      <c r="H30" s="123">
        <f t="shared" si="1"/>
        <v>420.06921299718806</v>
      </c>
      <c r="I30" s="123">
        <f t="shared" si="24"/>
        <v>419999999.99718803</v>
      </c>
      <c r="J30" s="187"/>
      <c r="L30" s="81">
        <f t="shared" si="27"/>
        <v>5</v>
      </c>
      <c r="O30" s="124"/>
      <c r="P30" s="124"/>
      <c r="Q30" s="128">
        <f t="shared" si="20"/>
        <v>289.45505670449722</v>
      </c>
      <c r="R30" s="128">
        <f t="shared" si="12"/>
        <v>289455056.70449722</v>
      </c>
      <c r="S30" s="128">
        <f t="shared" si="21"/>
        <v>130.61415629269084</v>
      </c>
      <c r="T30" s="128">
        <f t="shared" si="13"/>
        <v>130614156.29269084</v>
      </c>
      <c r="U30" s="130">
        <f t="shared" si="3"/>
        <v>420.06921299718806</v>
      </c>
      <c r="V30" s="128">
        <f t="shared" si="25"/>
        <v>419999999.99718803</v>
      </c>
      <c r="W30" s="187"/>
      <c r="X30" s="131"/>
      <c r="Y30" s="131"/>
      <c r="Z30" s="131"/>
      <c r="AA30" s="135">
        <f t="shared" si="22"/>
        <v>289.45505670449722</v>
      </c>
      <c r="AB30" s="135">
        <f t="shared" si="14"/>
        <v>289455056.70449722</v>
      </c>
      <c r="AC30" s="135">
        <f t="shared" si="23"/>
        <v>130.61415629269084</v>
      </c>
      <c r="AD30" s="135">
        <f t="shared" si="15"/>
        <v>130614156.29269084</v>
      </c>
      <c r="AE30" s="137">
        <f t="shared" si="6"/>
        <v>420.06921299718806</v>
      </c>
      <c r="AF30" s="135">
        <f t="shared" si="26"/>
        <v>419999999.99718803</v>
      </c>
      <c r="AG30" s="187"/>
    </row>
    <row r="31" spans="2:33">
      <c r="B31" s="88">
        <f t="shared" si="7"/>
        <v>46186</v>
      </c>
      <c r="C31" s="120">
        <f t="shared" si="8"/>
        <v>18</v>
      </c>
      <c r="D31" s="123">
        <f t="shared" si="18"/>
        <v>291.91542468648549</v>
      </c>
      <c r="E31" s="123">
        <f t="shared" si="9"/>
        <v>291915424.68648547</v>
      </c>
      <c r="F31" s="123">
        <f t="shared" si="19"/>
        <v>128.15378831070262</v>
      </c>
      <c r="G31" s="123">
        <f t="shared" si="10"/>
        <v>128153788.31070262</v>
      </c>
      <c r="H31" s="123">
        <f t="shared" si="1"/>
        <v>420.06921299718812</v>
      </c>
      <c r="I31" s="123">
        <f t="shared" si="24"/>
        <v>419999999.99718809</v>
      </c>
      <c r="J31" s="187"/>
      <c r="L31" s="81">
        <f t="shared" si="27"/>
        <v>6</v>
      </c>
      <c r="O31" s="124"/>
      <c r="P31" s="124"/>
      <c r="Q31" s="128">
        <f t="shared" si="20"/>
        <v>291.91542468648549</v>
      </c>
      <c r="R31" s="128">
        <f t="shared" si="12"/>
        <v>291915424.68648547</v>
      </c>
      <c r="S31" s="128">
        <f t="shared" si="21"/>
        <v>128.15378831070262</v>
      </c>
      <c r="T31" s="128">
        <f t="shared" si="13"/>
        <v>128153788.31070262</v>
      </c>
      <c r="U31" s="130">
        <f t="shared" si="3"/>
        <v>420.06921299718812</v>
      </c>
      <c r="V31" s="128">
        <f t="shared" si="25"/>
        <v>419999999.99718809</v>
      </c>
      <c r="W31" s="187"/>
      <c r="X31" s="131"/>
      <c r="Y31" s="131"/>
      <c r="Z31" s="131"/>
      <c r="AA31" s="135">
        <f t="shared" si="22"/>
        <v>291.91542468648549</v>
      </c>
      <c r="AB31" s="135">
        <f t="shared" si="14"/>
        <v>291915424.68648547</v>
      </c>
      <c r="AC31" s="135">
        <f t="shared" si="23"/>
        <v>128.15378831070262</v>
      </c>
      <c r="AD31" s="135">
        <f t="shared" si="15"/>
        <v>128153788.31070262</v>
      </c>
      <c r="AE31" s="137">
        <f t="shared" si="6"/>
        <v>420.06921299718812</v>
      </c>
      <c r="AF31" s="135">
        <f t="shared" si="26"/>
        <v>419999999.99718809</v>
      </c>
      <c r="AG31" s="187"/>
    </row>
    <row r="32" spans="2:33">
      <c r="B32" s="88">
        <f t="shared" si="7"/>
        <v>46278</v>
      </c>
      <c r="C32" s="120">
        <f t="shared" si="8"/>
        <v>19</v>
      </c>
      <c r="D32" s="123">
        <f t="shared" si="18"/>
        <v>294.3967057963207</v>
      </c>
      <c r="E32" s="123">
        <f t="shared" si="9"/>
        <v>294396705.79632068</v>
      </c>
      <c r="F32" s="123">
        <f t="shared" si="19"/>
        <v>125.67250720086749</v>
      </c>
      <c r="G32" s="123">
        <f t="shared" si="10"/>
        <v>125672507.20086749</v>
      </c>
      <c r="H32" s="123">
        <f t="shared" si="1"/>
        <v>420.06921299718817</v>
      </c>
      <c r="I32" s="123">
        <f t="shared" si="24"/>
        <v>419999999.99718815</v>
      </c>
      <c r="J32" s="187"/>
      <c r="L32" s="81">
        <f t="shared" si="27"/>
        <v>7</v>
      </c>
      <c r="O32" s="124"/>
      <c r="P32" s="124"/>
      <c r="Q32" s="128">
        <f t="shared" si="20"/>
        <v>294.3967057963207</v>
      </c>
      <c r="R32" s="128">
        <f t="shared" si="12"/>
        <v>294396705.79632068</v>
      </c>
      <c r="S32" s="128">
        <f t="shared" si="21"/>
        <v>125.67250720086749</v>
      </c>
      <c r="T32" s="128">
        <f t="shared" si="13"/>
        <v>125672507.20086749</v>
      </c>
      <c r="U32" s="130">
        <f t="shared" si="3"/>
        <v>420.06921299718817</v>
      </c>
      <c r="V32" s="128">
        <f t="shared" si="25"/>
        <v>419999999.99718815</v>
      </c>
      <c r="W32" s="187"/>
      <c r="X32" s="131"/>
      <c r="Y32" s="131"/>
      <c r="Z32" s="131"/>
      <c r="AA32" s="135">
        <f t="shared" si="22"/>
        <v>294.3967057963207</v>
      </c>
      <c r="AB32" s="135">
        <f t="shared" si="14"/>
        <v>294396705.79632068</v>
      </c>
      <c r="AC32" s="135">
        <f t="shared" si="23"/>
        <v>125.67250720086749</v>
      </c>
      <c r="AD32" s="135">
        <f t="shared" si="15"/>
        <v>125672507.20086749</v>
      </c>
      <c r="AE32" s="137">
        <f t="shared" si="6"/>
        <v>420.06921299718817</v>
      </c>
      <c r="AF32" s="135">
        <f t="shared" si="26"/>
        <v>419999999.99718815</v>
      </c>
      <c r="AG32" s="187"/>
    </row>
    <row r="33" spans="2:33">
      <c r="B33" s="88">
        <f t="shared" si="7"/>
        <v>46369</v>
      </c>
      <c r="C33" s="120">
        <f t="shared" si="8"/>
        <v>20</v>
      </c>
      <c r="D33" s="123">
        <f t="shared" si="18"/>
        <v>296.89907779558939</v>
      </c>
      <c r="E33" s="123">
        <f t="shared" si="9"/>
        <v>296899077.79558939</v>
      </c>
      <c r="F33" s="123">
        <f t="shared" si="19"/>
        <v>123.17013520159875</v>
      </c>
      <c r="G33" s="123">
        <f t="shared" si="10"/>
        <v>123170135.20159875</v>
      </c>
      <c r="H33" s="123">
        <f t="shared" si="1"/>
        <v>420.06921299718817</v>
      </c>
      <c r="I33" s="123">
        <f t="shared" si="24"/>
        <v>419999999.99718815</v>
      </c>
      <c r="J33" s="187"/>
      <c r="L33" s="81">
        <f t="shared" si="27"/>
        <v>8</v>
      </c>
      <c r="O33" s="124"/>
      <c r="P33" s="124"/>
      <c r="Q33" s="128">
        <f t="shared" si="20"/>
        <v>296.89907779558939</v>
      </c>
      <c r="R33" s="128">
        <f t="shared" si="12"/>
        <v>296899077.79558939</v>
      </c>
      <c r="S33" s="128">
        <f t="shared" si="21"/>
        <v>123.17013520159875</v>
      </c>
      <c r="T33" s="128">
        <f t="shared" si="13"/>
        <v>123170135.20159875</v>
      </c>
      <c r="U33" s="130">
        <f t="shared" si="3"/>
        <v>420.06921299718817</v>
      </c>
      <c r="V33" s="128">
        <f t="shared" si="25"/>
        <v>419999999.99718815</v>
      </c>
      <c r="W33" s="187"/>
      <c r="X33" s="131"/>
      <c r="Y33" s="131"/>
      <c r="Z33" s="131"/>
      <c r="AA33" s="135">
        <f t="shared" si="22"/>
        <v>296.89907779558939</v>
      </c>
      <c r="AB33" s="135">
        <f t="shared" si="14"/>
        <v>296899077.79558939</v>
      </c>
      <c r="AC33" s="135">
        <f t="shared" si="23"/>
        <v>123.17013520159875</v>
      </c>
      <c r="AD33" s="135">
        <f t="shared" si="15"/>
        <v>123170135.20159875</v>
      </c>
      <c r="AE33" s="137">
        <f t="shared" si="6"/>
        <v>420.06921299718817</v>
      </c>
      <c r="AF33" s="135">
        <f t="shared" si="26"/>
        <v>419999999.99718815</v>
      </c>
      <c r="AG33" s="187"/>
    </row>
    <row r="34" spans="2:33">
      <c r="B34" s="88">
        <f t="shared" si="7"/>
        <v>46459</v>
      </c>
      <c r="C34" s="120">
        <f t="shared" si="8"/>
        <v>21</v>
      </c>
      <c r="D34" s="123">
        <f t="shared" si="18"/>
        <v>299.42271995685184</v>
      </c>
      <c r="E34" s="123">
        <f t="shared" si="9"/>
        <v>299422719.95685184</v>
      </c>
      <c r="F34" s="123">
        <f t="shared" si="19"/>
        <v>120.64649304033625</v>
      </c>
      <c r="G34" s="123">
        <f t="shared" si="10"/>
        <v>120646493.04033625</v>
      </c>
      <c r="H34" s="123">
        <f t="shared" si="1"/>
        <v>420.06921299718806</v>
      </c>
      <c r="I34" s="123">
        <f t="shared" si="24"/>
        <v>419999999.99718803</v>
      </c>
      <c r="J34" s="187"/>
      <c r="L34" s="81">
        <f t="shared" si="27"/>
        <v>9</v>
      </c>
      <c r="O34" s="124"/>
      <c r="P34" s="124"/>
      <c r="Q34" s="128">
        <f t="shared" si="20"/>
        <v>299.42271995685184</v>
      </c>
      <c r="R34" s="128">
        <f t="shared" si="12"/>
        <v>299422719.95685184</v>
      </c>
      <c r="S34" s="128">
        <f t="shared" si="21"/>
        <v>120.64649304033625</v>
      </c>
      <c r="T34" s="128">
        <f t="shared" si="13"/>
        <v>120646493.04033625</v>
      </c>
      <c r="U34" s="130">
        <f t="shared" si="3"/>
        <v>420.06921299718806</v>
      </c>
      <c r="V34" s="128">
        <f t="shared" si="25"/>
        <v>419999999.99718803</v>
      </c>
      <c r="W34" s="187"/>
      <c r="X34" s="131"/>
      <c r="Y34" s="131"/>
      <c r="Z34" s="131"/>
      <c r="AA34" s="135">
        <f t="shared" si="22"/>
        <v>299.42271995685184</v>
      </c>
      <c r="AB34" s="135">
        <f t="shared" si="14"/>
        <v>299422719.95685184</v>
      </c>
      <c r="AC34" s="135">
        <f t="shared" si="23"/>
        <v>120.64649304033625</v>
      </c>
      <c r="AD34" s="135">
        <f t="shared" si="15"/>
        <v>120646493.04033625</v>
      </c>
      <c r="AE34" s="137">
        <f t="shared" si="6"/>
        <v>420.06921299718806</v>
      </c>
      <c r="AF34" s="135">
        <f t="shared" si="26"/>
        <v>419999999.99718803</v>
      </c>
      <c r="AG34" s="187"/>
    </row>
    <row r="35" spans="2:33">
      <c r="B35" s="88">
        <f t="shared" si="7"/>
        <v>46551</v>
      </c>
      <c r="C35" s="120">
        <f t="shared" si="8"/>
        <v>22</v>
      </c>
      <c r="D35" s="123">
        <f t="shared" si="18"/>
        <v>301.96781307648513</v>
      </c>
      <c r="E35" s="123">
        <f t="shared" si="9"/>
        <v>301967813.07648516</v>
      </c>
      <c r="F35" s="123">
        <f t="shared" si="19"/>
        <v>118.10139992070302</v>
      </c>
      <c r="G35" s="123">
        <f t="shared" si="10"/>
        <v>118101399.92070302</v>
      </c>
      <c r="H35" s="123">
        <f t="shared" si="1"/>
        <v>420.06921299718817</v>
      </c>
      <c r="I35" s="123">
        <f t="shared" si="24"/>
        <v>419999999.99718815</v>
      </c>
      <c r="J35" s="187"/>
      <c r="L35" s="81">
        <f t="shared" si="27"/>
        <v>10</v>
      </c>
      <c r="O35" s="124"/>
      <c r="P35" s="124"/>
      <c r="Q35" s="128">
        <f t="shared" si="20"/>
        <v>301.96781307648513</v>
      </c>
      <c r="R35" s="128">
        <f t="shared" si="12"/>
        <v>301967813.07648516</v>
      </c>
      <c r="S35" s="128">
        <f t="shared" si="21"/>
        <v>118.10139992070302</v>
      </c>
      <c r="T35" s="128">
        <f t="shared" si="13"/>
        <v>118101399.92070302</v>
      </c>
      <c r="U35" s="130">
        <f t="shared" si="3"/>
        <v>420.06921299718817</v>
      </c>
      <c r="V35" s="128">
        <f t="shared" si="25"/>
        <v>419999999.99718815</v>
      </c>
      <c r="W35" s="187"/>
      <c r="X35" s="131"/>
      <c r="Y35" s="131"/>
      <c r="Z35" s="131"/>
      <c r="AA35" s="135">
        <f t="shared" si="22"/>
        <v>301.96781307648513</v>
      </c>
      <c r="AB35" s="135">
        <f t="shared" si="14"/>
        <v>301967813.07648516</v>
      </c>
      <c r="AC35" s="135">
        <f t="shared" si="23"/>
        <v>118.10139992070302</v>
      </c>
      <c r="AD35" s="135">
        <f t="shared" si="15"/>
        <v>118101399.92070302</v>
      </c>
      <c r="AE35" s="137">
        <f t="shared" si="6"/>
        <v>420.06921299718817</v>
      </c>
      <c r="AF35" s="135">
        <f t="shared" si="26"/>
        <v>419999999.99718815</v>
      </c>
      <c r="AG35" s="187"/>
    </row>
    <row r="36" spans="2:33">
      <c r="B36" s="88">
        <f t="shared" si="7"/>
        <v>46643</v>
      </c>
      <c r="C36" s="120">
        <f t="shared" si="8"/>
        <v>23</v>
      </c>
      <c r="D36" s="123">
        <f t="shared" si="18"/>
        <v>304.53453948763519</v>
      </c>
      <c r="E36" s="123">
        <f t="shared" si="9"/>
        <v>304534539.4876352</v>
      </c>
      <c r="F36" s="123">
        <f t="shared" si="19"/>
        <v>115.53467350955287</v>
      </c>
      <c r="G36" s="123">
        <f t="shared" si="10"/>
        <v>115534673.50955288</v>
      </c>
      <c r="H36" s="123">
        <f t="shared" si="1"/>
        <v>420.06921299718806</v>
      </c>
      <c r="I36" s="123">
        <f t="shared" si="24"/>
        <v>419999999.99718803</v>
      </c>
      <c r="J36" s="187"/>
      <c r="L36" s="81">
        <f t="shared" si="27"/>
        <v>11</v>
      </c>
      <c r="O36" s="124"/>
      <c r="P36" s="124"/>
      <c r="Q36" s="128">
        <f t="shared" si="20"/>
        <v>304.53453948763519</v>
      </c>
      <c r="R36" s="128">
        <f t="shared" si="12"/>
        <v>304534539.4876352</v>
      </c>
      <c r="S36" s="128">
        <f t="shared" si="21"/>
        <v>115.53467350955287</v>
      </c>
      <c r="T36" s="128">
        <f t="shared" si="13"/>
        <v>115534673.50955288</v>
      </c>
      <c r="U36" s="130">
        <f t="shared" si="3"/>
        <v>420.06921299718806</v>
      </c>
      <c r="V36" s="128">
        <f t="shared" si="25"/>
        <v>419999999.99718803</v>
      </c>
      <c r="W36" s="187"/>
      <c r="X36" s="131"/>
      <c r="Y36" s="131"/>
      <c r="Z36" s="131"/>
      <c r="AA36" s="135">
        <f t="shared" si="22"/>
        <v>304.53453948763519</v>
      </c>
      <c r="AB36" s="135">
        <f t="shared" si="14"/>
        <v>304534539.4876352</v>
      </c>
      <c r="AC36" s="135">
        <f t="shared" si="23"/>
        <v>115.53467350955287</v>
      </c>
      <c r="AD36" s="135">
        <f t="shared" si="15"/>
        <v>115534673.50955288</v>
      </c>
      <c r="AE36" s="137">
        <f t="shared" si="6"/>
        <v>420.06921299718806</v>
      </c>
      <c r="AF36" s="135">
        <f t="shared" si="26"/>
        <v>419999999.99718803</v>
      </c>
      <c r="AG36" s="187"/>
    </row>
    <row r="37" spans="2:33">
      <c r="B37" s="88">
        <f t="shared" si="7"/>
        <v>46734</v>
      </c>
      <c r="C37" s="120">
        <f t="shared" si="8"/>
        <v>24</v>
      </c>
      <c r="D37" s="123">
        <f t="shared" si="18"/>
        <v>307.1230830732801</v>
      </c>
      <c r="E37" s="123">
        <f t="shared" si="9"/>
        <v>307123083.0732801</v>
      </c>
      <c r="F37" s="123">
        <f t="shared" si="19"/>
        <v>112.94612992390799</v>
      </c>
      <c r="G37" s="123">
        <f t="shared" si="10"/>
        <v>112946129.923908</v>
      </c>
      <c r="H37" s="123">
        <f t="shared" si="1"/>
        <v>420.06921299718806</v>
      </c>
      <c r="I37" s="123">
        <f t="shared" si="24"/>
        <v>419999999.99718803</v>
      </c>
      <c r="J37" s="187"/>
      <c r="L37" s="81">
        <f t="shared" si="27"/>
        <v>12</v>
      </c>
      <c r="O37" s="124"/>
      <c r="P37" s="124"/>
      <c r="Q37" s="128">
        <f t="shared" si="20"/>
        <v>307.1230830732801</v>
      </c>
      <c r="R37" s="128">
        <f t="shared" si="12"/>
        <v>307123083.0732801</v>
      </c>
      <c r="S37" s="128">
        <f t="shared" si="21"/>
        <v>112.94612992390799</v>
      </c>
      <c r="T37" s="128">
        <f t="shared" si="13"/>
        <v>112946129.923908</v>
      </c>
      <c r="U37" s="130">
        <f t="shared" si="3"/>
        <v>420.06921299718806</v>
      </c>
      <c r="V37" s="128">
        <f t="shared" si="25"/>
        <v>419999999.99718803</v>
      </c>
      <c r="W37" s="187"/>
      <c r="X37" s="131"/>
      <c r="Y37" s="131"/>
      <c r="Z37" s="131"/>
      <c r="AA37" s="135">
        <f t="shared" si="22"/>
        <v>307.1230830732801</v>
      </c>
      <c r="AB37" s="135">
        <f t="shared" si="14"/>
        <v>307123083.0732801</v>
      </c>
      <c r="AC37" s="135">
        <f t="shared" si="23"/>
        <v>112.94612992390799</v>
      </c>
      <c r="AD37" s="135">
        <f t="shared" si="15"/>
        <v>112946129.923908</v>
      </c>
      <c r="AE37" s="137">
        <f t="shared" si="6"/>
        <v>420.06921299718806</v>
      </c>
      <c r="AF37" s="135">
        <f t="shared" si="26"/>
        <v>419999999.99718803</v>
      </c>
      <c r="AG37" s="187"/>
    </row>
    <row r="38" spans="2:33">
      <c r="B38" s="88">
        <f t="shared" si="7"/>
        <v>46825</v>
      </c>
      <c r="C38" s="120">
        <f t="shared" si="8"/>
        <v>25</v>
      </c>
      <c r="D38" s="123">
        <f t="shared" si="18"/>
        <v>309.73362927940309</v>
      </c>
      <c r="E38" s="123">
        <f t="shared" si="9"/>
        <v>309733629.27940309</v>
      </c>
      <c r="F38" s="123">
        <f t="shared" si="19"/>
        <v>110.33558371778511</v>
      </c>
      <c r="G38" s="123">
        <f t="shared" si="10"/>
        <v>110335583.71778512</v>
      </c>
      <c r="H38" s="123">
        <f t="shared" si="1"/>
        <v>420.06921299718817</v>
      </c>
      <c r="I38" s="123">
        <f t="shared" si="24"/>
        <v>419999999.99718815</v>
      </c>
      <c r="J38" s="187"/>
      <c r="L38" s="81">
        <f t="shared" si="27"/>
        <v>13</v>
      </c>
      <c r="O38" s="124"/>
      <c r="P38" s="124"/>
      <c r="Q38" s="128">
        <f t="shared" si="20"/>
        <v>309.73362927940309</v>
      </c>
      <c r="R38" s="128">
        <f t="shared" si="12"/>
        <v>309733629.27940309</v>
      </c>
      <c r="S38" s="128">
        <f t="shared" si="21"/>
        <v>110.33558371778511</v>
      </c>
      <c r="T38" s="128">
        <f t="shared" si="13"/>
        <v>110335583.71778512</v>
      </c>
      <c r="U38" s="130">
        <f t="shared" si="3"/>
        <v>420.06921299718817</v>
      </c>
      <c r="V38" s="128">
        <f t="shared" si="25"/>
        <v>419999999.99718815</v>
      </c>
      <c r="W38" s="187"/>
      <c r="X38" s="131"/>
      <c r="Y38" s="131"/>
      <c r="Z38" s="131"/>
      <c r="AA38" s="135">
        <f t="shared" si="22"/>
        <v>309.73362927940309</v>
      </c>
      <c r="AB38" s="135">
        <f t="shared" si="14"/>
        <v>309733629.27940309</v>
      </c>
      <c r="AC38" s="135">
        <f t="shared" si="23"/>
        <v>110.33558371778511</v>
      </c>
      <c r="AD38" s="135">
        <f t="shared" si="15"/>
        <v>110335583.71778512</v>
      </c>
      <c r="AE38" s="137">
        <f t="shared" si="6"/>
        <v>420.06921299718817</v>
      </c>
      <c r="AF38" s="135">
        <f t="shared" si="26"/>
        <v>419999999.99718815</v>
      </c>
      <c r="AG38" s="187"/>
    </row>
    <row r="39" spans="2:33">
      <c r="B39" s="88">
        <f t="shared" si="7"/>
        <v>46917</v>
      </c>
      <c r="C39" s="120">
        <f t="shared" si="8"/>
        <v>26</v>
      </c>
      <c r="D39" s="123">
        <f t="shared" si="18"/>
        <v>312.36636512827795</v>
      </c>
      <c r="E39" s="123">
        <f t="shared" si="9"/>
        <v>312366365.12827796</v>
      </c>
      <c r="F39" s="123">
        <f t="shared" si="19"/>
        <v>107.7028478689102</v>
      </c>
      <c r="G39" s="123">
        <f t="shared" si="10"/>
        <v>107702847.86891019</v>
      </c>
      <c r="H39" s="123">
        <f t="shared" si="1"/>
        <v>420.06921299718817</v>
      </c>
      <c r="I39" s="123">
        <f t="shared" si="24"/>
        <v>419999999.99718815</v>
      </c>
      <c r="J39" s="187"/>
      <c r="L39" s="81">
        <f t="shared" si="27"/>
        <v>14</v>
      </c>
      <c r="O39" s="124"/>
      <c r="P39" s="124"/>
      <c r="Q39" s="128">
        <f t="shared" si="20"/>
        <v>312.36636512827795</v>
      </c>
      <c r="R39" s="128">
        <f t="shared" si="12"/>
        <v>312366365.12827796</v>
      </c>
      <c r="S39" s="128">
        <f t="shared" si="21"/>
        <v>107.7028478689102</v>
      </c>
      <c r="T39" s="128">
        <f t="shared" si="13"/>
        <v>107702847.86891019</v>
      </c>
      <c r="U39" s="130">
        <f t="shared" si="3"/>
        <v>420.06921299718817</v>
      </c>
      <c r="V39" s="128">
        <f t="shared" si="25"/>
        <v>419999999.99718815</v>
      </c>
      <c r="W39" s="187"/>
      <c r="X39" s="131"/>
      <c r="Y39" s="131"/>
      <c r="Z39" s="131"/>
      <c r="AA39" s="135">
        <f t="shared" si="22"/>
        <v>312.36636512827795</v>
      </c>
      <c r="AB39" s="135">
        <f t="shared" si="14"/>
        <v>312366365.12827796</v>
      </c>
      <c r="AC39" s="135">
        <f t="shared" si="23"/>
        <v>107.7028478689102</v>
      </c>
      <c r="AD39" s="135">
        <f t="shared" si="15"/>
        <v>107702847.86891019</v>
      </c>
      <c r="AE39" s="137">
        <f t="shared" si="6"/>
        <v>420.06921299718817</v>
      </c>
      <c r="AF39" s="135">
        <f t="shared" si="26"/>
        <v>419999999.99718815</v>
      </c>
      <c r="AG39" s="187"/>
    </row>
    <row r="40" spans="2:33">
      <c r="B40" s="88">
        <f t="shared" si="7"/>
        <v>47009</v>
      </c>
      <c r="C40" s="120">
        <f t="shared" si="8"/>
        <v>27</v>
      </c>
      <c r="D40" s="123">
        <f t="shared" si="18"/>
        <v>315.02147923186828</v>
      </c>
      <c r="E40" s="123">
        <f t="shared" si="9"/>
        <v>315021479.23186827</v>
      </c>
      <c r="F40" s="123">
        <f t="shared" si="19"/>
        <v>105.04773376531979</v>
      </c>
      <c r="G40" s="123">
        <f t="shared" si="10"/>
        <v>105047733.76531979</v>
      </c>
      <c r="H40" s="123">
        <f t="shared" si="1"/>
        <v>420.06921299718806</v>
      </c>
      <c r="I40" s="123">
        <f t="shared" si="24"/>
        <v>419999999.99718803</v>
      </c>
      <c r="J40" s="187"/>
      <c r="L40" s="81">
        <f t="shared" si="27"/>
        <v>15</v>
      </c>
      <c r="O40" s="124"/>
      <c r="P40" s="124"/>
      <c r="Q40" s="128">
        <f t="shared" si="20"/>
        <v>315.02147923186828</v>
      </c>
      <c r="R40" s="128">
        <f t="shared" si="12"/>
        <v>315021479.23186827</v>
      </c>
      <c r="S40" s="128">
        <f t="shared" si="21"/>
        <v>105.04773376531979</v>
      </c>
      <c r="T40" s="128">
        <f t="shared" si="13"/>
        <v>105047733.76531979</v>
      </c>
      <c r="U40" s="130">
        <f t="shared" si="3"/>
        <v>420.06921299718806</v>
      </c>
      <c r="V40" s="128">
        <f t="shared" si="25"/>
        <v>419999999.99718803</v>
      </c>
      <c r="W40" s="187"/>
      <c r="X40" s="131"/>
      <c r="Y40" s="131"/>
      <c r="Z40" s="131"/>
      <c r="AA40" s="135">
        <f t="shared" si="22"/>
        <v>315.02147923186828</v>
      </c>
      <c r="AB40" s="135">
        <f t="shared" si="14"/>
        <v>315021479.23186827</v>
      </c>
      <c r="AC40" s="135">
        <f t="shared" si="23"/>
        <v>105.04773376531979</v>
      </c>
      <c r="AD40" s="135">
        <f t="shared" si="15"/>
        <v>105047733.76531979</v>
      </c>
      <c r="AE40" s="137">
        <f t="shared" si="6"/>
        <v>420.06921299718806</v>
      </c>
      <c r="AF40" s="135">
        <f t="shared" si="26"/>
        <v>419999999.99718803</v>
      </c>
      <c r="AG40" s="187"/>
    </row>
    <row r="41" spans="2:33">
      <c r="B41" s="88">
        <f t="shared" si="7"/>
        <v>47100</v>
      </c>
      <c r="C41" s="120">
        <f t="shared" si="8"/>
        <v>28</v>
      </c>
      <c r="D41" s="123">
        <f t="shared" si="18"/>
        <v>317.6991618053392</v>
      </c>
      <c r="E41" s="123">
        <f t="shared" si="9"/>
        <v>317699161.80533922</v>
      </c>
      <c r="F41" s="123">
        <f t="shared" si="19"/>
        <v>102.37005119184897</v>
      </c>
      <c r="G41" s="123">
        <f t="shared" si="10"/>
        <v>102370051.19184898</v>
      </c>
      <c r="H41" s="123">
        <f t="shared" si="1"/>
        <v>420.06921299718817</v>
      </c>
      <c r="I41" s="123">
        <f t="shared" si="24"/>
        <v>419999999.99718815</v>
      </c>
      <c r="J41" s="187"/>
      <c r="L41" s="81">
        <f t="shared" si="27"/>
        <v>16</v>
      </c>
      <c r="O41" s="124"/>
      <c r="P41" s="124"/>
      <c r="Q41" s="128">
        <f t="shared" si="20"/>
        <v>317.6991618053392</v>
      </c>
      <c r="R41" s="128">
        <f t="shared" si="12"/>
        <v>317699161.80533922</v>
      </c>
      <c r="S41" s="128">
        <f t="shared" si="21"/>
        <v>102.37005119184897</v>
      </c>
      <c r="T41" s="128">
        <f t="shared" si="13"/>
        <v>102370051.19184898</v>
      </c>
      <c r="U41" s="130">
        <f t="shared" si="3"/>
        <v>420.06921299718817</v>
      </c>
      <c r="V41" s="128">
        <f t="shared" si="25"/>
        <v>419999999.99718815</v>
      </c>
      <c r="W41" s="187"/>
      <c r="X41" s="131"/>
      <c r="Y41" s="131"/>
      <c r="Z41" s="131"/>
      <c r="AA41" s="135">
        <f t="shared" si="22"/>
        <v>317.6991618053392</v>
      </c>
      <c r="AB41" s="135">
        <f t="shared" si="14"/>
        <v>317699161.80533922</v>
      </c>
      <c r="AC41" s="135">
        <f t="shared" si="23"/>
        <v>102.37005119184897</v>
      </c>
      <c r="AD41" s="135">
        <f t="shared" si="15"/>
        <v>102370051.19184898</v>
      </c>
      <c r="AE41" s="137">
        <f t="shared" si="6"/>
        <v>420.06921299718817</v>
      </c>
      <c r="AF41" s="135">
        <f t="shared" si="26"/>
        <v>419999999.99718815</v>
      </c>
      <c r="AG41" s="187"/>
    </row>
    <row r="42" spans="2:33">
      <c r="B42" s="88">
        <f t="shared" si="7"/>
        <v>47190</v>
      </c>
      <c r="C42" s="120">
        <f t="shared" si="8"/>
        <v>29</v>
      </c>
      <c r="D42" s="123">
        <f t="shared" si="18"/>
        <v>320.3996046806846</v>
      </c>
      <c r="E42" s="123">
        <f t="shared" si="9"/>
        <v>320399604.68068463</v>
      </c>
      <c r="F42" s="123">
        <f t="shared" si="19"/>
        <v>99.669608316503542</v>
      </c>
      <c r="G42" s="123">
        <f t="shared" si="10"/>
        <v>99669608.31650354</v>
      </c>
      <c r="H42" s="123">
        <f t="shared" si="1"/>
        <v>420.06921299718817</v>
      </c>
      <c r="I42" s="123">
        <f t="shared" si="24"/>
        <v>419999999.99718815</v>
      </c>
      <c r="J42" s="187"/>
      <c r="L42" s="81">
        <f t="shared" si="27"/>
        <v>17</v>
      </c>
      <c r="O42" s="124"/>
      <c r="P42" s="124"/>
      <c r="Q42" s="128">
        <f t="shared" si="20"/>
        <v>320.3996046806846</v>
      </c>
      <c r="R42" s="128">
        <f t="shared" si="12"/>
        <v>320399604.68068463</v>
      </c>
      <c r="S42" s="128">
        <f t="shared" si="21"/>
        <v>99.669608316503542</v>
      </c>
      <c r="T42" s="128">
        <f t="shared" si="13"/>
        <v>99669608.31650354</v>
      </c>
      <c r="U42" s="130">
        <f t="shared" si="3"/>
        <v>420.06921299718817</v>
      </c>
      <c r="V42" s="128">
        <f t="shared" si="25"/>
        <v>419999999.99718815</v>
      </c>
      <c r="W42" s="187"/>
      <c r="X42" s="131"/>
      <c r="Y42" s="131"/>
      <c r="Z42" s="131"/>
      <c r="AA42" s="135">
        <f t="shared" si="22"/>
        <v>320.3996046806846</v>
      </c>
      <c r="AB42" s="135">
        <f t="shared" si="14"/>
        <v>320399604.68068463</v>
      </c>
      <c r="AC42" s="135">
        <f t="shared" si="23"/>
        <v>99.669608316503542</v>
      </c>
      <c r="AD42" s="135">
        <f t="shared" si="15"/>
        <v>99669608.31650354</v>
      </c>
      <c r="AE42" s="137">
        <f t="shared" si="6"/>
        <v>420.06921299718817</v>
      </c>
      <c r="AF42" s="135">
        <f t="shared" si="26"/>
        <v>419999999.99718815</v>
      </c>
      <c r="AG42" s="187"/>
    </row>
    <row r="43" spans="2:33">
      <c r="B43" s="88">
        <f t="shared" si="7"/>
        <v>47282</v>
      </c>
      <c r="C43" s="120">
        <f t="shared" si="8"/>
        <v>30</v>
      </c>
      <c r="D43" s="123">
        <f t="shared" si="18"/>
        <v>323.12300132047039</v>
      </c>
      <c r="E43" s="123">
        <f t="shared" si="9"/>
        <v>323123001.32047039</v>
      </c>
      <c r="F43" s="123">
        <f t="shared" si="19"/>
        <v>96.946211676717738</v>
      </c>
      <c r="G43" s="123">
        <f t="shared" si="10"/>
        <v>96946211.676717743</v>
      </c>
      <c r="H43" s="123">
        <f t="shared" si="1"/>
        <v>420.06921299718812</v>
      </c>
      <c r="I43" s="123">
        <f t="shared" si="24"/>
        <v>419999999.99718809</v>
      </c>
      <c r="J43" s="187"/>
      <c r="L43" s="81">
        <f t="shared" si="27"/>
        <v>18</v>
      </c>
      <c r="O43" s="124"/>
      <c r="P43" s="124"/>
      <c r="Q43" s="128">
        <f t="shared" si="20"/>
        <v>323.12300132047039</v>
      </c>
      <c r="R43" s="128">
        <f t="shared" si="12"/>
        <v>323123001.32047039</v>
      </c>
      <c r="S43" s="128">
        <f t="shared" si="21"/>
        <v>96.946211676717738</v>
      </c>
      <c r="T43" s="128">
        <f t="shared" si="13"/>
        <v>96946211.676717743</v>
      </c>
      <c r="U43" s="130">
        <f t="shared" si="3"/>
        <v>420.06921299718812</v>
      </c>
      <c r="V43" s="128">
        <f t="shared" si="25"/>
        <v>419999999.99718809</v>
      </c>
      <c r="W43" s="187"/>
      <c r="X43" s="131"/>
      <c r="Y43" s="131"/>
      <c r="Z43" s="131"/>
      <c r="AA43" s="135">
        <f t="shared" si="22"/>
        <v>323.12300132047039</v>
      </c>
      <c r="AB43" s="135">
        <f t="shared" si="14"/>
        <v>323123001.32047039</v>
      </c>
      <c r="AC43" s="135">
        <f t="shared" si="23"/>
        <v>96.946211676717738</v>
      </c>
      <c r="AD43" s="135">
        <f t="shared" si="15"/>
        <v>96946211.676717743</v>
      </c>
      <c r="AE43" s="137">
        <f t="shared" si="6"/>
        <v>420.06921299718812</v>
      </c>
      <c r="AF43" s="135">
        <f t="shared" si="26"/>
        <v>419999999.99718809</v>
      </c>
      <c r="AG43" s="187"/>
    </row>
    <row r="44" spans="2:33">
      <c r="B44" s="88">
        <f t="shared" si="7"/>
        <v>47374</v>
      </c>
      <c r="C44" s="120">
        <f t="shared" si="8"/>
        <v>31</v>
      </c>
      <c r="D44" s="123">
        <f t="shared" si="18"/>
        <v>325.86954683169444</v>
      </c>
      <c r="E44" s="123">
        <f t="shared" si="9"/>
        <v>325869546.83169442</v>
      </c>
      <c r="F44" s="123">
        <f t="shared" si="19"/>
        <v>94.199666165493753</v>
      </c>
      <c r="G44" s="123">
        <f t="shared" si="10"/>
        <v>94199666.165493757</v>
      </c>
      <c r="H44" s="123">
        <f t="shared" si="1"/>
        <v>420.06921299718817</v>
      </c>
      <c r="I44" s="123">
        <f t="shared" si="24"/>
        <v>419999999.99718815</v>
      </c>
      <c r="J44" s="187"/>
      <c r="L44" s="81">
        <f t="shared" si="27"/>
        <v>19</v>
      </c>
      <c r="O44" s="124"/>
      <c r="P44" s="124"/>
      <c r="Q44" s="128">
        <f t="shared" si="20"/>
        <v>325.86954683169444</v>
      </c>
      <c r="R44" s="128">
        <f t="shared" si="12"/>
        <v>325869546.83169442</v>
      </c>
      <c r="S44" s="128">
        <f t="shared" si="21"/>
        <v>94.199666165493753</v>
      </c>
      <c r="T44" s="128">
        <f t="shared" si="13"/>
        <v>94199666.165493757</v>
      </c>
      <c r="U44" s="130">
        <f t="shared" si="3"/>
        <v>420.06921299718817</v>
      </c>
      <c r="V44" s="128">
        <f t="shared" si="25"/>
        <v>419999999.99718815</v>
      </c>
      <c r="W44" s="187"/>
      <c r="X44" s="131"/>
      <c r="Y44" s="131"/>
      <c r="Z44" s="131"/>
      <c r="AA44" s="135">
        <f t="shared" si="22"/>
        <v>325.86954683169444</v>
      </c>
      <c r="AB44" s="135">
        <f t="shared" si="14"/>
        <v>325869546.83169442</v>
      </c>
      <c r="AC44" s="135">
        <f t="shared" si="23"/>
        <v>94.199666165493753</v>
      </c>
      <c r="AD44" s="135">
        <f t="shared" si="15"/>
        <v>94199666.165493757</v>
      </c>
      <c r="AE44" s="137">
        <f t="shared" si="6"/>
        <v>420.06921299718817</v>
      </c>
      <c r="AF44" s="135">
        <f t="shared" si="26"/>
        <v>419999999.99718815</v>
      </c>
      <c r="AG44" s="187"/>
    </row>
    <row r="45" spans="2:33">
      <c r="B45" s="88">
        <f t="shared" si="7"/>
        <v>47465</v>
      </c>
      <c r="C45" s="120">
        <f t="shared" si="8"/>
        <v>32</v>
      </c>
      <c r="D45" s="123">
        <f t="shared" si="18"/>
        <v>328.63943797976378</v>
      </c>
      <c r="E45" s="123">
        <f t="shared" si="9"/>
        <v>328639437.97976381</v>
      </c>
      <c r="F45" s="123">
        <f t="shared" si="19"/>
        <v>91.429775017424333</v>
      </c>
      <c r="G45" s="123">
        <f t="shared" si="10"/>
        <v>91429775.01742433</v>
      </c>
      <c r="H45" s="123">
        <f t="shared" si="1"/>
        <v>420.06921299718812</v>
      </c>
      <c r="I45" s="123">
        <f t="shared" si="24"/>
        <v>419999999.99718809</v>
      </c>
      <c r="J45" s="187"/>
      <c r="L45" s="81">
        <f t="shared" si="27"/>
        <v>20</v>
      </c>
      <c r="O45" s="124"/>
      <c r="P45" s="124"/>
      <c r="Q45" s="128">
        <f t="shared" si="20"/>
        <v>328.63943797976378</v>
      </c>
      <c r="R45" s="128">
        <f t="shared" si="12"/>
        <v>328639437.97976381</v>
      </c>
      <c r="S45" s="128">
        <f t="shared" si="21"/>
        <v>91.429775017424333</v>
      </c>
      <c r="T45" s="128">
        <f t="shared" si="13"/>
        <v>91429775.01742433</v>
      </c>
      <c r="U45" s="130">
        <f t="shared" si="3"/>
        <v>420.06921299718812</v>
      </c>
      <c r="V45" s="128">
        <f t="shared" si="25"/>
        <v>419999999.99718809</v>
      </c>
      <c r="W45" s="187"/>
      <c r="X45" s="131"/>
      <c r="Y45" s="131"/>
      <c r="Z45" s="131"/>
      <c r="AA45" s="135">
        <f t="shared" si="22"/>
        <v>328.63943797976378</v>
      </c>
      <c r="AB45" s="135">
        <f t="shared" si="14"/>
        <v>328639437.97976381</v>
      </c>
      <c r="AC45" s="135">
        <f t="shared" si="23"/>
        <v>91.429775017424333</v>
      </c>
      <c r="AD45" s="135">
        <f t="shared" si="15"/>
        <v>91429775.01742433</v>
      </c>
      <c r="AE45" s="137">
        <f t="shared" si="6"/>
        <v>420.06921299718812</v>
      </c>
      <c r="AF45" s="135">
        <f t="shared" si="26"/>
        <v>419999999.99718809</v>
      </c>
      <c r="AG45" s="187"/>
    </row>
    <row r="46" spans="2:33">
      <c r="B46" s="88">
        <f t="shared" si="7"/>
        <v>47555</v>
      </c>
      <c r="C46" s="120">
        <f t="shared" si="8"/>
        <v>33</v>
      </c>
      <c r="D46" s="123">
        <f t="shared" si="18"/>
        <v>331.43287320259179</v>
      </c>
      <c r="E46" s="123">
        <f t="shared" si="9"/>
        <v>331432873.20259178</v>
      </c>
      <c r="F46" s="123">
        <f t="shared" si="19"/>
        <v>88.636339794596324</v>
      </c>
      <c r="G46" s="123">
        <f t="shared" si="10"/>
        <v>88636339.794596329</v>
      </c>
      <c r="H46" s="123">
        <f t="shared" si="1"/>
        <v>420.06921299718812</v>
      </c>
      <c r="I46" s="123">
        <f t="shared" si="24"/>
        <v>419999999.99718809</v>
      </c>
      <c r="J46" s="187"/>
      <c r="L46" s="81">
        <f t="shared" si="27"/>
        <v>21</v>
      </c>
      <c r="O46" s="124"/>
      <c r="P46" s="124"/>
      <c r="Q46" s="128">
        <f t="shared" si="20"/>
        <v>331.43287320259179</v>
      </c>
      <c r="R46" s="128">
        <f t="shared" si="12"/>
        <v>331432873.20259178</v>
      </c>
      <c r="S46" s="128">
        <f t="shared" si="21"/>
        <v>88.636339794596324</v>
      </c>
      <c r="T46" s="128">
        <f t="shared" si="13"/>
        <v>88636339.794596329</v>
      </c>
      <c r="U46" s="130">
        <f t="shared" si="3"/>
        <v>420.06921299718812</v>
      </c>
      <c r="V46" s="128">
        <f t="shared" si="25"/>
        <v>419999999.99718809</v>
      </c>
      <c r="W46" s="187"/>
      <c r="X46" s="131"/>
      <c r="Y46" s="131"/>
      <c r="Z46" s="131"/>
      <c r="AA46" s="135">
        <f t="shared" si="22"/>
        <v>331.43287320259179</v>
      </c>
      <c r="AB46" s="135">
        <f t="shared" si="14"/>
        <v>331432873.20259178</v>
      </c>
      <c r="AC46" s="135">
        <f t="shared" si="23"/>
        <v>88.636339794596324</v>
      </c>
      <c r="AD46" s="135">
        <f t="shared" si="15"/>
        <v>88636339.794596329</v>
      </c>
      <c r="AE46" s="137">
        <f t="shared" si="6"/>
        <v>420.06921299718812</v>
      </c>
      <c r="AF46" s="135">
        <f t="shared" si="26"/>
        <v>419999999.99718809</v>
      </c>
      <c r="AG46" s="187"/>
    </row>
    <row r="47" spans="2:33">
      <c r="B47" s="88">
        <f t="shared" si="7"/>
        <v>47647</v>
      </c>
      <c r="C47" s="120">
        <f t="shared" si="8"/>
        <v>34</v>
      </c>
      <c r="D47" s="123">
        <f t="shared" si="18"/>
        <v>334.2500526248138</v>
      </c>
      <c r="E47" s="123">
        <f t="shared" si="9"/>
        <v>334250052.6248138</v>
      </c>
      <c r="F47" s="123">
        <f t="shared" si="19"/>
        <v>85.819160372374313</v>
      </c>
      <c r="G47" s="123">
        <f t="shared" si="10"/>
        <v>85819160.372374311</v>
      </c>
      <c r="H47" s="123">
        <f t="shared" si="1"/>
        <v>420.06921299718812</v>
      </c>
      <c r="I47" s="123">
        <f t="shared" si="24"/>
        <v>419999999.99718809</v>
      </c>
      <c r="J47" s="187"/>
      <c r="L47" s="81">
        <f t="shared" si="27"/>
        <v>22</v>
      </c>
      <c r="O47" s="124"/>
      <c r="P47" s="124"/>
      <c r="Q47" s="128">
        <f t="shared" si="20"/>
        <v>334.2500526248138</v>
      </c>
      <c r="R47" s="128">
        <f t="shared" si="12"/>
        <v>334250052.6248138</v>
      </c>
      <c r="S47" s="128">
        <f t="shared" si="21"/>
        <v>85.819160372374313</v>
      </c>
      <c r="T47" s="128">
        <f t="shared" si="13"/>
        <v>85819160.372374311</v>
      </c>
      <c r="U47" s="130">
        <f t="shared" si="3"/>
        <v>420.06921299718812</v>
      </c>
      <c r="V47" s="128">
        <f t="shared" si="25"/>
        <v>419999999.99718809</v>
      </c>
      <c r="W47" s="187"/>
      <c r="X47" s="131"/>
      <c r="Y47" s="131"/>
      <c r="Z47" s="131"/>
      <c r="AA47" s="135">
        <f t="shared" si="22"/>
        <v>334.2500526248138</v>
      </c>
      <c r="AB47" s="135">
        <f t="shared" si="14"/>
        <v>334250052.6248138</v>
      </c>
      <c r="AC47" s="135">
        <f t="shared" si="23"/>
        <v>85.819160372374313</v>
      </c>
      <c r="AD47" s="135">
        <f t="shared" si="15"/>
        <v>85819160.372374311</v>
      </c>
      <c r="AE47" s="137">
        <f t="shared" si="6"/>
        <v>420.06921299718812</v>
      </c>
      <c r="AF47" s="135">
        <f t="shared" si="26"/>
        <v>419999999.99718809</v>
      </c>
      <c r="AG47" s="187"/>
    </row>
    <row r="48" spans="2:33">
      <c r="B48" s="88">
        <f t="shared" si="7"/>
        <v>47739</v>
      </c>
      <c r="C48" s="120">
        <f t="shared" si="8"/>
        <v>35</v>
      </c>
      <c r="D48" s="123">
        <f t="shared" si="18"/>
        <v>337.09117807212476</v>
      </c>
      <c r="E48" s="123">
        <f t="shared" si="9"/>
        <v>337091178.07212478</v>
      </c>
      <c r="F48" s="123">
        <f t="shared" si="19"/>
        <v>82.978034925063383</v>
      </c>
      <c r="G48" s="123">
        <f t="shared" si="10"/>
        <v>82978034.925063387</v>
      </c>
      <c r="H48" s="123">
        <f t="shared" si="1"/>
        <v>420.06921299718817</v>
      </c>
      <c r="I48" s="123">
        <f t="shared" si="24"/>
        <v>419999999.99718815</v>
      </c>
      <c r="J48" s="187"/>
      <c r="L48" s="81">
        <f t="shared" si="27"/>
        <v>23</v>
      </c>
      <c r="O48" s="124"/>
      <c r="P48" s="124"/>
      <c r="Q48" s="128">
        <f t="shared" si="20"/>
        <v>337.09117807212476</v>
      </c>
      <c r="R48" s="128">
        <f>Q48*$M$4</f>
        <v>337091178.07212478</v>
      </c>
      <c r="S48" s="128">
        <f t="shared" si="21"/>
        <v>82.978034925063383</v>
      </c>
      <c r="T48" s="128">
        <f>S48*$M$4</f>
        <v>82978034.925063387</v>
      </c>
      <c r="U48" s="130">
        <f t="shared" si="3"/>
        <v>420.06921299718817</v>
      </c>
      <c r="V48" s="128">
        <f t="shared" si="25"/>
        <v>419999999.99718815</v>
      </c>
      <c r="W48" s="187"/>
      <c r="X48" s="131"/>
      <c r="Y48" s="131"/>
      <c r="Z48" s="131"/>
      <c r="AA48" s="135">
        <f t="shared" si="22"/>
        <v>337.09117807212476</v>
      </c>
      <c r="AB48" s="135">
        <f t="shared" si="14"/>
        <v>337091178.07212478</v>
      </c>
      <c r="AC48" s="135">
        <f t="shared" si="23"/>
        <v>82.978034925063383</v>
      </c>
      <c r="AD48" s="135">
        <f t="shared" si="15"/>
        <v>82978034.925063387</v>
      </c>
      <c r="AE48" s="137">
        <f t="shared" si="6"/>
        <v>420.06921299718817</v>
      </c>
      <c r="AF48" s="135">
        <f t="shared" si="26"/>
        <v>419999999.99718815</v>
      </c>
      <c r="AG48" s="187"/>
    </row>
    <row r="49" spans="2:33">
      <c r="B49" s="88">
        <f t="shared" si="7"/>
        <v>47830</v>
      </c>
      <c r="C49" s="120">
        <f t="shared" si="8"/>
        <v>36</v>
      </c>
      <c r="D49" s="123">
        <f t="shared" si="18"/>
        <v>339.95645308573779</v>
      </c>
      <c r="E49" s="123">
        <f t="shared" si="9"/>
        <v>339956453.08573776</v>
      </c>
      <c r="F49" s="123">
        <f t="shared" si="19"/>
        <v>80.11275991145034</v>
      </c>
      <c r="G49" s="123">
        <f t="shared" si="10"/>
        <v>80112759.911450341</v>
      </c>
      <c r="H49" s="123">
        <f t="shared" si="1"/>
        <v>420.06921299718812</v>
      </c>
      <c r="I49" s="123">
        <f t="shared" si="24"/>
        <v>419999999.99718809</v>
      </c>
      <c r="J49" s="187"/>
      <c r="L49" s="81">
        <f t="shared" si="27"/>
        <v>24</v>
      </c>
      <c r="O49" s="124"/>
      <c r="P49" s="124"/>
      <c r="Q49" s="128">
        <f>-PPMT($J$8,$L49,$J$6,$D$4,0,0)+U52</f>
        <v>9425.0305778176808</v>
      </c>
      <c r="R49" s="128">
        <f>Q49*$M$4</f>
        <v>9425030577.8176804</v>
      </c>
      <c r="S49" s="128">
        <f>-IPMT($J$8,$L49,$J$6,$D$4,0,0)+U53</f>
        <v>170.96350115876976</v>
      </c>
      <c r="T49" s="128">
        <f t="shared" si="13"/>
        <v>170963501.15876976</v>
      </c>
      <c r="U49" s="130">
        <f>(Q49+S49)</f>
        <v>9595.9940789764514</v>
      </c>
      <c r="V49" s="128">
        <f>U49*$M$4</f>
        <v>9595994078.9764519</v>
      </c>
      <c r="X49" s="131"/>
      <c r="Y49" s="131"/>
      <c r="Z49" s="131"/>
      <c r="AA49" s="135">
        <f t="shared" si="22"/>
        <v>339.95645308573779</v>
      </c>
      <c r="AB49" s="135">
        <f t="shared" si="14"/>
        <v>339956453.08573776</v>
      </c>
      <c r="AC49" s="135">
        <f t="shared" si="23"/>
        <v>80.11275991145034</v>
      </c>
      <c r="AD49" s="135">
        <f t="shared" si="15"/>
        <v>80112759.911450341</v>
      </c>
      <c r="AE49" s="137">
        <f t="shared" si="6"/>
        <v>420.06921299718812</v>
      </c>
      <c r="AF49" s="135">
        <f t="shared" si="26"/>
        <v>419999999.99718809</v>
      </c>
      <c r="AG49" s="187"/>
    </row>
    <row r="50" spans="2:33">
      <c r="B50" s="88">
        <f t="shared" si="7"/>
        <v>47920</v>
      </c>
      <c r="C50" s="120">
        <f t="shared" si="8"/>
        <v>37</v>
      </c>
      <c r="D50" s="123">
        <f t="shared" si="18"/>
        <v>342.84608293696658</v>
      </c>
      <c r="E50" s="123">
        <f t="shared" si="9"/>
        <v>342846082.9369666</v>
      </c>
      <c r="F50" s="123">
        <f t="shared" si="19"/>
        <v>77.22313006022155</v>
      </c>
      <c r="G50" s="123">
        <f t="shared" si="10"/>
        <v>77223130.060221553</v>
      </c>
      <c r="H50" s="123">
        <f t="shared" si="1"/>
        <v>420.06921299718812</v>
      </c>
      <c r="I50" s="123">
        <f t="shared" si="24"/>
        <v>419999999.99718809</v>
      </c>
      <c r="J50" s="187"/>
      <c r="L50" s="81">
        <f t="shared" si="27"/>
        <v>25</v>
      </c>
      <c r="O50" s="124"/>
      <c r="P50" s="138" t="s">
        <v>96</v>
      </c>
      <c r="Q50" s="128">
        <f>SUM(Q14:Q49)</f>
        <v>16499.999999999996</v>
      </c>
      <c r="R50" s="128">
        <f>Q50*$M$4</f>
        <v>16499999999.999996</v>
      </c>
      <c r="S50" s="124"/>
      <c r="T50" s="124"/>
      <c r="U50" s="124"/>
      <c r="V50" s="124"/>
      <c r="X50" s="131"/>
      <c r="Y50" s="131"/>
      <c r="Z50" s="131"/>
      <c r="AA50" s="135">
        <f t="shared" si="22"/>
        <v>342.84608293696658</v>
      </c>
      <c r="AB50" s="135">
        <f t="shared" si="14"/>
        <v>342846082.9369666</v>
      </c>
      <c r="AC50" s="135">
        <f t="shared" si="23"/>
        <v>77.22313006022155</v>
      </c>
      <c r="AD50" s="135">
        <f t="shared" si="15"/>
        <v>77223130.060221553</v>
      </c>
      <c r="AE50" s="137">
        <f t="shared" si="6"/>
        <v>420.06921299718812</v>
      </c>
      <c r="AF50" s="135">
        <f t="shared" si="26"/>
        <v>419999999.99718809</v>
      </c>
      <c r="AG50" s="187"/>
    </row>
    <row r="51" spans="2:33">
      <c r="B51" s="88">
        <f t="shared" si="7"/>
        <v>48012</v>
      </c>
      <c r="C51" s="120">
        <f t="shared" si="8"/>
        <v>38</v>
      </c>
      <c r="D51" s="123">
        <f t="shared" si="18"/>
        <v>345.76027464193078</v>
      </c>
      <c r="E51" s="123">
        <f t="shared" si="9"/>
        <v>345760274.64193076</v>
      </c>
      <c r="F51" s="123">
        <f t="shared" si="19"/>
        <v>74.308938355257339</v>
      </c>
      <c r="G51" s="123">
        <f t="shared" si="10"/>
        <v>74308938.355257332</v>
      </c>
      <c r="H51" s="123">
        <f t="shared" si="1"/>
        <v>420.06921299718812</v>
      </c>
      <c r="I51" s="123">
        <f t="shared" si="24"/>
        <v>419999999.99718809</v>
      </c>
      <c r="J51" s="187"/>
      <c r="L51" s="81">
        <f t="shared" si="27"/>
        <v>26</v>
      </c>
      <c r="O51" s="124"/>
      <c r="P51" s="124"/>
      <c r="Q51" s="124"/>
      <c r="R51" s="128"/>
      <c r="S51" s="124"/>
      <c r="T51" s="124"/>
      <c r="U51" s="124"/>
      <c r="V51" s="124"/>
      <c r="X51" s="131"/>
      <c r="Y51" s="131"/>
      <c r="Z51" s="131"/>
      <c r="AA51" s="135">
        <f t="shared" si="22"/>
        <v>345.76027464193078</v>
      </c>
      <c r="AB51" s="135">
        <f t="shared" si="14"/>
        <v>345760274.64193076</v>
      </c>
      <c r="AC51" s="135">
        <f t="shared" si="23"/>
        <v>74.308938355257339</v>
      </c>
      <c r="AD51" s="135">
        <f t="shared" si="15"/>
        <v>74308938.355257332</v>
      </c>
      <c r="AE51" s="137">
        <f t="shared" si="6"/>
        <v>420.06921299718812</v>
      </c>
      <c r="AF51" s="135">
        <f t="shared" si="26"/>
        <v>419999999.99718809</v>
      </c>
      <c r="AG51" s="187"/>
    </row>
    <row r="52" spans="2:33">
      <c r="B52" s="88">
        <f t="shared" si="7"/>
        <v>48104</v>
      </c>
      <c r="C52" s="120">
        <f t="shared" si="8"/>
        <v>39</v>
      </c>
      <c r="D52" s="123">
        <f t="shared" si="18"/>
        <v>348.69923697638717</v>
      </c>
      <c r="E52" s="123">
        <f t="shared" si="9"/>
        <v>348699236.97638714</v>
      </c>
      <c r="F52" s="123">
        <f t="shared" si="19"/>
        <v>71.369976020800934</v>
      </c>
      <c r="G52" s="123">
        <f t="shared" si="10"/>
        <v>71369976.020800933</v>
      </c>
      <c r="H52" s="123">
        <f t="shared" si="1"/>
        <v>420.06921299718812</v>
      </c>
      <c r="I52" s="123">
        <f t="shared" si="24"/>
        <v>419999999.99718809</v>
      </c>
      <c r="J52" s="187"/>
      <c r="L52" s="81">
        <f t="shared" si="27"/>
        <v>27</v>
      </c>
      <c r="O52" s="124"/>
      <c r="P52" s="124"/>
      <c r="Q52" s="124"/>
      <c r="R52" s="124"/>
      <c r="S52" s="129" t="s">
        <v>94</v>
      </c>
      <c r="T52" s="129"/>
      <c r="U52" s="128">
        <f>SUM(D50:D73)</f>
        <v>9085.0741247319438</v>
      </c>
      <c r="V52" s="128"/>
      <c r="X52" s="131"/>
      <c r="Y52" s="131"/>
      <c r="Z52" s="131"/>
      <c r="AA52" s="135">
        <f t="shared" si="22"/>
        <v>348.69923697638717</v>
      </c>
      <c r="AB52" s="135">
        <f t="shared" si="14"/>
        <v>348699236.97638714</v>
      </c>
      <c r="AC52" s="135">
        <f t="shared" si="23"/>
        <v>71.369976020800934</v>
      </c>
      <c r="AD52" s="135">
        <f t="shared" si="15"/>
        <v>71369976.020800933</v>
      </c>
      <c r="AE52" s="137">
        <f t="shared" si="6"/>
        <v>420.06921299718812</v>
      </c>
      <c r="AF52" s="135">
        <f t="shared" si="26"/>
        <v>419999999.99718809</v>
      </c>
      <c r="AG52" s="187"/>
    </row>
    <row r="53" spans="2:33">
      <c r="B53" s="88">
        <f t="shared" si="7"/>
        <v>48195</v>
      </c>
      <c r="C53" s="120">
        <f t="shared" si="8"/>
        <v>40</v>
      </c>
      <c r="D53" s="123">
        <f t="shared" si="18"/>
        <v>351.6631804906865</v>
      </c>
      <c r="E53" s="123">
        <f t="shared" si="9"/>
        <v>351663180.49068648</v>
      </c>
      <c r="F53" s="123">
        <f t="shared" si="19"/>
        <v>68.406032506501631</v>
      </c>
      <c r="G53" s="123">
        <f t="shared" si="10"/>
        <v>68406032.50650163</v>
      </c>
      <c r="H53" s="123">
        <f t="shared" si="1"/>
        <v>420.06921299718812</v>
      </c>
      <c r="I53" s="123">
        <f t="shared" si="24"/>
        <v>419999999.99718809</v>
      </c>
      <c r="J53" s="187"/>
      <c r="L53" s="81">
        <f t="shared" si="27"/>
        <v>28</v>
      </c>
      <c r="O53" s="124"/>
      <c r="P53" s="124"/>
      <c r="Q53" s="124"/>
      <c r="R53" s="124"/>
      <c r="S53" s="124" t="s">
        <v>88</v>
      </c>
      <c r="T53" s="124"/>
      <c r="U53" s="130">
        <f>U52*0.01</f>
        <v>90.850741247319434</v>
      </c>
      <c r="V53" s="130"/>
      <c r="X53" s="131"/>
      <c r="Y53" s="131"/>
      <c r="Z53" s="131"/>
      <c r="AA53" s="135">
        <f t="shared" si="22"/>
        <v>351.6631804906865</v>
      </c>
      <c r="AB53" s="135">
        <f t="shared" si="14"/>
        <v>351663180.49068648</v>
      </c>
      <c r="AC53" s="135">
        <f t="shared" si="23"/>
        <v>68.406032506501631</v>
      </c>
      <c r="AD53" s="135">
        <f t="shared" si="15"/>
        <v>68406032.50650163</v>
      </c>
      <c r="AE53" s="137">
        <f t="shared" si="6"/>
        <v>420.06921299718812</v>
      </c>
      <c r="AF53" s="135">
        <f t="shared" si="26"/>
        <v>419999999.99718809</v>
      </c>
      <c r="AG53" s="187"/>
    </row>
    <row r="54" spans="2:33">
      <c r="B54" s="88">
        <f t="shared" si="7"/>
        <v>48286</v>
      </c>
      <c r="C54" s="120">
        <f t="shared" si="8"/>
        <v>41</v>
      </c>
      <c r="D54" s="123">
        <f t="shared" si="18"/>
        <v>354.65231752485727</v>
      </c>
      <c r="E54" s="123">
        <f t="shared" si="9"/>
        <v>354652317.52485728</v>
      </c>
      <c r="F54" s="123">
        <f t="shared" si="19"/>
        <v>65.416895472330808</v>
      </c>
      <c r="G54" s="123">
        <f t="shared" si="10"/>
        <v>65416895.472330809</v>
      </c>
      <c r="H54" s="123">
        <f t="shared" si="1"/>
        <v>420.06921299718806</v>
      </c>
      <c r="I54" s="123">
        <f t="shared" si="24"/>
        <v>419999999.99718803</v>
      </c>
      <c r="J54" s="187"/>
      <c r="L54" s="81">
        <f t="shared" si="27"/>
        <v>29</v>
      </c>
      <c r="X54" s="131"/>
      <c r="Y54" s="131"/>
      <c r="Z54" s="131"/>
      <c r="AA54" s="135">
        <f t="shared" si="22"/>
        <v>354.65231752485727</v>
      </c>
      <c r="AB54" s="135">
        <f t="shared" si="14"/>
        <v>354652317.52485728</v>
      </c>
      <c r="AC54" s="135">
        <f t="shared" si="23"/>
        <v>65.416895472330808</v>
      </c>
      <c r="AD54" s="135">
        <f t="shared" si="15"/>
        <v>65416895.472330809</v>
      </c>
      <c r="AE54" s="137">
        <f t="shared" si="6"/>
        <v>420.06921299718806</v>
      </c>
      <c r="AF54" s="135">
        <f t="shared" si="26"/>
        <v>419999999.99718803</v>
      </c>
      <c r="AG54" s="187"/>
    </row>
    <row r="55" spans="2:33">
      <c r="B55" s="88">
        <f t="shared" si="7"/>
        <v>48378</v>
      </c>
      <c r="C55" s="120">
        <f t="shared" si="8"/>
        <v>42</v>
      </c>
      <c r="D55" s="123">
        <f t="shared" si="18"/>
        <v>357.66686222381861</v>
      </c>
      <c r="E55" s="123">
        <f t="shared" si="9"/>
        <v>357666862.2238186</v>
      </c>
      <c r="F55" s="123">
        <f t="shared" si="19"/>
        <v>62.402350773369513</v>
      </c>
      <c r="G55" s="123">
        <f t="shared" si="10"/>
        <v>62402350.773369513</v>
      </c>
      <c r="H55" s="123">
        <f t="shared" si="1"/>
        <v>420.06921299718812</v>
      </c>
      <c r="I55" s="123">
        <f t="shared" si="24"/>
        <v>419999999.99718809</v>
      </c>
      <c r="J55" s="187"/>
      <c r="L55" s="81">
        <f t="shared" si="27"/>
        <v>30</v>
      </c>
      <c r="X55" s="131"/>
      <c r="Y55" s="131"/>
      <c r="Z55" s="131"/>
      <c r="AA55" s="135">
        <f t="shared" si="22"/>
        <v>357.66686222381861</v>
      </c>
      <c r="AB55" s="135">
        <f t="shared" si="14"/>
        <v>357666862.2238186</v>
      </c>
      <c r="AC55" s="135">
        <f t="shared" si="23"/>
        <v>62.402350773369513</v>
      </c>
      <c r="AD55" s="135">
        <f t="shared" si="15"/>
        <v>62402350.773369513</v>
      </c>
      <c r="AE55" s="137">
        <f t="shared" si="6"/>
        <v>420.06921299718812</v>
      </c>
      <c r="AF55" s="135">
        <f t="shared" si="26"/>
        <v>419999999.99718809</v>
      </c>
      <c r="AG55" s="187"/>
    </row>
    <row r="56" spans="2:33">
      <c r="B56" s="88">
        <f t="shared" si="7"/>
        <v>48470</v>
      </c>
      <c r="C56" s="120">
        <f t="shared" si="8"/>
        <v>43</v>
      </c>
      <c r="D56" s="123">
        <f t="shared" si="18"/>
        <v>360.70703055272105</v>
      </c>
      <c r="E56" s="123">
        <f t="shared" si="9"/>
        <v>360707030.55272102</v>
      </c>
      <c r="F56" s="123">
        <f t="shared" si="19"/>
        <v>59.362182444467052</v>
      </c>
      <c r="G56" s="123">
        <f t="shared" si="10"/>
        <v>59362182.444467053</v>
      </c>
      <c r="H56" s="123">
        <f t="shared" si="1"/>
        <v>420.06921299718812</v>
      </c>
      <c r="I56" s="123">
        <f t="shared" si="24"/>
        <v>419999999.99718809</v>
      </c>
      <c r="J56" s="187"/>
      <c r="L56" s="81">
        <f t="shared" si="27"/>
        <v>31</v>
      </c>
      <c r="X56" s="131"/>
      <c r="Y56" s="131"/>
      <c r="Z56" s="131"/>
      <c r="AA56" s="135">
        <f t="shared" si="22"/>
        <v>360.70703055272105</v>
      </c>
      <c r="AB56" s="135">
        <f t="shared" si="14"/>
        <v>360707030.55272102</v>
      </c>
      <c r="AC56" s="135">
        <f t="shared" si="23"/>
        <v>59.362182444467052</v>
      </c>
      <c r="AD56" s="135">
        <f t="shared" si="15"/>
        <v>59362182.444467053</v>
      </c>
      <c r="AE56" s="137">
        <f t="shared" si="6"/>
        <v>420.06921299718812</v>
      </c>
      <c r="AF56" s="135">
        <f t="shared" si="26"/>
        <v>419999999.99718809</v>
      </c>
      <c r="AG56" s="187"/>
    </row>
    <row r="57" spans="2:33">
      <c r="B57" s="88">
        <f t="shared" si="7"/>
        <v>48561</v>
      </c>
      <c r="C57" s="120">
        <f t="shared" si="8"/>
        <v>44</v>
      </c>
      <c r="D57" s="123">
        <f t="shared" si="18"/>
        <v>363.7730403124192</v>
      </c>
      <c r="E57" s="123">
        <f t="shared" si="9"/>
        <v>363773040.31241918</v>
      </c>
      <c r="F57" s="123">
        <f t="shared" si="19"/>
        <v>56.296172684768919</v>
      </c>
      <c r="G57" s="123">
        <f t="shared" si="10"/>
        <v>56296172.684768923</v>
      </c>
      <c r="H57" s="123">
        <f t="shared" si="1"/>
        <v>420.06921299718812</v>
      </c>
      <c r="I57" s="123">
        <f t="shared" si="24"/>
        <v>419999999.99718809</v>
      </c>
      <c r="J57" s="187"/>
      <c r="L57" s="81">
        <f t="shared" si="27"/>
        <v>32</v>
      </c>
      <c r="X57" s="131"/>
      <c r="Y57" s="131"/>
      <c r="Z57" s="131"/>
      <c r="AA57" s="135">
        <f t="shared" si="22"/>
        <v>363.7730403124192</v>
      </c>
      <c r="AB57" s="135">
        <f t="shared" si="14"/>
        <v>363773040.31241918</v>
      </c>
      <c r="AC57" s="135">
        <f t="shared" si="23"/>
        <v>56.296172684768919</v>
      </c>
      <c r="AD57" s="135">
        <f t="shared" si="15"/>
        <v>56296172.684768923</v>
      </c>
      <c r="AE57" s="137">
        <f t="shared" si="6"/>
        <v>420.06921299718812</v>
      </c>
      <c r="AF57" s="135">
        <f t="shared" si="26"/>
        <v>419999999.99718809</v>
      </c>
      <c r="AG57" s="187"/>
    </row>
    <row r="58" spans="2:33">
      <c r="B58" s="88">
        <f t="shared" si="7"/>
        <v>48651</v>
      </c>
      <c r="C58" s="120">
        <f t="shared" si="8"/>
        <v>45</v>
      </c>
      <c r="D58" s="123">
        <f t="shared" si="18"/>
        <v>366.86511115507477</v>
      </c>
      <c r="E58" s="123">
        <f t="shared" si="9"/>
        <v>366865111.15507478</v>
      </c>
      <c r="F58" s="123">
        <f t="shared" si="19"/>
        <v>53.20410184211336</v>
      </c>
      <c r="G58" s="123">
        <f t="shared" si="10"/>
        <v>53204101.842113361</v>
      </c>
      <c r="H58" s="123">
        <f t="shared" si="1"/>
        <v>420.06921299718812</v>
      </c>
      <c r="I58" s="123">
        <f t="shared" si="24"/>
        <v>419999999.99718809</v>
      </c>
      <c r="J58" s="187"/>
      <c r="L58" s="81">
        <f t="shared" si="27"/>
        <v>33</v>
      </c>
      <c r="X58" s="131"/>
      <c r="Y58" s="131"/>
      <c r="Z58" s="131"/>
      <c r="AA58" s="135">
        <f t="shared" si="22"/>
        <v>366.86511115507477</v>
      </c>
      <c r="AB58" s="135">
        <f t="shared" si="14"/>
        <v>366865111.15507478</v>
      </c>
      <c r="AC58" s="135">
        <f t="shared" si="23"/>
        <v>53.20410184211336</v>
      </c>
      <c r="AD58" s="135">
        <f t="shared" si="15"/>
        <v>53204101.842113361</v>
      </c>
      <c r="AE58" s="137">
        <f t="shared" si="6"/>
        <v>420.06921299718812</v>
      </c>
      <c r="AF58" s="135">
        <f t="shared" si="26"/>
        <v>419999999.99718809</v>
      </c>
      <c r="AG58" s="187"/>
    </row>
    <row r="59" spans="2:33">
      <c r="B59" s="88">
        <f t="shared" si="7"/>
        <v>48743</v>
      </c>
      <c r="C59" s="120">
        <f t="shared" si="8"/>
        <v>46</v>
      </c>
      <c r="D59" s="123">
        <f t="shared" si="18"/>
        <v>369.9834645998929</v>
      </c>
      <c r="E59" s="123">
        <f t="shared" si="9"/>
        <v>369983464.59989291</v>
      </c>
      <c r="F59" s="123">
        <f t="shared" si="19"/>
        <v>50.085748397295227</v>
      </c>
      <c r="G59" s="123">
        <f t="shared" si="10"/>
        <v>50085748.397295229</v>
      </c>
      <c r="H59" s="123">
        <f t="shared" si="1"/>
        <v>420.06921299718812</v>
      </c>
      <c r="I59" s="123">
        <f t="shared" si="24"/>
        <v>419999999.99718809</v>
      </c>
      <c r="J59" s="187"/>
      <c r="L59" s="81">
        <f t="shared" si="27"/>
        <v>34</v>
      </c>
      <c r="X59" s="131"/>
      <c r="Y59" s="131"/>
      <c r="Z59" s="131"/>
      <c r="AA59" s="135">
        <f t="shared" si="22"/>
        <v>369.9834645998929</v>
      </c>
      <c r="AB59" s="135">
        <f t="shared" si="14"/>
        <v>369983464.59989291</v>
      </c>
      <c r="AC59" s="135">
        <f t="shared" si="23"/>
        <v>50.085748397295227</v>
      </c>
      <c r="AD59" s="135">
        <f t="shared" si="15"/>
        <v>50085748.397295229</v>
      </c>
      <c r="AE59" s="137">
        <f t="shared" si="6"/>
        <v>420.06921299718812</v>
      </c>
      <c r="AF59" s="135">
        <f t="shared" si="26"/>
        <v>419999999.99718809</v>
      </c>
      <c r="AG59" s="187"/>
    </row>
    <row r="60" spans="2:33">
      <c r="B60" s="88">
        <f t="shared" si="7"/>
        <v>48835</v>
      </c>
      <c r="C60" s="120">
        <f t="shared" si="8"/>
        <v>47</v>
      </c>
      <c r="D60" s="123">
        <f t="shared" si="18"/>
        <v>373.128324048992</v>
      </c>
      <c r="E60" s="123">
        <f t="shared" si="9"/>
        <v>373128324.04899198</v>
      </c>
      <c r="F60" s="123">
        <f t="shared" si="19"/>
        <v>46.940888948196132</v>
      </c>
      <c r="G60" s="123">
        <f t="shared" si="10"/>
        <v>46940888.948196135</v>
      </c>
      <c r="H60" s="123">
        <f t="shared" si="1"/>
        <v>420.06921299718812</v>
      </c>
      <c r="I60" s="123">
        <f t="shared" si="24"/>
        <v>419999999.99718809</v>
      </c>
      <c r="J60" s="187"/>
      <c r="L60" s="81">
        <f t="shared" si="27"/>
        <v>35</v>
      </c>
      <c r="X60" s="131"/>
      <c r="Y60" s="131"/>
      <c r="Z60" s="131"/>
      <c r="AA60" s="135">
        <f t="shared" si="22"/>
        <v>373.128324048992</v>
      </c>
      <c r="AB60" s="135">
        <f t="shared" si="14"/>
        <v>373128324.04899198</v>
      </c>
      <c r="AC60" s="135">
        <f t="shared" si="23"/>
        <v>46.940888948196132</v>
      </c>
      <c r="AD60" s="135">
        <f t="shared" si="15"/>
        <v>46940888.948196135</v>
      </c>
      <c r="AE60" s="137">
        <f t="shared" si="6"/>
        <v>420.06921299718812</v>
      </c>
      <c r="AF60" s="135">
        <f t="shared" si="26"/>
        <v>419999999.99718809</v>
      </c>
      <c r="AG60" s="187"/>
    </row>
    <row r="61" spans="2:33">
      <c r="B61" s="88">
        <f t="shared" si="7"/>
        <v>48926</v>
      </c>
      <c r="C61" s="120">
        <f t="shared" si="8"/>
        <v>48</v>
      </c>
      <c r="D61" s="123">
        <f t="shared" si="18"/>
        <v>376.29991480340846</v>
      </c>
      <c r="E61" s="123">
        <f t="shared" si="9"/>
        <v>376299914.80340844</v>
      </c>
      <c r="F61" s="123">
        <f t="shared" si="19"/>
        <v>43.769298193779704</v>
      </c>
      <c r="G61" s="123">
        <f t="shared" si="10"/>
        <v>43769298.193779707</v>
      </c>
      <c r="H61" s="123">
        <f t="shared" si="1"/>
        <v>420.06921299718817</v>
      </c>
      <c r="I61" s="123">
        <f t="shared" si="24"/>
        <v>419999999.99718815</v>
      </c>
      <c r="J61" s="187"/>
      <c r="L61" s="81">
        <f t="shared" si="27"/>
        <v>36</v>
      </c>
      <c r="X61" s="131"/>
      <c r="Y61" s="131"/>
      <c r="Z61" s="131"/>
      <c r="AA61" s="135">
        <f>-PPMT($J$8,$L61,$J$6,$D$4,0,0)+AE64</f>
        <v>5149.3291992681998</v>
      </c>
      <c r="AB61" s="135">
        <f t="shared" si="14"/>
        <v>5149329199.2681999</v>
      </c>
      <c r="AC61" s="135">
        <f>-IPMT($J$8,$L61,$J$6,$D$4,0,0)+AE65</f>
        <v>91.49959103842761</v>
      </c>
      <c r="AD61" s="135">
        <f t="shared" si="15"/>
        <v>91499591.038427606</v>
      </c>
      <c r="AE61" s="137">
        <f>(AA61+AC61)</f>
        <v>5240.8287903066275</v>
      </c>
      <c r="AF61" s="135">
        <f t="shared" ref="AF61" si="28">AE61*$M$4</f>
        <v>5240828790.3066273</v>
      </c>
    </row>
    <row r="62" spans="2:33">
      <c r="B62" s="88">
        <f t="shared" si="7"/>
        <v>49016</v>
      </c>
      <c r="C62" s="120">
        <f t="shared" si="8"/>
        <v>49</v>
      </c>
      <c r="D62" s="123">
        <f t="shared" si="18"/>
        <v>379.49846407923741</v>
      </c>
      <c r="E62" s="123">
        <f t="shared" si="9"/>
        <v>379498464.0792374</v>
      </c>
      <c r="F62" s="123">
        <f t="shared" si="19"/>
        <v>40.570748917950738</v>
      </c>
      <c r="G62" s="123">
        <f t="shared" si="10"/>
        <v>40570748.917950734</v>
      </c>
      <c r="H62" s="123">
        <f t="shared" si="1"/>
        <v>420.06921299718817</v>
      </c>
      <c r="I62" s="123">
        <f t="shared" si="24"/>
        <v>419999999.99718815</v>
      </c>
      <c r="J62" s="187"/>
      <c r="L62" s="81">
        <f t="shared" si="27"/>
        <v>37</v>
      </c>
      <c r="X62" s="131"/>
      <c r="Y62" s="131"/>
      <c r="Z62" s="131" t="s">
        <v>95</v>
      </c>
      <c r="AA62" s="135">
        <f>SUM(AA13:AA61)</f>
        <v>16500</v>
      </c>
      <c r="AB62" s="135">
        <f t="shared" si="14"/>
        <v>16500000000</v>
      </c>
      <c r="AC62" s="131"/>
      <c r="AD62" s="131"/>
      <c r="AE62" s="131"/>
      <c r="AF62" s="131"/>
    </row>
    <row r="63" spans="2:33">
      <c r="B63" s="88">
        <f t="shared" si="7"/>
        <v>49108</v>
      </c>
      <c r="C63" s="120">
        <f t="shared" si="8"/>
        <v>50</v>
      </c>
      <c r="D63" s="123">
        <f t="shared" si="18"/>
        <v>382.72420102391095</v>
      </c>
      <c r="E63" s="123">
        <f t="shared" si="9"/>
        <v>382724201.02391094</v>
      </c>
      <c r="F63" s="123">
        <f t="shared" si="19"/>
        <v>37.345011973277209</v>
      </c>
      <c r="G63" s="123">
        <f t="shared" si="10"/>
        <v>37345011.973277211</v>
      </c>
      <c r="H63" s="123">
        <f t="shared" si="1"/>
        <v>420.06921299718817</v>
      </c>
      <c r="I63" s="123">
        <f t="shared" si="24"/>
        <v>419999999.99718815</v>
      </c>
      <c r="J63" s="187"/>
      <c r="L63" s="81">
        <f t="shared" si="27"/>
        <v>38</v>
      </c>
      <c r="X63" s="131"/>
      <c r="Y63" s="131"/>
      <c r="Z63" s="131"/>
      <c r="AA63" s="131"/>
      <c r="AB63" s="135"/>
      <c r="AC63" s="131"/>
      <c r="AD63" s="131"/>
      <c r="AE63" s="131"/>
      <c r="AF63" s="131"/>
    </row>
    <row r="64" spans="2:33">
      <c r="B64" s="88">
        <f t="shared" si="7"/>
        <v>49200</v>
      </c>
      <c r="C64" s="120">
        <f t="shared" si="8"/>
        <v>51</v>
      </c>
      <c r="D64" s="123">
        <f t="shared" si="18"/>
        <v>385.97735673261417</v>
      </c>
      <c r="E64" s="123">
        <f t="shared" si="9"/>
        <v>385977356.73261416</v>
      </c>
      <c r="F64" s="123">
        <f t="shared" si="19"/>
        <v>34.09185626457397</v>
      </c>
      <c r="G64" s="123">
        <f t="shared" si="10"/>
        <v>34091856.264573969</v>
      </c>
      <c r="H64" s="123">
        <f t="shared" si="1"/>
        <v>420.06921299718812</v>
      </c>
      <c r="I64" s="123">
        <f t="shared" si="24"/>
        <v>419999999.99718809</v>
      </c>
      <c r="J64" s="187"/>
      <c r="L64" s="81">
        <f t="shared" si="27"/>
        <v>39</v>
      </c>
      <c r="X64" s="131"/>
      <c r="Y64" s="131"/>
      <c r="Z64" s="131"/>
      <c r="AA64" s="131"/>
      <c r="AB64" s="131"/>
      <c r="AC64" s="136" t="s">
        <v>94</v>
      </c>
      <c r="AD64" s="136"/>
      <c r="AE64" s="135">
        <f>SUM(D62:D73)</f>
        <v>4773.0292844647911</v>
      </c>
      <c r="AF64" s="135"/>
    </row>
    <row r="65" spans="2:32">
      <c r="B65" s="88">
        <f t="shared" si="7"/>
        <v>49291</v>
      </c>
      <c r="C65" s="120">
        <f t="shared" si="8"/>
        <v>52</v>
      </c>
      <c r="D65" s="123">
        <f t="shared" si="18"/>
        <v>389.25816426484141</v>
      </c>
      <c r="E65" s="123">
        <f t="shared" si="9"/>
        <v>389258164.26484144</v>
      </c>
      <c r="F65" s="123">
        <f t="shared" si="19"/>
        <v>30.811048732346752</v>
      </c>
      <c r="G65" s="123">
        <f t="shared" si="10"/>
        <v>30811048.732346751</v>
      </c>
      <c r="H65" s="123">
        <f t="shared" si="1"/>
        <v>420.06921299718817</v>
      </c>
      <c r="I65" s="123">
        <f t="shared" si="24"/>
        <v>419999999.99718815</v>
      </c>
      <c r="J65" s="187"/>
      <c r="L65" s="81">
        <f t="shared" si="27"/>
        <v>40</v>
      </c>
      <c r="X65" s="131"/>
      <c r="Y65" s="131"/>
      <c r="Z65" s="131"/>
      <c r="AA65" s="131"/>
      <c r="AB65" s="131"/>
      <c r="AC65" s="131" t="s">
        <v>88</v>
      </c>
      <c r="AD65" s="131"/>
      <c r="AE65" s="137">
        <f>AE64*0.01</f>
        <v>47.730292844647913</v>
      </c>
      <c r="AF65" s="137"/>
    </row>
    <row r="66" spans="2:32">
      <c r="B66" s="88">
        <f t="shared" si="7"/>
        <v>49381</v>
      </c>
      <c r="C66" s="120">
        <f t="shared" si="8"/>
        <v>53</v>
      </c>
      <c r="D66" s="123">
        <f t="shared" si="18"/>
        <v>392.56685866109251</v>
      </c>
      <c r="E66" s="123">
        <f t="shared" si="9"/>
        <v>392566858.66109252</v>
      </c>
      <c r="F66" s="123">
        <f t="shared" si="19"/>
        <v>27.502354336095596</v>
      </c>
      <c r="G66" s="123">
        <f t="shared" si="10"/>
        <v>27502354.336095598</v>
      </c>
      <c r="H66" s="123">
        <f t="shared" si="1"/>
        <v>420.06921299718812</v>
      </c>
      <c r="I66" s="123">
        <f t="shared" si="24"/>
        <v>419999999.99718809</v>
      </c>
      <c r="J66" s="187"/>
      <c r="L66" s="81">
        <f t="shared" si="27"/>
        <v>41</v>
      </c>
    </row>
    <row r="67" spans="2:32">
      <c r="B67" s="88">
        <f t="shared" si="7"/>
        <v>49473</v>
      </c>
      <c r="C67" s="120">
        <f t="shared" si="8"/>
        <v>54</v>
      </c>
      <c r="D67" s="123">
        <f t="shared" si="18"/>
        <v>395.90367695971179</v>
      </c>
      <c r="E67" s="123">
        <f t="shared" si="9"/>
        <v>395903676.95971179</v>
      </c>
      <c r="F67" s="123">
        <f t="shared" si="19"/>
        <v>24.165536037476308</v>
      </c>
      <c r="G67" s="123">
        <f t="shared" si="10"/>
        <v>24165536.037476309</v>
      </c>
      <c r="H67" s="123">
        <f t="shared" si="1"/>
        <v>420.06921299718812</v>
      </c>
      <c r="I67" s="123">
        <f t="shared" si="24"/>
        <v>419999999.99718809</v>
      </c>
      <c r="J67" s="187"/>
      <c r="L67" s="81">
        <f t="shared" si="27"/>
        <v>42</v>
      </c>
    </row>
    <row r="68" spans="2:32">
      <c r="B68" s="88">
        <f t="shared" si="7"/>
        <v>49565</v>
      </c>
      <c r="C68" s="120">
        <f t="shared" si="8"/>
        <v>55</v>
      </c>
      <c r="D68" s="123">
        <f t="shared" si="18"/>
        <v>399.26885821386935</v>
      </c>
      <c r="E68" s="123">
        <f t="shared" si="9"/>
        <v>399268858.21386933</v>
      </c>
      <c r="F68" s="123">
        <f t="shared" si="19"/>
        <v>20.80035478331876</v>
      </c>
      <c r="G68" s="123">
        <f t="shared" si="10"/>
        <v>20800354.783318758</v>
      </c>
      <c r="H68" s="123">
        <f t="shared" si="1"/>
        <v>420.06921299718812</v>
      </c>
      <c r="I68" s="123">
        <f t="shared" si="24"/>
        <v>419999999.99718809</v>
      </c>
      <c r="J68" s="187"/>
      <c r="L68" s="81">
        <f t="shared" si="27"/>
        <v>43</v>
      </c>
    </row>
    <row r="69" spans="2:32">
      <c r="B69" s="88">
        <f t="shared" si="7"/>
        <v>49656</v>
      </c>
      <c r="C69" s="120">
        <f t="shared" si="8"/>
        <v>56</v>
      </c>
      <c r="D69" s="123">
        <f t="shared" si="18"/>
        <v>402.66264350868727</v>
      </c>
      <c r="E69" s="123">
        <f t="shared" si="9"/>
        <v>402662643.50868726</v>
      </c>
      <c r="F69" s="123">
        <f t="shared" si="19"/>
        <v>17.406569488500871</v>
      </c>
      <c r="G69" s="123">
        <f t="shared" si="10"/>
        <v>17406569.488500871</v>
      </c>
      <c r="H69" s="123">
        <f t="shared" si="1"/>
        <v>420.06921299718812</v>
      </c>
      <c r="I69" s="123">
        <f t="shared" si="24"/>
        <v>419999999.99718809</v>
      </c>
      <c r="J69" s="187"/>
      <c r="L69" s="81">
        <f t="shared" si="27"/>
        <v>44</v>
      </c>
    </row>
    <row r="70" spans="2:32">
      <c r="B70" s="88">
        <f t="shared" si="7"/>
        <v>49747</v>
      </c>
      <c r="C70" s="120">
        <f t="shared" si="8"/>
        <v>57</v>
      </c>
      <c r="D70" s="123">
        <f t="shared" si="18"/>
        <v>406.08527597851105</v>
      </c>
      <c r="E70" s="123">
        <f t="shared" si="9"/>
        <v>406085275.97851104</v>
      </c>
      <c r="F70" s="123">
        <f t="shared" si="19"/>
        <v>13.983937018677027</v>
      </c>
      <c r="G70" s="123">
        <f t="shared" si="10"/>
        <v>13983937.018677028</v>
      </c>
      <c r="H70" s="123">
        <f t="shared" si="1"/>
        <v>420.06921299718806</v>
      </c>
      <c r="I70" s="123">
        <f t="shared" si="24"/>
        <v>419999999.99718803</v>
      </c>
      <c r="J70" s="187"/>
      <c r="L70" s="81">
        <f t="shared" si="27"/>
        <v>45</v>
      </c>
    </row>
    <row r="71" spans="2:32">
      <c r="B71" s="88">
        <f t="shared" si="7"/>
        <v>49839</v>
      </c>
      <c r="C71" s="120">
        <f t="shared" si="8"/>
        <v>58</v>
      </c>
      <c r="D71" s="123">
        <f t="shared" si="18"/>
        <v>409.5370008243284</v>
      </c>
      <c r="E71" s="123">
        <f t="shared" si="9"/>
        <v>409537000.82432842</v>
      </c>
      <c r="F71" s="123">
        <f t="shared" si="19"/>
        <v>10.532212172859682</v>
      </c>
      <c r="G71" s="123">
        <f t="shared" si="10"/>
        <v>10532212.172859682</v>
      </c>
      <c r="H71" s="123">
        <f t="shared" si="1"/>
        <v>420.06921299718806</v>
      </c>
      <c r="I71" s="123">
        <f t="shared" si="24"/>
        <v>419999999.99718803</v>
      </c>
      <c r="J71" s="187"/>
      <c r="L71" s="81">
        <f t="shared" si="27"/>
        <v>46</v>
      </c>
    </row>
    <row r="72" spans="2:32">
      <c r="B72" s="88">
        <f t="shared" si="7"/>
        <v>49931</v>
      </c>
      <c r="C72" s="120">
        <f t="shared" si="8"/>
        <v>59</v>
      </c>
      <c r="D72" s="123">
        <f t="shared" si="18"/>
        <v>413.01806533133527</v>
      </c>
      <c r="E72" s="123">
        <f t="shared" si="9"/>
        <v>413018065.33133525</v>
      </c>
      <c r="F72" s="123">
        <f t="shared" si="19"/>
        <v>7.0511476658528895</v>
      </c>
      <c r="G72" s="123">
        <f t="shared" si="10"/>
        <v>7051147.6658528894</v>
      </c>
      <c r="H72" s="123">
        <f t="shared" si="1"/>
        <v>420.06921299718817</v>
      </c>
      <c r="I72" s="123">
        <f t="shared" si="24"/>
        <v>419999999.99718815</v>
      </c>
      <c r="J72" s="187"/>
      <c r="L72" s="81">
        <f t="shared" si="27"/>
        <v>47</v>
      </c>
    </row>
    <row r="73" spans="2:32">
      <c r="B73" s="88">
        <f t="shared" si="7"/>
        <v>50022</v>
      </c>
      <c r="C73" s="120">
        <f t="shared" si="8"/>
        <v>60</v>
      </c>
      <c r="D73" s="123">
        <f t="shared" si="18"/>
        <v>416.52871888665163</v>
      </c>
      <c r="E73" s="123">
        <f t="shared" si="9"/>
        <v>416528718.88665164</v>
      </c>
      <c r="F73" s="123">
        <f t="shared" si="19"/>
        <v>3.5404941105365393</v>
      </c>
      <c r="G73" s="123">
        <f t="shared" si="10"/>
        <v>3540494.1105365395</v>
      </c>
      <c r="H73" s="123">
        <f t="shared" si="1"/>
        <v>420.06921299718817</v>
      </c>
      <c r="I73" s="123">
        <f t="shared" si="24"/>
        <v>419999999.99718815</v>
      </c>
      <c r="J73" s="187"/>
      <c r="L73" s="81">
        <f t="shared" si="27"/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73"/>
  <sheetViews>
    <sheetView showGridLines="0" workbookViewId="0">
      <pane xSplit="2" ySplit="12" topLeftCell="C13" activePane="bottomRight" state="frozen"/>
      <selection pane="topRight" activeCell="D1" sqref="D1"/>
      <selection pane="bottomLeft" activeCell="A12" sqref="A12"/>
      <selection pane="bottomRight" activeCell="B14" sqref="B14"/>
    </sheetView>
  </sheetViews>
  <sheetFormatPr defaultColWidth="9" defaultRowHeight="15"/>
  <cols>
    <col min="1" max="1" width="2.625" style="81" customWidth="1"/>
    <col min="2" max="2" width="11.625" style="81" bestFit="1" customWidth="1"/>
    <col min="3" max="5" width="9.125" style="81" bestFit="1" customWidth="1"/>
    <col min="6" max="6" width="9.5" style="81" bestFit="1" customWidth="1"/>
    <col min="7" max="7" width="9.125" style="81" bestFit="1" customWidth="1"/>
    <col min="8" max="8" width="11.625" style="81" bestFit="1" customWidth="1"/>
    <col min="9" max="9" width="10.5" style="81" bestFit="1" customWidth="1"/>
    <col min="10" max="16384" width="9" style="81"/>
  </cols>
  <sheetData>
    <row r="4" spans="2:9">
      <c r="C4" s="81" t="s">
        <v>53</v>
      </c>
      <c r="D4" s="82">
        <v>17500</v>
      </c>
      <c r="E4" s="83" t="s">
        <v>54</v>
      </c>
    </row>
    <row r="5" spans="2:9">
      <c r="C5" s="81" t="s">
        <v>0</v>
      </c>
      <c r="D5" s="82">
        <v>0</v>
      </c>
      <c r="E5" s="83"/>
    </row>
    <row r="6" spans="2:9">
      <c r="C6" s="81" t="s">
        <v>55</v>
      </c>
      <c r="D6" s="82">
        <v>12</v>
      </c>
      <c r="E6" s="81" t="s">
        <v>56</v>
      </c>
      <c r="F6" s="81" t="s">
        <v>55</v>
      </c>
      <c r="G6" s="82">
        <v>48</v>
      </c>
      <c r="H6" s="81" t="s">
        <v>57</v>
      </c>
    </row>
    <row r="7" spans="2:9">
      <c r="C7" s="81" t="s">
        <v>58</v>
      </c>
      <c r="D7" s="82">
        <v>3</v>
      </c>
      <c r="E7" s="81" t="s">
        <v>56</v>
      </c>
      <c r="F7" s="81" t="s">
        <v>58</v>
      </c>
      <c r="G7" s="82">
        <v>12</v>
      </c>
      <c r="H7" s="81" t="s">
        <v>57</v>
      </c>
    </row>
    <row r="8" spans="2:9">
      <c r="C8" s="81" t="s">
        <v>59</v>
      </c>
      <c r="D8" s="84">
        <v>3.5999999999999997E-2</v>
      </c>
      <c r="E8" s="81" t="s">
        <v>60</v>
      </c>
      <c r="F8" s="81" t="s">
        <v>59</v>
      </c>
      <c r="G8" s="85">
        <f>D8/4</f>
        <v>8.9999999999999993E-3</v>
      </c>
      <c r="H8" s="81" t="s">
        <v>61</v>
      </c>
    </row>
    <row r="9" spans="2:9" ht="15.75" thickBot="1"/>
    <row r="10" spans="2:9" ht="15.75" thickBot="1">
      <c r="E10" s="92" t="s">
        <v>21</v>
      </c>
      <c r="F10" s="94">
        <f>XIRR(F13:F61,B13:B61)</f>
        <v>3.647193610668184E-2</v>
      </c>
      <c r="G10" s="93" t="s">
        <v>66</v>
      </c>
    </row>
    <row r="12" spans="2:9">
      <c r="C12" s="86" t="s">
        <v>62</v>
      </c>
      <c r="D12" s="87" t="s">
        <v>63</v>
      </c>
      <c r="E12" s="86" t="s">
        <v>64</v>
      </c>
      <c r="F12" s="86" t="s">
        <v>65</v>
      </c>
    </row>
    <row r="13" spans="2:9">
      <c r="B13" s="88">
        <v>44500</v>
      </c>
      <c r="C13" s="81">
        <v>0</v>
      </c>
      <c r="D13" s="89"/>
      <c r="E13" s="89"/>
      <c r="F13" s="89">
        <f>-D4</f>
        <v>-17500</v>
      </c>
      <c r="H13" s="90"/>
    </row>
    <row r="14" spans="2:9">
      <c r="B14" s="88">
        <v>44592</v>
      </c>
      <c r="C14" s="81">
        <v>1</v>
      </c>
      <c r="D14" s="89">
        <f t="shared" ref="D14:D61" si="0">-PPMT($G$8,$C14,$G$6,$D$4,0,0)</f>
        <v>293.09882138732718</v>
      </c>
      <c r="E14" s="89">
        <f t="shared" ref="E14:E61" si="1">-IPMT($G$8,$C14,$G$6,$D$4,0,0)</f>
        <v>157.5</v>
      </c>
      <c r="F14" s="89">
        <f t="shared" ref="F14:F61" si="2">D14+E14</f>
        <v>450.59882138732718</v>
      </c>
      <c r="H14" s="90"/>
      <c r="I14" s="90"/>
    </row>
    <row r="15" spans="2:9">
      <c r="B15" s="88">
        <v>44681</v>
      </c>
      <c r="C15" s="81">
        <f>C14+1</f>
        <v>2</v>
      </c>
      <c r="D15" s="89">
        <f t="shared" si="0"/>
        <v>295.73671077981317</v>
      </c>
      <c r="E15" s="89">
        <f t="shared" si="1"/>
        <v>154.86211060751404</v>
      </c>
      <c r="F15" s="89">
        <f t="shared" si="2"/>
        <v>450.59882138732723</v>
      </c>
      <c r="H15" s="91"/>
    </row>
    <row r="16" spans="2:9">
      <c r="B16" s="88">
        <v>44773</v>
      </c>
      <c r="C16" s="81">
        <f t="shared" ref="C16:C61" si="3">C15+1</f>
        <v>3</v>
      </c>
      <c r="D16" s="89">
        <f t="shared" si="0"/>
        <v>298.39834117683148</v>
      </c>
      <c r="E16" s="89">
        <f t="shared" si="1"/>
        <v>152.20048021049573</v>
      </c>
      <c r="F16" s="89">
        <f t="shared" si="2"/>
        <v>450.59882138732723</v>
      </c>
    </row>
    <row r="17" spans="2:6">
      <c r="B17" s="88">
        <v>44865</v>
      </c>
      <c r="C17" s="81">
        <f t="shared" si="3"/>
        <v>4</v>
      </c>
      <c r="D17" s="89">
        <f t="shared" si="0"/>
        <v>301.08392624742294</v>
      </c>
      <c r="E17" s="89">
        <f t="shared" si="1"/>
        <v>149.51489513990424</v>
      </c>
      <c r="F17" s="89">
        <f t="shared" si="2"/>
        <v>450.59882138732718</v>
      </c>
    </row>
    <row r="18" spans="2:6">
      <c r="B18" s="88">
        <v>44957</v>
      </c>
      <c r="C18" s="81">
        <f t="shared" si="3"/>
        <v>5</v>
      </c>
      <c r="D18" s="89">
        <f t="shared" si="0"/>
        <v>303.7936815836498</v>
      </c>
      <c r="E18" s="89">
        <f t="shared" si="1"/>
        <v>146.80513980367743</v>
      </c>
      <c r="F18" s="89">
        <f t="shared" si="2"/>
        <v>450.59882138732723</v>
      </c>
    </row>
    <row r="19" spans="2:6">
      <c r="B19" s="88">
        <v>45046</v>
      </c>
      <c r="C19" s="81">
        <f t="shared" si="3"/>
        <v>6</v>
      </c>
      <c r="D19" s="89">
        <f t="shared" si="0"/>
        <v>306.52782471790266</v>
      </c>
      <c r="E19" s="89">
        <f t="shared" si="1"/>
        <v>144.07099666942457</v>
      </c>
      <c r="F19" s="89">
        <f t="shared" si="2"/>
        <v>450.59882138732723</v>
      </c>
    </row>
    <row r="20" spans="2:6">
      <c r="B20" s="88">
        <v>45138</v>
      </c>
      <c r="C20" s="81">
        <f t="shared" si="3"/>
        <v>7</v>
      </c>
      <c r="D20" s="89">
        <f t="shared" si="0"/>
        <v>309.28657514036377</v>
      </c>
      <c r="E20" s="89">
        <f t="shared" si="1"/>
        <v>141.31224624696347</v>
      </c>
      <c r="F20" s="89">
        <f t="shared" si="2"/>
        <v>450.59882138732723</v>
      </c>
    </row>
    <row r="21" spans="2:6">
      <c r="B21" s="88">
        <v>45230</v>
      </c>
      <c r="C21" s="81">
        <f t="shared" si="3"/>
        <v>8</v>
      </c>
      <c r="D21" s="89">
        <f t="shared" si="0"/>
        <v>312.07015431662705</v>
      </c>
      <c r="E21" s="89">
        <f t="shared" si="1"/>
        <v>138.52866707070021</v>
      </c>
      <c r="F21" s="89">
        <f t="shared" si="2"/>
        <v>450.59882138732723</v>
      </c>
    </row>
    <row r="22" spans="2:6">
      <c r="B22" s="88">
        <v>45322</v>
      </c>
      <c r="C22" s="81">
        <f t="shared" si="3"/>
        <v>9</v>
      </c>
      <c r="D22" s="89">
        <f t="shared" si="0"/>
        <v>314.87878570547667</v>
      </c>
      <c r="E22" s="89">
        <f t="shared" si="1"/>
        <v>135.72003568185056</v>
      </c>
      <c r="F22" s="89">
        <f t="shared" si="2"/>
        <v>450.59882138732723</v>
      </c>
    </row>
    <row r="23" spans="2:6">
      <c r="B23" s="88">
        <v>45412</v>
      </c>
      <c r="C23" s="81">
        <f t="shared" si="3"/>
        <v>10</v>
      </c>
      <c r="D23" s="89">
        <f t="shared" si="0"/>
        <v>317.71269477682597</v>
      </c>
      <c r="E23" s="89">
        <f t="shared" si="1"/>
        <v>132.88612661050126</v>
      </c>
      <c r="F23" s="89">
        <f t="shared" si="2"/>
        <v>450.59882138732723</v>
      </c>
    </row>
    <row r="24" spans="2:6">
      <c r="B24" s="88">
        <v>45504</v>
      </c>
      <c r="C24" s="81">
        <f t="shared" si="3"/>
        <v>11</v>
      </c>
      <c r="D24" s="89">
        <f t="shared" si="0"/>
        <v>320.5721090298174</v>
      </c>
      <c r="E24" s="89">
        <f t="shared" si="1"/>
        <v>130.02671235750981</v>
      </c>
      <c r="F24" s="89">
        <f t="shared" si="2"/>
        <v>450.59882138732723</v>
      </c>
    </row>
    <row r="25" spans="2:6">
      <c r="B25" s="88">
        <v>45596</v>
      </c>
      <c r="C25" s="81">
        <f t="shared" si="3"/>
        <v>12</v>
      </c>
      <c r="D25" s="89">
        <f t="shared" si="0"/>
        <v>323.45725801108574</v>
      </c>
      <c r="E25" s="89">
        <f t="shared" si="1"/>
        <v>127.14156337624146</v>
      </c>
      <c r="F25" s="89">
        <f t="shared" si="2"/>
        <v>450.59882138732723</v>
      </c>
    </row>
    <row r="26" spans="2:6">
      <c r="B26" s="88">
        <v>45688</v>
      </c>
      <c r="C26" s="81">
        <f t="shared" si="3"/>
        <v>13</v>
      </c>
      <c r="D26" s="89">
        <f t="shared" si="0"/>
        <v>326.36837333318556</v>
      </c>
      <c r="E26" s="89">
        <f t="shared" si="1"/>
        <v>124.2304480541417</v>
      </c>
      <c r="F26" s="89">
        <f t="shared" si="2"/>
        <v>450.59882138732723</v>
      </c>
    </row>
    <row r="27" spans="2:6">
      <c r="B27" s="88">
        <v>45777</v>
      </c>
      <c r="C27" s="81">
        <f t="shared" si="3"/>
        <v>14</v>
      </c>
      <c r="D27" s="89">
        <f t="shared" si="0"/>
        <v>329.30568869318415</v>
      </c>
      <c r="E27" s="89">
        <f t="shared" si="1"/>
        <v>121.29313269414304</v>
      </c>
      <c r="F27" s="89">
        <f t="shared" si="2"/>
        <v>450.59882138732718</v>
      </c>
    </row>
    <row r="28" spans="2:6">
      <c r="B28" s="88">
        <v>45869</v>
      </c>
      <c r="C28" s="81">
        <f t="shared" si="3"/>
        <v>15</v>
      </c>
      <c r="D28" s="89">
        <f t="shared" si="0"/>
        <v>332.26943989142285</v>
      </c>
      <c r="E28" s="89">
        <f t="shared" si="1"/>
        <v>118.32938149590436</v>
      </c>
      <c r="F28" s="89">
        <f t="shared" si="2"/>
        <v>450.59882138732723</v>
      </c>
    </row>
    <row r="29" spans="2:6">
      <c r="B29" s="88">
        <v>45961</v>
      </c>
      <c r="C29" s="81">
        <f t="shared" si="3"/>
        <v>16</v>
      </c>
      <c r="D29" s="89">
        <f t="shared" si="0"/>
        <v>335.25986485044564</v>
      </c>
      <c r="E29" s="89">
        <f t="shared" si="1"/>
        <v>115.33895653688157</v>
      </c>
      <c r="F29" s="89">
        <f t="shared" si="2"/>
        <v>450.59882138732723</v>
      </c>
    </row>
    <row r="30" spans="2:6">
      <c r="B30" s="88">
        <v>46053</v>
      </c>
      <c r="C30" s="81">
        <f t="shared" si="3"/>
        <v>17</v>
      </c>
      <c r="D30" s="89">
        <f t="shared" si="0"/>
        <v>338.27720363409964</v>
      </c>
      <c r="E30" s="89">
        <f t="shared" si="1"/>
        <v>112.32161775322756</v>
      </c>
      <c r="F30" s="89">
        <f t="shared" si="2"/>
        <v>450.59882138732718</v>
      </c>
    </row>
    <row r="31" spans="2:6">
      <c r="B31" s="88">
        <v>46142</v>
      </c>
      <c r="C31" s="81">
        <f t="shared" si="3"/>
        <v>18</v>
      </c>
      <c r="D31" s="89">
        <f t="shared" si="0"/>
        <v>341.32169846680659</v>
      </c>
      <c r="E31" s="89">
        <f t="shared" si="1"/>
        <v>109.27712292052067</v>
      </c>
      <c r="F31" s="89">
        <f t="shared" si="2"/>
        <v>450.59882138732723</v>
      </c>
    </row>
    <row r="32" spans="2:6">
      <c r="B32" s="88">
        <v>46234</v>
      </c>
      <c r="C32" s="81">
        <f t="shared" si="3"/>
        <v>19</v>
      </c>
      <c r="D32" s="89">
        <f t="shared" si="0"/>
        <v>344.39359375300779</v>
      </c>
      <c r="E32" s="89">
        <f t="shared" si="1"/>
        <v>106.20522763431939</v>
      </c>
      <c r="F32" s="89">
        <f t="shared" si="2"/>
        <v>450.59882138732718</v>
      </c>
    </row>
    <row r="33" spans="2:6">
      <c r="B33" s="88">
        <v>46326</v>
      </c>
      <c r="C33" s="81">
        <f t="shared" si="3"/>
        <v>20</v>
      </c>
      <c r="D33" s="89">
        <f t="shared" si="0"/>
        <v>347.49313609678489</v>
      </c>
      <c r="E33" s="89">
        <f t="shared" si="1"/>
        <v>103.10568529054231</v>
      </c>
      <c r="F33" s="89">
        <f t="shared" si="2"/>
        <v>450.59882138732723</v>
      </c>
    </row>
    <row r="34" spans="2:6">
      <c r="B34" s="88">
        <v>46418</v>
      </c>
      <c r="C34" s="81">
        <f t="shared" si="3"/>
        <v>21</v>
      </c>
      <c r="D34" s="89">
        <f t="shared" si="0"/>
        <v>350.62057432165597</v>
      </c>
      <c r="E34" s="89">
        <f t="shared" si="1"/>
        <v>99.978247065671283</v>
      </c>
      <c r="F34" s="89">
        <f t="shared" si="2"/>
        <v>450.59882138732723</v>
      </c>
    </row>
    <row r="35" spans="2:6">
      <c r="B35" s="88">
        <v>46507</v>
      </c>
      <c r="C35" s="81">
        <f t="shared" si="3"/>
        <v>22</v>
      </c>
      <c r="D35" s="89">
        <f t="shared" si="0"/>
        <v>353.77615949055087</v>
      </c>
      <c r="E35" s="89">
        <f t="shared" si="1"/>
        <v>96.822661896776353</v>
      </c>
      <c r="F35" s="89">
        <f t="shared" si="2"/>
        <v>450.59882138732723</v>
      </c>
    </row>
    <row r="36" spans="2:6">
      <c r="B36" s="88">
        <v>46599</v>
      </c>
      <c r="C36" s="81">
        <f t="shared" si="3"/>
        <v>23</v>
      </c>
      <c r="D36" s="89">
        <f t="shared" si="0"/>
        <v>356.96014492596584</v>
      </c>
      <c r="E36" s="89">
        <f t="shared" si="1"/>
        <v>93.638676461361413</v>
      </c>
      <c r="F36" s="89">
        <f t="shared" si="2"/>
        <v>450.59882138732723</v>
      </c>
    </row>
    <row r="37" spans="2:6">
      <c r="B37" s="88">
        <v>46691</v>
      </c>
      <c r="C37" s="81">
        <f t="shared" si="3"/>
        <v>24</v>
      </c>
      <c r="D37" s="89">
        <f t="shared" si="0"/>
        <v>360.17278623029949</v>
      </c>
      <c r="E37" s="89">
        <f t="shared" si="1"/>
        <v>90.426035157027698</v>
      </c>
      <c r="F37" s="89">
        <f t="shared" si="2"/>
        <v>450.59882138732718</v>
      </c>
    </row>
    <row r="38" spans="2:6">
      <c r="B38" s="88">
        <v>46783</v>
      </c>
      <c r="C38" s="81">
        <f t="shared" si="3"/>
        <v>25</v>
      </c>
      <c r="D38" s="89">
        <f t="shared" si="0"/>
        <v>363.41434130637225</v>
      </c>
      <c r="E38" s="89">
        <f t="shared" si="1"/>
        <v>87.184480080955041</v>
      </c>
      <c r="F38" s="89">
        <f t="shared" si="2"/>
        <v>450.59882138732729</v>
      </c>
    </row>
    <row r="39" spans="2:6">
      <c r="B39" s="88">
        <v>46873</v>
      </c>
      <c r="C39" s="81">
        <f t="shared" si="3"/>
        <v>26</v>
      </c>
      <c r="D39" s="89">
        <f t="shared" si="0"/>
        <v>366.68507037812952</v>
      </c>
      <c r="E39" s="89">
        <f t="shared" si="1"/>
        <v>83.913751009197668</v>
      </c>
      <c r="F39" s="89">
        <f t="shared" si="2"/>
        <v>450.59882138732718</v>
      </c>
    </row>
    <row r="40" spans="2:6">
      <c r="B40" s="88">
        <v>46965</v>
      </c>
      <c r="C40" s="81">
        <f t="shared" si="3"/>
        <v>27</v>
      </c>
      <c r="D40" s="89">
        <f t="shared" si="0"/>
        <v>369.98523601153272</v>
      </c>
      <c r="E40" s="89">
        <f t="shared" si="1"/>
        <v>80.613585375794486</v>
      </c>
      <c r="F40" s="89">
        <f t="shared" si="2"/>
        <v>450.59882138732723</v>
      </c>
    </row>
    <row r="41" spans="2:6">
      <c r="B41" s="88">
        <v>47057</v>
      </c>
      <c r="C41" s="81">
        <f t="shared" si="3"/>
        <v>28</v>
      </c>
      <c r="D41" s="89">
        <f t="shared" si="0"/>
        <v>373.31510313563649</v>
      </c>
      <c r="E41" s="89">
        <f t="shared" si="1"/>
        <v>77.283718251690701</v>
      </c>
      <c r="F41" s="89">
        <f t="shared" si="2"/>
        <v>450.59882138732718</v>
      </c>
    </row>
    <row r="42" spans="2:6">
      <c r="B42" s="88">
        <v>47149</v>
      </c>
      <c r="C42" s="81">
        <f t="shared" si="3"/>
        <v>29</v>
      </c>
      <c r="D42" s="89">
        <f t="shared" si="0"/>
        <v>376.67493906385727</v>
      </c>
      <c r="E42" s="89">
        <f t="shared" si="1"/>
        <v>73.923882323469982</v>
      </c>
      <c r="F42" s="89">
        <f t="shared" si="2"/>
        <v>450.59882138732723</v>
      </c>
    </row>
    <row r="43" spans="2:6">
      <c r="B43" s="88">
        <v>47238</v>
      </c>
      <c r="C43" s="81">
        <f t="shared" si="3"/>
        <v>30</v>
      </c>
      <c r="D43" s="89">
        <f t="shared" si="0"/>
        <v>380.06501351543199</v>
      </c>
      <c r="E43" s="89">
        <f t="shared" si="1"/>
        <v>70.533807871895263</v>
      </c>
      <c r="F43" s="89">
        <f t="shared" si="2"/>
        <v>450.59882138732723</v>
      </c>
    </row>
    <row r="44" spans="2:6">
      <c r="B44" s="88">
        <v>47330</v>
      </c>
      <c r="C44" s="81">
        <f t="shared" si="3"/>
        <v>31</v>
      </c>
      <c r="D44" s="89">
        <f t="shared" si="0"/>
        <v>383.48559863707084</v>
      </c>
      <c r="E44" s="89">
        <f t="shared" si="1"/>
        <v>67.113222750256369</v>
      </c>
      <c r="F44" s="89">
        <f t="shared" si="2"/>
        <v>450.59882138732723</v>
      </c>
    </row>
    <row r="45" spans="2:6">
      <c r="B45" s="88">
        <v>47422</v>
      </c>
      <c r="C45" s="81">
        <f t="shared" si="3"/>
        <v>32</v>
      </c>
      <c r="D45" s="89">
        <f t="shared" si="0"/>
        <v>386.93696902480451</v>
      </c>
      <c r="E45" s="89">
        <f t="shared" si="1"/>
        <v>63.661852362522737</v>
      </c>
      <c r="F45" s="89">
        <f t="shared" si="2"/>
        <v>450.59882138732723</v>
      </c>
    </row>
    <row r="46" spans="2:6">
      <c r="B46" s="88">
        <v>47514</v>
      </c>
      <c r="C46" s="81">
        <f t="shared" si="3"/>
        <v>33</v>
      </c>
      <c r="D46" s="89">
        <f t="shared" si="0"/>
        <v>390.41940174602775</v>
      </c>
      <c r="E46" s="89">
        <f t="shared" si="1"/>
        <v>60.179419641299496</v>
      </c>
      <c r="F46" s="89">
        <f t="shared" si="2"/>
        <v>450.59882138732723</v>
      </c>
    </row>
    <row r="47" spans="2:6">
      <c r="B47" s="88">
        <v>47603</v>
      </c>
      <c r="C47" s="81">
        <f t="shared" si="3"/>
        <v>34</v>
      </c>
      <c r="D47" s="89">
        <f t="shared" si="0"/>
        <v>393.93317636174197</v>
      </c>
      <c r="E47" s="89">
        <f t="shared" si="1"/>
        <v>56.665645025585249</v>
      </c>
      <c r="F47" s="89">
        <f t="shared" si="2"/>
        <v>450.59882138732723</v>
      </c>
    </row>
    <row r="48" spans="2:6">
      <c r="B48" s="88">
        <v>47695</v>
      </c>
      <c r="C48" s="81">
        <f t="shared" si="3"/>
        <v>35</v>
      </c>
      <c r="D48" s="89">
        <f t="shared" si="0"/>
        <v>397.47857494899762</v>
      </c>
      <c r="E48" s="89">
        <f t="shared" si="1"/>
        <v>53.12024643832958</v>
      </c>
      <c r="F48" s="89">
        <f t="shared" si="2"/>
        <v>450.59882138732718</v>
      </c>
    </row>
    <row r="49" spans="2:6">
      <c r="B49" s="88">
        <v>47787</v>
      </c>
      <c r="C49" s="81">
        <f t="shared" si="3"/>
        <v>36</v>
      </c>
      <c r="D49" s="89">
        <f t="shared" si="0"/>
        <v>401.05588212353865</v>
      </c>
      <c r="E49" s="89">
        <f t="shared" si="1"/>
        <v>49.54293926378859</v>
      </c>
      <c r="F49" s="89">
        <f t="shared" si="2"/>
        <v>450.59882138732723</v>
      </c>
    </row>
    <row r="50" spans="2:6">
      <c r="B50" s="88">
        <v>47879</v>
      </c>
      <c r="C50" s="81">
        <f t="shared" si="3"/>
        <v>37</v>
      </c>
      <c r="D50" s="89">
        <f t="shared" si="0"/>
        <v>404.6653850626505</v>
      </c>
      <c r="E50" s="89">
        <f t="shared" si="1"/>
        <v>45.933436324676755</v>
      </c>
      <c r="F50" s="89">
        <f t="shared" si="2"/>
        <v>450.59882138732723</v>
      </c>
    </row>
    <row r="51" spans="2:6">
      <c r="B51" s="88">
        <v>47968</v>
      </c>
      <c r="C51" s="81">
        <f t="shared" si="3"/>
        <v>38</v>
      </c>
      <c r="D51" s="89">
        <f t="shared" si="0"/>
        <v>408.30737352821438</v>
      </c>
      <c r="E51" s="89">
        <f t="shared" si="1"/>
        <v>42.291447859112893</v>
      </c>
      <c r="F51" s="89">
        <f t="shared" si="2"/>
        <v>450.59882138732729</v>
      </c>
    </row>
    <row r="52" spans="2:6">
      <c r="B52" s="88">
        <v>48060</v>
      </c>
      <c r="C52" s="81">
        <f t="shared" si="3"/>
        <v>39</v>
      </c>
      <c r="D52" s="89">
        <f t="shared" si="0"/>
        <v>411.98213988996827</v>
      </c>
      <c r="E52" s="89">
        <f t="shared" si="1"/>
        <v>38.616681497358961</v>
      </c>
      <c r="F52" s="89">
        <f t="shared" si="2"/>
        <v>450.59882138732723</v>
      </c>
    </row>
    <row r="53" spans="2:6">
      <c r="B53" s="88">
        <v>48152</v>
      </c>
      <c r="C53" s="81">
        <f t="shared" si="3"/>
        <v>40</v>
      </c>
      <c r="D53" s="89">
        <f t="shared" si="0"/>
        <v>415.68997914897795</v>
      </c>
      <c r="E53" s="89">
        <f t="shared" si="1"/>
        <v>34.908842238349244</v>
      </c>
      <c r="F53" s="89">
        <f t="shared" si="2"/>
        <v>450.59882138732718</v>
      </c>
    </row>
    <row r="54" spans="2:6">
      <c r="B54" s="88">
        <v>48244</v>
      </c>
      <c r="C54" s="81">
        <f t="shared" si="3"/>
        <v>41</v>
      </c>
      <c r="D54" s="89">
        <f t="shared" si="0"/>
        <v>419.43118896131875</v>
      </c>
      <c r="E54" s="89">
        <f t="shared" si="1"/>
        <v>31.167632426008449</v>
      </c>
      <c r="F54" s="89">
        <f t="shared" si="2"/>
        <v>450.59882138732718</v>
      </c>
    </row>
    <row r="55" spans="2:6">
      <c r="B55" s="88">
        <v>48334</v>
      </c>
      <c r="C55" s="81">
        <f t="shared" si="3"/>
        <v>42</v>
      </c>
      <c r="D55" s="89">
        <f t="shared" si="0"/>
        <v>423.20606966197067</v>
      </c>
      <c r="E55" s="89">
        <f t="shared" si="1"/>
        <v>27.392751725356582</v>
      </c>
      <c r="F55" s="89">
        <f t="shared" si="2"/>
        <v>450.59882138732723</v>
      </c>
    </row>
    <row r="56" spans="2:6">
      <c r="B56" s="88">
        <v>48426</v>
      </c>
      <c r="C56" s="81">
        <f t="shared" si="3"/>
        <v>43</v>
      </c>
      <c r="D56" s="89">
        <f t="shared" si="0"/>
        <v>427.01492428892834</v>
      </c>
      <c r="E56" s="89">
        <f t="shared" si="1"/>
        <v>23.583897098398847</v>
      </c>
      <c r="F56" s="89">
        <f t="shared" si="2"/>
        <v>450.59882138732718</v>
      </c>
    </row>
    <row r="57" spans="2:6">
      <c r="B57" s="88">
        <v>48518</v>
      </c>
      <c r="C57" s="81">
        <f t="shared" si="3"/>
        <v>44</v>
      </c>
      <c r="D57" s="89">
        <f t="shared" si="0"/>
        <v>430.85805860752873</v>
      </c>
      <c r="E57" s="89">
        <f t="shared" si="1"/>
        <v>19.740762779798491</v>
      </c>
      <c r="F57" s="89">
        <f t="shared" si="2"/>
        <v>450.59882138732723</v>
      </c>
    </row>
    <row r="58" spans="2:6">
      <c r="B58" s="88">
        <v>48610</v>
      </c>
      <c r="C58" s="81">
        <f t="shared" si="3"/>
        <v>45</v>
      </c>
      <c r="D58" s="89">
        <f t="shared" si="0"/>
        <v>434.73578113499644</v>
      </c>
      <c r="E58" s="89">
        <f t="shared" si="1"/>
        <v>15.863040252330729</v>
      </c>
      <c r="F58" s="89">
        <f t="shared" si="2"/>
        <v>450.59882138732718</v>
      </c>
    </row>
    <row r="59" spans="2:6">
      <c r="B59" s="88">
        <v>48699</v>
      </c>
      <c r="C59" s="81">
        <f t="shared" si="3"/>
        <v>46</v>
      </c>
      <c r="D59" s="89">
        <f t="shared" si="0"/>
        <v>438.64840316521145</v>
      </c>
      <c r="E59" s="89">
        <f t="shared" si="1"/>
        <v>11.950418222115763</v>
      </c>
      <c r="F59" s="89">
        <f t="shared" si="2"/>
        <v>450.59882138732723</v>
      </c>
    </row>
    <row r="60" spans="2:6">
      <c r="B60" s="88">
        <v>48791</v>
      </c>
      <c r="C60" s="81">
        <f t="shared" si="3"/>
        <v>47</v>
      </c>
      <c r="D60" s="89">
        <f t="shared" si="0"/>
        <v>442.59623879369838</v>
      </c>
      <c r="E60" s="89">
        <f t="shared" si="1"/>
        <v>8.0025825936288602</v>
      </c>
      <c r="F60" s="89">
        <f t="shared" si="2"/>
        <v>450.59882138732723</v>
      </c>
    </row>
    <row r="61" spans="2:6">
      <c r="B61" s="88">
        <v>48883</v>
      </c>
      <c r="C61" s="81">
        <f t="shared" si="3"/>
        <v>48</v>
      </c>
      <c r="D61" s="89">
        <f t="shared" si="0"/>
        <v>446.57960494284168</v>
      </c>
      <c r="E61" s="89">
        <f t="shared" si="1"/>
        <v>4.0192164444855747</v>
      </c>
      <c r="F61" s="89">
        <f t="shared" si="2"/>
        <v>450.59882138732723</v>
      </c>
    </row>
    <row r="62" spans="2:6">
      <c r="B62" s="88"/>
    </row>
    <row r="63" spans="2:6">
      <c r="B63" s="88"/>
    </row>
    <row r="64" spans="2:6">
      <c r="B64" s="88"/>
    </row>
    <row r="65" spans="2:2">
      <c r="B65" s="88"/>
    </row>
    <row r="66" spans="2:2">
      <c r="B66" s="88"/>
    </row>
    <row r="67" spans="2:2">
      <c r="B67" s="88"/>
    </row>
    <row r="68" spans="2:2">
      <c r="B68" s="88"/>
    </row>
    <row r="69" spans="2:2">
      <c r="B69" s="88"/>
    </row>
    <row r="70" spans="2:2">
      <c r="B70" s="88"/>
    </row>
    <row r="71" spans="2:2">
      <c r="B71" s="88"/>
    </row>
    <row r="72" spans="2:2">
      <c r="B72" s="88"/>
    </row>
    <row r="73" spans="2:2">
      <c r="B73" s="8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펀드 보수 차감</vt:lpstr>
      <vt:lpstr>조기상환IRR</vt:lpstr>
      <vt:lpstr>XIRR_불필요</vt:lpstr>
      <vt:lpstr>'펀드 보수 차감'!Print_Area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hdjung2</dc:creator>
  <cp:lastModifiedBy>yhkim</cp:lastModifiedBy>
  <cp:lastPrinted>2021-09-13T01:08:30Z</cp:lastPrinted>
  <dcterms:created xsi:type="dcterms:W3CDTF">2021-09-10T07:53:52Z</dcterms:created>
  <dcterms:modified xsi:type="dcterms:W3CDTF">2022-04-22T00:15:35Z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2021-09-28T10:53:53Z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b0591291-8db2-4cae-9a6b-3f39667d2277</vt:lpwstr>
  </property>
  <property fmtid="{D5CDD505-2E9C-101B-9397-08002B2CF9AE}" pid="8" name="MSIP_Label_ea60d57e-af5b-4752-ac57-3e4f28ca11dc_ContentBits">
    <vt:lpwstr>0</vt:lpwstr>
  </property>
</Properties>
</file>