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ngjungkim/Documents/Work/Project/HPNT/PEF 운용/"/>
    </mc:Choice>
  </mc:AlternateContent>
  <xr:revisionPtr revIDLastSave="0" documentId="13_ncr:1_{A52DE9D3-2BC8-904A-A5AD-DE9ED37A3B78}" xr6:coauthVersionLast="47" xr6:coauthVersionMax="47" xr10:uidLastSave="{00000000-0000-0000-0000-000000000000}"/>
  <bookViews>
    <workbookView xWindow="0" yWindow="500" windowWidth="51200" windowHeight="19220" tabRatio="735" xr2:uid="{74C5A358-24AD-4362-8DF5-32BF9B22BB22}"/>
  </bookViews>
  <sheets>
    <sheet name="대출채권 원리금 상환 스케쥴" sheetId="4" r:id="rId1"/>
    <sheet name="PEF 현금흐름" sheetId="8" r:id="rId2"/>
    <sheet name="PEF 관리보수 및 분배" sheetId="15" r:id="rId3"/>
  </sheets>
  <definedNames>
    <definedName name="_xlnm.Print_Area" localSheetId="0">'대출채권 원리금 상환 스케쥴'!$A$1:$H$32</definedName>
    <definedName name="_xlnm.Print_Area" localSheetId="2">'PEF 관리보수 및 분배'!$A$1:$M$72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15" l="1"/>
  <c r="C59" i="15"/>
  <c r="C55" i="15"/>
  <c r="C10" i="4" l="1"/>
  <c r="C9" i="4"/>
  <c r="C12" i="8" s="1"/>
  <c r="C8" i="4"/>
  <c r="C11" i="8" s="1"/>
  <c r="C7" i="4"/>
  <c r="C10" i="8" s="1"/>
  <c r="C13" i="8"/>
  <c r="D38" i="8" l="1"/>
  <c r="H38" i="8"/>
  <c r="L38" i="8"/>
  <c r="C7" i="8" l="1"/>
  <c r="C8" i="8" s="1"/>
  <c r="C5" i="4"/>
  <c r="F31" i="4" l="1"/>
  <c r="F30" i="4"/>
  <c r="F29" i="4"/>
  <c r="F28" i="4"/>
  <c r="F27" i="4"/>
  <c r="F26" i="4"/>
  <c r="F25" i="4"/>
  <c r="F24" i="4"/>
  <c r="F23" i="4"/>
  <c r="F22" i="4"/>
  <c r="F21" i="4"/>
  <c r="F20" i="4"/>
  <c r="F19" i="4"/>
  <c r="C6" i="4" l="1"/>
  <c r="C3" i="4" s="1"/>
  <c r="C9" i="8"/>
  <c r="C6" i="8" s="1"/>
  <c r="C23" i="8" l="1"/>
  <c r="C5" i="8"/>
  <c r="C33" i="8"/>
  <c r="C18" i="4"/>
  <c r="E19" i="4" s="1"/>
  <c r="D55" i="15" l="1"/>
  <c r="E55" i="15" s="1"/>
  <c r="C18" i="8"/>
  <c r="F15" i="15"/>
  <c r="D15" i="15"/>
  <c r="C19" i="4"/>
  <c r="E20" i="4" s="1"/>
  <c r="C39" i="8"/>
  <c r="F55" i="15" l="1"/>
  <c r="D56" i="15"/>
  <c r="E56" i="15" s="1"/>
  <c r="J48" i="15"/>
  <c r="J37" i="15"/>
  <c r="J44" i="15"/>
  <c r="J42" i="15"/>
  <c r="J41" i="15"/>
  <c r="J40" i="15"/>
  <c r="J39" i="15"/>
  <c r="J47" i="15"/>
  <c r="J46" i="15"/>
  <c r="J45" i="15"/>
  <c r="J43" i="15"/>
  <c r="J38" i="15"/>
  <c r="D43" i="15"/>
  <c r="D48" i="15"/>
  <c r="D44" i="15"/>
  <c r="D42" i="15"/>
  <c r="D39" i="15"/>
  <c r="D47" i="15"/>
  <c r="D46" i="15"/>
  <c r="D40" i="15"/>
  <c r="D38" i="15"/>
  <c r="D41" i="15"/>
  <c r="D45" i="15"/>
  <c r="D37" i="15"/>
  <c r="C16" i="8"/>
  <c r="C44" i="8" s="1"/>
  <c r="E15" i="15"/>
  <c r="D37" i="8"/>
  <c r="F56" i="15"/>
  <c r="D23" i="8"/>
  <c r="C20" i="4"/>
  <c r="E21" i="4" s="1"/>
  <c r="J49" i="15" l="1"/>
  <c r="D57" i="15"/>
  <c r="E57" i="15" s="1"/>
  <c r="G46" i="15"/>
  <c r="G44" i="15"/>
  <c r="G39" i="15"/>
  <c r="G38" i="15"/>
  <c r="G48" i="15"/>
  <c r="G37" i="15"/>
  <c r="G47" i="15"/>
  <c r="G45" i="15"/>
  <c r="G43" i="15"/>
  <c r="G42" i="15"/>
  <c r="G41" i="15"/>
  <c r="G40" i="15"/>
  <c r="D49" i="15"/>
  <c r="E37" i="8"/>
  <c r="C21" i="4"/>
  <c r="E22" i="4" s="1"/>
  <c r="C28" i="8"/>
  <c r="D58" i="15" l="1"/>
  <c r="E58" i="15" s="1"/>
  <c r="G49" i="15"/>
  <c r="F37" i="8"/>
  <c r="F57" i="15"/>
  <c r="G36" i="8"/>
  <c r="D8" i="15" s="1"/>
  <c r="G58" i="15" s="1"/>
  <c r="F36" i="8"/>
  <c r="D7" i="15" s="1"/>
  <c r="G57" i="15" s="1"/>
  <c r="D36" i="8"/>
  <c r="D5" i="15" s="1"/>
  <c r="E36" i="8"/>
  <c r="D6" i="15" s="1"/>
  <c r="G56" i="15" s="1"/>
  <c r="H56" i="15" s="1"/>
  <c r="F19" i="15" s="1"/>
  <c r="C22" i="4"/>
  <c r="E23" i="4" s="1"/>
  <c r="E19" i="15" l="1"/>
  <c r="D19" i="15"/>
  <c r="D59" i="15"/>
  <c r="E59" i="15" s="1"/>
  <c r="K38" i="15"/>
  <c r="L38" i="15" s="1"/>
  <c r="H38" i="15"/>
  <c r="I38" i="15" s="1"/>
  <c r="E38" i="15"/>
  <c r="F38" i="15" s="1"/>
  <c r="G55" i="15"/>
  <c r="H55" i="15" s="1"/>
  <c r="H57" i="15"/>
  <c r="G37" i="8"/>
  <c r="F58" i="15"/>
  <c r="E39" i="8"/>
  <c r="D39" i="8"/>
  <c r="F39" i="8"/>
  <c r="C23" i="4"/>
  <c r="E24" i="4" s="1"/>
  <c r="G19" i="4"/>
  <c r="D60" i="15" l="1"/>
  <c r="E60" i="15" s="1"/>
  <c r="E18" i="15"/>
  <c r="H37" i="15" s="1"/>
  <c r="D18" i="15"/>
  <c r="E37" i="15" s="1"/>
  <c r="F37" i="15" s="1"/>
  <c r="F18" i="15"/>
  <c r="K37" i="15" s="1"/>
  <c r="F20" i="15"/>
  <c r="D20" i="15"/>
  <c r="E20" i="15"/>
  <c r="H39" i="15" s="1"/>
  <c r="I39" i="15" s="1"/>
  <c r="H58" i="15"/>
  <c r="G39" i="8"/>
  <c r="G45" i="8" s="1"/>
  <c r="F59" i="15"/>
  <c r="F45" i="8"/>
  <c r="F46" i="8" s="1"/>
  <c r="D45" i="8"/>
  <c r="D46" i="8" s="1"/>
  <c r="E45" i="8"/>
  <c r="E46" i="8" s="1"/>
  <c r="H37" i="8"/>
  <c r="F60" i="15"/>
  <c r="E23" i="8"/>
  <c r="C24" i="4"/>
  <c r="E25" i="4" s="1"/>
  <c r="D61" i="15" l="1"/>
  <c r="E61" i="15" s="1"/>
  <c r="K39" i="15"/>
  <c r="L39" i="15" s="1"/>
  <c r="L37" i="15"/>
  <c r="I37" i="15"/>
  <c r="E39" i="15"/>
  <c r="F39" i="15" s="1"/>
  <c r="D21" i="15"/>
  <c r="F21" i="15"/>
  <c r="E21" i="15"/>
  <c r="H40" i="15" s="1"/>
  <c r="I40" i="15" s="1"/>
  <c r="F61" i="15"/>
  <c r="C25" i="4"/>
  <c r="E26" i="4" s="1"/>
  <c r="D28" i="8"/>
  <c r="I37" i="8"/>
  <c r="D62" i="15" l="1"/>
  <c r="E62" i="15" s="1"/>
  <c r="K40" i="15"/>
  <c r="E40" i="15"/>
  <c r="F40" i="15" s="1"/>
  <c r="I36" i="8"/>
  <c r="D10" i="15" s="1"/>
  <c r="G60" i="15" s="1"/>
  <c r="H60" i="15" s="1"/>
  <c r="F23" i="15" s="1"/>
  <c r="H36" i="8"/>
  <c r="D9" i="15" s="1"/>
  <c r="G59" i="15" s="1"/>
  <c r="H59" i="15" s="1"/>
  <c r="F22" i="15" s="1"/>
  <c r="K36" i="8"/>
  <c r="G5" i="15" s="1"/>
  <c r="G62" i="15" s="1"/>
  <c r="J36" i="8"/>
  <c r="D11" i="15" s="1"/>
  <c r="G61" i="15" s="1"/>
  <c r="H61" i="15" s="1"/>
  <c r="J37" i="8"/>
  <c r="C26" i="4"/>
  <c r="E27" i="4" s="1"/>
  <c r="D23" i="15" l="1"/>
  <c r="D22" i="15"/>
  <c r="E23" i="15"/>
  <c r="H42" i="15" s="1"/>
  <c r="I42" i="15" s="1"/>
  <c r="E22" i="15"/>
  <c r="H41" i="15" s="1"/>
  <c r="I41" i="15" s="1"/>
  <c r="D63" i="15"/>
  <c r="E63" i="15" s="1"/>
  <c r="K41" i="15"/>
  <c r="L41" i="15" s="1"/>
  <c r="L40" i="15"/>
  <c r="K42" i="15"/>
  <c r="L42" i="15" s="1"/>
  <c r="E41" i="15"/>
  <c r="F41" i="15" s="1"/>
  <c r="E42" i="15"/>
  <c r="F42" i="15" s="1"/>
  <c r="F24" i="15"/>
  <c r="E24" i="15"/>
  <c r="H43" i="15" s="1"/>
  <c r="I43" i="15" s="1"/>
  <c r="D24" i="15"/>
  <c r="F62" i="15"/>
  <c r="I39" i="8"/>
  <c r="I45" i="8" s="1"/>
  <c r="I46" i="8" s="1"/>
  <c r="H39" i="8"/>
  <c r="G23" i="4"/>
  <c r="J39" i="8"/>
  <c r="C27" i="4"/>
  <c r="E28" i="4" s="1"/>
  <c r="F63" i="15"/>
  <c r="K37" i="8"/>
  <c r="D64" i="15" l="1"/>
  <c r="E64" i="15" s="1"/>
  <c r="K43" i="15"/>
  <c r="L43" i="15" s="1"/>
  <c r="E43" i="15"/>
  <c r="F43" i="15" s="1"/>
  <c r="H62" i="15"/>
  <c r="H45" i="8"/>
  <c r="H46" i="8" s="1"/>
  <c r="J45" i="8"/>
  <c r="J46" i="8" s="1"/>
  <c r="F64" i="15"/>
  <c r="F23" i="8"/>
  <c r="C28" i="4"/>
  <c r="E29" i="4" s="1"/>
  <c r="K39" i="8"/>
  <c r="K45" i="8" s="1"/>
  <c r="L37" i="8"/>
  <c r="D65" i="15" l="1"/>
  <c r="E65" i="15" s="1"/>
  <c r="F25" i="15"/>
  <c r="E25" i="15"/>
  <c r="H44" i="15" s="1"/>
  <c r="D25" i="15"/>
  <c r="F28" i="8"/>
  <c r="P36" i="8" s="1"/>
  <c r="G10" i="15" s="1"/>
  <c r="G67" i="15" s="1"/>
  <c r="E28" i="8"/>
  <c r="M37" i="8"/>
  <c r="C29" i="4"/>
  <c r="E30" i="4" s="1"/>
  <c r="D66" i="15" l="1"/>
  <c r="E66" i="15" s="1"/>
  <c r="K44" i="15"/>
  <c r="I44" i="15"/>
  <c r="E44" i="15"/>
  <c r="F44" i="15" s="1"/>
  <c r="N37" i="8"/>
  <c r="F65" i="15"/>
  <c r="G28" i="8"/>
  <c r="O36" i="8"/>
  <c r="G9" i="15" s="1"/>
  <c r="G66" i="15" s="1"/>
  <c r="N36" i="8"/>
  <c r="G8" i="15" s="1"/>
  <c r="G65" i="15" s="1"/>
  <c r="M36" i="8"/>
  <c r="G7" i="15" s="1"/>
  <c r="G64" i="15" s="1"/>
  <c r="H64" i="15" s="1"/>
  <c r="D27" i="15" s="1"/>
  <c r="L36" i="8"/>
  <c r="G6" i="15" s="1"/>
  <c r="G63" i="15" s="1"/>
  <c r="H63" i="15" s="1"/>
  <c r="F66" i="15"/>
  <c r="C30" i="4"/>
  <c r="E31" i="4" s="1"/>
  <c r="E27" i="15" l="1"/>
  <c r="H46" i="15" s="1"/>
  <c r="I46" i="15" s="1"/>
  <c r="F27" i="15"/>
  <c r="D67" i="15"/>
  <c r="E67" i="15" s="1"/>
  <c r="F26" i="15"/>
  <c r="K45" i="15" s="1"/>
  <c r="L45" i="15" s="1"/>
  <c r="E26" i="15"/>
  <c r="H45" i="15" s="1"/>
  <c r="I45" i="15" s="1"/>
  <c r="D26" i="15"/>
  <c r="E45" i="15" s="1"/>
  <c r="F45" i="15" s="1"/>
  <c r="L44" i="15"/>
  <c r="K46" i="15"/>
  <c r="L46" i="15" s="1"/>
  <c r="E46" i="15"/>
  <c r="F46" i="15" s="1"/>
  <c r="H66" i="15"/>
  <c r="H65" i="15"/>
  <c r="N39" i="8"/>
  <c r="L39" i="8"/>
  <c r="M39" i="8"/>
  <c r="D31" i="4"/>
  <c r="O37" i="8"/>
  <c r="K46" i="8"/>
  <c r="C46" i="8"/>
  <c r="G27" i="4"/>
  <c r="G46" i="8"/>
  <c r="F28" i="15" l="1"/>
  <c r="E28" i="15"/>
  <c r="H47" i="15" s="1"/>
  <c r="I47" i="15" s="1"/>
  <c r="D28" i="15"/>
  <c r="F29" i="15"/>
  <c r="E29" i="15"/>
  <c r="H48" i="15" s="1"/>
  <c r="I48" i="15" s="1"/>
  <c r="D29" i="15"/>
  <c r="F67" i="15"/>
  <c r="C31" i="4"/>
  <c r="C67" i="15"/>
  <c r="M45" i="8"/>
  <c r="M46" i="8" s="1"/>
  <c r="L45" i="8"/>
  <c r="L46" i="8" s="1"/>
  <c r="N45" i="8"/>
  <c r="N46" i="8" s="1"/>
  <c r="P38" i="8"/>
  <c r="G31" i="4"/>
  <c r="G23" i="8"/>
  <c r="P37" i="8"/>
  <c r="O39" i="8"/>
  <c r="K48" i="15" l="1"/>
  <c r="L48" i="15" s="1"/>
  <c r="K47" i="15"/>
  <c r="L47" i="15" s="1"/>
  <c r="G50" i="15"/>
  <c r="E48" i="15"/>
  <c r="F48" i="15" s="1"/>
  <c r="E47" i="15"/>
  <c r="F47" i="15" s="1"/>
  <c r="H67" i="15"/>
  <c r="O45" i="8"/>
  <c r="O46" i="8" s="1"/>
  <c r="P39" i="8"/>
  <c r="P45" i="8" s="1"/>
  <c r="J50" i="15" l="1"/>
  <c r="D50" i="15"/>
  <c r="E30" i="15"/>
  <c r="D30" i="15"/>
  <c r="E49" i="15" s="1"/>
  <c r="E50" i="15" s="1"/>
  <c r="F30" i="15"/>
  <c r="F31" i="15" s="1"/>
  <c r="C40" i="8"/>
  <c r="P46" i="8"/>
  <c r="C47" i="8" s="1"/>
  <c r="K49" i="15" l="1"/>
  <c r="D31" i="15"/>
  <c r="E31" i="15"/>
  <c r="H49" i="15"/>
  <c r="F49" i="15"/>
  <c r="F50" i="15" s="1"/>
  <c r="K50" i="15" l="1"/>
  <c r="L49" i="15"/>
  <c r="L50" i="15" s="1"/>
  <c r="H50" i="15"/>
  <c r="I49" i="15"/>
  <c r="I50" i="15" s="1"/>
</calcChain>
</file>

<file path=xl/sharedStrings.xml><?xml version="1.0" encoding="utf-8"?>
<sst xmlns="http://schemas.openxmlformats.org/spreadsheetml/2006/main" count="177" uniqueCount="112">
  <si>
    <t>날짜</t>
    <phoneticPr fontId="0" type="noConversion"/>
  </si>
  <si>
    <t>이자비용</t>
    <phoneticPr fontId="0" type="noConversion"/>
  </si>
  <si>
    <t>상환</t>
    <phoneticPr fontId="0" type="noConversion"/>
  </si>
  <si>
    <t>대출잔액(T/L)</t>
    <phoneticPr fontId="0" type="noConversion"/>
  </si>
  <si>
    <t>이자율</t>
    <phoneticPr fontId="0" type="noConversion"/>
  </si>
  <si>
    <t>인출일</t>
    <phoneticPr fontId="0" type="noConversion"/>
  </si>
  <si>
    <t>만기일</t>
    <phoneticPr fontId="0" type="noConversion"/>
  </si>
  <si>
    <t>매년 5월 13일</t>
  </si>
  <si>
    <t>원리금 상환액</t>
  </si>
  <si>
    <t>합계</t>
  </si>
  <si>
    <t>재금융 원금</t>
  </si>
  <si>
    <t>원리금 합계</t>
  </si>
  <si>
    <t>HMM</t>
  </si>
  <si>
    <t>구분</t>
  </si>
  <si>
    <t>원</t>
  </si>
  <si>
    <t>KOBC</t>
  </si>
  <si>
    <t>기존 금융 상환액</t>
  </si>
  <si>
    <t>기존 금융 조기상환수수료</t>
  </si>
  <si>
    <t>자문사 비용</t>
  </si>
  <si>
    <t>유안타: 세종</t>
  </si>
  <si>
    <t>유안타: 나이스평가정보</t>
  </si>
  <si>
    <t>유안타: KPMG</t>
  </si>
  <si>
    <t>SBK: 율촌</t>
  </si>
  <si>
    <t>GP 보수</t>
  </si>
  <si>
    <t>PEF 투자잔액</t>
  </si>
  <si>
    <t>2023.2.13~2024.2.13</t>
  </si>
  <si>
    <t>2024.2.14~2025.2.13</t>
  </si>
  <si>
    <t>2025.2.14~2026.2.13</t>
  </si>
  <si>
    <t>2026.2.14~2026.5.13</t>
  </si>
  <si>
    <t>보수 대상 기간</t>
  </si>
  <si>
    <t>대출</t>
  </si>
  <si>
    <t>IRR</t>
  </si>
  <si>
    <t>예비비 예금</t>
  </si>
  <si>
    <t>대출 이자수익</t>
  </si>
  <si>
    <t>대출 원금상환</t>
  </si>
  <si>
    <t>PEF 출자</t>
  </si>
  <si>
    <t>1. 주요 가정</t>
  </si>
  <si>
    <t>a. 재금융 원금</t>
  </si>
  <si>
    <t>(1) PEF 관리보수</t>
  </si>
  <si>
    <t>(2) PEF 금액</t>
  </si>
  <si>
    <t xml:space="preserve">2. GP 보수 </t>
  </si>
  <si>
    <t>(1) PEF 투자 잔액</t>
  </si>
  <si>
    <t>(2) GP 보수 계산</t>
  </si>
  <si>
    <t>(1) PEF IRR</t>
  </si>
  <si>
    <t>(2) LP IRR</t>
  </si>
  <si>
    <t>매년 110억원 수준</t>
  </si>
  <si>
    <t xml:space="preserve"> 상환스케쥴</t>
  </si>
  <si>
    <t>원금 상환일</t>
  </si>
  <si>
    <t>배당</t>
  </si>
  <si>
    <t>GP Upfornt fee</t>
  </si>
  <si>
    <t>c. GP Upfront fee + 예비비</t>
  </si>
  <si>
    <t>회차</t>
  </si>
  <si>
    <t>지급일</t>
  </si>
  <si>
    <r>
      <t>지급금액</t>
    </r>
    <r>
      <rPr>
        <b/>
        <sz val="10.5"/>
        <color rgb="FF000000"/>
        <rFont val="Times New Roman"/>
        <family val="1"/>
      </rPr>
      <t>(</t>
    </r>
    <r>
      <rPr>
        <b/>
        <sz val="10.5"/>
        <color rgb="FF000000"/>
        <rFont val="BatangChe"/>
        <family val="3"/>
      </rPr>
      <t>원</t>
    </r>
    <r>
      <rPr>
        <b/>
        <sz val="10.5"/>
        <color rgb="FF000000"/>
        <rFont val="Times New Roman"/>
        <family val="1"/>
      </rPr>
      <t>)</t>
    </r>
  </si>
  <si>
    <r>
      <t>2023</t>
    </r>
    <r>
      <rPr>
        <sz val="10.5"/>
        <color rgb="FF000000"/>
        <rFont val="BatangChe"/>
        <family val="3"/>
      </rPr>
      <t>년</t>
    </r>
    <r>
      <rPr>
        <sz val="10.5"/>
        <color rgb="FF000000"/>
        <rFont val="Times New Roman"/>
        <family val="1"/>
      </rPr>
      <t xml:space="preserve"> 5</t>
    </r>
    <r>
      <rPr>
        <sz val="10.5"/>
        <color rgb="FF000000"/>
        <rFont val="BatangChe"/>
        <family val="3"/>
      </rPr>
      <t>월</t>
    </r>
    <r>
      <rPr>
        <sz val="10.5"/>
        <color rgb="FF000000"/>
        <rFont val="Times New Roman"/>
        <family val="1"/>
      </rPr>
      <t xml:space="preserve"> 13</t>
    </r>
    <r>
      <rPr>
        <sz val="10.5"/>
        <color rgb="FF000000"/>
        <rFont val="BatangChe"/>
        <family val="3"/>
      </rPr>
      <t>일</t>
    </r>
  </si>
  <si>
    <r>
      <t>2025</t>
    </r>
    <r>
      <rPr>
        <sz val="10.5"/>
        <color rgb="FF000000"/>
        <rFont val="BatangChe"/>
        <family val="3"/>
      </rPr>
      <t>년</t>
    </r>
    <r>
      <rPr>
        <sz val="10.5"/>
        <color rgb="FF000000"/>
        <rFont val="Times New Roman"/>
        <family val="1"/>
      </rPr>
      <t xml:space="preserve"> 2</t>
    </r>
    <r>
      <rPr>
        <sz val="10.5"/>
        <color rgb="FF000000"/>
        <rFont val="BatangChe"/>
        <family val="3"/>
      </rPr>
      <t>월</t>
    </r>
    <r>
      <rPr>
        <sz val="10.5"/>
        <color rgb="FF000000"/>
        <rFont val="Times New Roman"/>
        <family val="1"/>
      </rPr>
      <t xml:space="preserve"> 13</t>
    </r>
    <r>
      <rPr>
        <sz val="10.5"/>
        <color rgb="FF000000"/>
        <rFont val="BatangChe"/>
        <family val="3"/>
      </rPr>
      <t>일</t>
    </r>
  </si>
  <si>
    <r>
      <t>2023</t>
    </r>
    <r>
      <rPr>
        <sz val="10.5"/>
        <color rgb="FF000000"/>
        <rFont val="BatangChe"/>
        <family val="3"/>
      </rPr>
      <t>년</t>
    </r>
    <r>
      <rPr>
        <sz val="10.5"/>
        <color rgb="FF000000"/>
        <rFont val="Times New Roman"/>
        <family val="1"/>
      </rPr>
      <t xml:space="preserve"> 8</t>
    </r>
    <r>
      <rPr>
        <sz val="10.5"/>
        <color rgb="FF000000"/>
        <rFont val="BatangChe"/>
        <family val="3"/>
      </rPr>
      <t>월</t>
    </r>
    <r>
      <rPr>
        <sz val="10.5"/>
        <color rgb="FF000000"/>
        <rFont val="Times New Roman"/>
        <family val="1"/>
      </rPr>
      <t xml:space="preserve"> 13</t>
    </r>
    <r>
      <rPr>
        <sz val="10.5"/>
        <color rgb="FF000000"/>
        <rFont val="BatangChe"/>
        <family val="3"/>
      </rPr>
      <t>일</t>
    </r>
  </si>
  <si>
    <r>
      <t>2025</t>
    </r>
    <r>
      <rPr>
        <sz val="10.5"/>
        <color rgb="FF000000"/>
        <rFont val="BatangChe"/>
        <family val="3"/>
      </rPr>
      <t>년</t>
    </r>
    <r>
      <rPr>
        <sz val="10.5"/>
        <color rgb="FF000000"/>
        <rFont val="Times New Roman"/>
        <family val="1"/>
      </rPr>
      <t xml:space="preserve"> 5</t>
    </r>
    <r>
      <rPr>
        <sz val="10.5"/>
        <color rgb="FF000000"/>
        <rFont val="BatangChe"/>
        <family val="3"/>
      </rPr>
      <t>월</t>
    </r>
    <r>
      <rPr>
        <sz val="10.5"/>
        <color rgb="FF000000"/>
        <rFont val="Times New Roman"/>
        <family val="1"/>
      </rPr>
      <t xml:space="preserve"> 13</t>
    </r>
    <r>
      <rPr>
        <sz val="10.5"/>
        <color rgb="FF000000"/>
        <rFont val="BatangChe"/>
        <family val="3"/>
      </rPr>
      <t>일</t>
    </r>
  </si>
  <si>
    <r>
      <t>2023</t>
    </r>
    <r>
      <rPr>
        <sz val="10.5"/>
        <color rgb="FF000000"/>
        <rFont val="BatangChe"/>
        <family val="3"/>
      </rPr>
      <t>년</t>
    </r>
    <r>
      <rPr>
        <sz val="10.5"/>
        <color rgb="FF000000"/>
        <rFont val="Times New Roman"/>
        <family val="1"/>
      </rPr>
      <t xml:space="preserve"> 11</t>
    </r>
    <r>
      <rPr>
        <sz val="10.5"/>
        <color rgb="FF000000"/>
        <rFont val="BatangChe"/>
        <family val="3"/>
      </rPr>
      <t>월</t>
    </r>
    <r>
      <rPr>
        <sz val="10.5"/>
        <color rgb="FF000000"/>
        <rFont val="Times New Roman"/>
        <family val="1"/>
      </rPr>
      <t xml:space="preserve"> 13</t>
    </r>
    <r>
      <rPr>
        <sz val="10.5"/>
        <color rgb="FF000000"/>
        <rFont val="BatangChe"/>
        <family val="3"/>
      </rPr>
      <t>일</t>
    </r>
  </si>
  <si>
    <r>
      <t>2025</t>
    </r>
    <r>
      <rPr>
        <sz val="10.5"/>
        <color rgb="FF000000"/>
        <rFont val="BatangChe"/>
        <family val="3"/>
      </rPr>
      <t>년</t>
    </r>
    <r>
      <rPr>
        <sz val="10.5"/>
        <color rgb="FF000000"/>
        <rFont val="Times New Roman"/>
        <family val="1"/>
      </rPr>
      <t xml:space="preserve"> 8</t>
    </r>
    <r>
      <rPr>
        <sz val="10.5"/>
        <color rgb="FF000000"/>
        <rFont val="BatangChe"/>
        <family val="3"/>
      </rPr>
      <t>월</t>
    </r>
    <r>
      <rPr>
        <sz val="10.5"/>
        <color rgb="FF000000"/>
        <rFont val="Times New Roman"/>
        <family val="1"/>
      </rPr>
      <t xml:space="preserve"> 13</t>
    </r>
    <r>
      <rPr>
        <sz val="10.5"/>
        <color rgb="FF000000"/>
        <rFont val="BatangChe"/>
        <family val="3"/>
      </rPr>
      <t>일</t>
    </r>
  </si>
  <si>
    <r>
      <t>2024</t>
    </r>
    <r>
      <rPr>
        <sz val="10.5"/>
        <color rgb="FF000000"/>
        <rFont val="BatangChe"/>
        <family val="3"/>
      </rPr>
      <t>년</t>
    </r>
    <r>
      <rPr>
        <sz val="10.5"/>
        <color rgb="FF000000"/>
        <rFont val="Times New Roman"/>
        <family val="1"/>
      </rPr>
      <t xml:space="preserve"> 2</t>
    </r>
    <r>
      <rPr>
        <sz val="10.5"/>
        <color rgb="FF000000"/>
        <rFont val="BatangChe"/>
        <family val="3"/>
      </rPr>
      <t>월</t>
    </r>
    <r>
      <rPr>
        <sz val="10.5"/>
        <color rgb="FF000000"/>
        <rFont val="Times New Roman"/>
        <family val="1"/>
      </rPr>
      <t xml:space="preserve"> 13</t>
    </r>
    <r>
      <rPr>
        <sz val="10.5"/>
        <color rgb="FF000000"/>
        <rFont val="BatangChe"/>
        <family val="3"/>
      </rPr>
      <t>일</t>
    </r>
    <r>
      <rPr>
        <sz val="10.5"/>
        <color rgb="FF000000"/>
        <rFont val="Times New Roman"/>
        <family val="1"/>
      </rPr>
      <t xml:space="preserve"> </t>
    </r>
  </si>
  <si>
    <r>
      <t>2025</t>
    </r>
    <r>
      <rPr>
        <sz val="10.5"/>
        <color rgb="FF000000"/>
        <rFont val="BatangChe"/>
        <family val="3"/>
      </rPr>
      <t>년</t>
    </r>
    <r>
      <rPr>
        <sz val="10.5"/>
        <color rgb="FF000000"/>
        <rFont val="Times New Roman"/>
        <family val="1"/>
      </rPr>
      <t xml:space="preserve"> 11</t>
    </r>
    <r>
      <rPr>
        <sz val="10.5"/>
        <color rgb="FF000000"/>
        <rFont val="BatangChe"/>
        <family val="3"/>
      </rPr>
      <t>월</t>
    </r>
    <r>
      <rPr>
        <sz val="10.5"/>
        <color rgb="FF000000"/>
        <rFont val="Times New Roman"/>
        <family val="1"/>
      </rPr>
      <t xml:space="preserve"> 13</t>
    </r>
    <r>
      <rPr>
        <sz val="10.5"/>
        <color rgb="FF000000"/>
        <rFont val="BatangChe"/>
        <family val="3"/>
      </rPr>
      <t>일</t>
    </r>
  </si>
  <si>
    <r>
      <t>2024</t>
    </r>
    <r>
      <rPr>
        <sz val="10.5"/>
        <color rgb="FF000000"/>
        <rFont val="BatangChe"/>
        <family val="3"/>
      </rPr>
      <t>년</t>
    </r>
    <r>
      <rPr>
        <sz val="10.5"/>
        <color rgb="FF000000"/>
        <rFont val="Times New Roman"/>
        <family val="1"/>
      </rPr>
      <t xml:space="preserve"> 5</t>
    </r>
    <r>
      <rPr>
        <sz val="10.5"/>
        <color rgb="FF000000"/>
        <rFont val="BatangChe"/>
        <family val="3"/>
      </rPr>
      <t>월</t>
    </r>
    <r>
      <rPr>
        <sz val="10.5"/>
        <color rgb="FF000000"/>
        <rFont val="Times New Roman"/>
        <family val="1"/>
      </rPr>
      <t xml:space="preserve"> 13</t>
    </r>
    <r>
      <rPr>
        <sz val="10.5"/>
        <color rgb="FF000000"/>
        <rFont val="BatangChe"/>
        <family val="3"/>
      </rPr>
      <t>일</t>
    </r>
  </si>
  <si>
    <r>
      <t>2026</t>
    </r>
    <r>
      <rPr>
        <sz val="10.5"/>
        <color rgb="FF000000"/>
        <rFont val="BatangChe"/>
        <family val="3"/>
      </rPr>
      <t>년</t>
    </r>
    <r>
      <rPr>
        <sz val="10.5"/>
        <color rgb="FF000000"/>
        <rFont val="Times New Roman"/>
        <family val="1"/>
      </rPr>
      <t xml:space="preserve"> 2</t>
    </r>
    <r>
      <rPr>
        <sz val="10.5"/>
        <color rgb="FF000000"/>
        <rFont val="BatangChe"/>
        <family val="3"/>
      </rPr>
      <t>월</t>
    </r>
    <r>
      <rPr>
        <sz val="10.5"/>
        <color rgb="FF000000"/>
        <rFont val="Times New Roman"/>
        <family val="1"/>
      </rPr>
      <t xml:space="preserve"> 13</t>
    </r>
    <r>
      <rPr>
        <sz val="10.5"/>
        <color rgb="FF000000"/>
        <rFont val="BatangChe"/>
        <family val="3"/>
      </rPr>
      <t>일</t>
    </r>
  </si>
  <si>
    <r>
      <t>2024</t>
    </r>
    <r>
      <rPr>
        <sz val="10.5"/>
        <color rgb="FF000000"/>
        <rFont val="BatangChe"/>
        <family val="3"/>
      </rPr>
      <t>년</t>
    </r>
    <r>
      <rPr>
        <sz val="10.5"/>
        <color rgb="FF000000"/>
        <rFont val="Times New Roman"/>
        <family val="1"/>
      </rPr>
      <t xml:space="preserve"> 8</t>
    </r>
    <r>
      <rPr>
        <sz val="10.5"/>
        <color rgb="FF000000"/>
        <rFont val="BatangChe"/>
        <family val="3"/>
      </rPr>
      <t>월</t>
    </r>
    <r>
      <rPr>
        <sz val="10.5"/>
        <color rgb="FF000000"/>
        <rFont val="Times New Roman"/>
        <family val="1"/>
      </rPr>
      <t xml:space="preserve"> 13</t>
    </r>
    <r>
      <rPr>
        <sz val="10.5"/>
        <color rgb="FF000000"/>
        <rFont val="BatangChe"/>
        <family val="3"/>
      </rPr>
      <t>일</t>
    </r>
  </si>
  <si>
    <r>
      <t>2026</t>
    </r>
    <r>
      <rPr>
        <sz val="10.5"/>
        <color rgb="FF000000"/>
        <rFont val="BatangChe"/>
        <family val="3"/>
      </rPr>
      <t>년</t>
    </r>
    <r>
      <rPr>
        <sz val="10.5"/>
        <color rgb="FF000000"/>
        <rFont val="Times New Roman"/>
        <family val="1"/>
      </rPr>
      <t xml:space="preserve"> 5</t>
    </r>
    <r>
      <rPr>
        <sz val="10.5"/>
        <color rgb="FF000000"/>
        <rFont val="BatangChe"/>
        <family val="3"/>
      </rPr>
      <t>월</t>
    </r>
    <r>
      <rPr>
        <sz val="10.5"/>
        <color rgb="FF000000"/>
        <rFont val="Times New Roman"/>
        <family val="1"/>
      </rPr>
      <t xml:space="preserve"> 13</t>
    </r>
    <r>
      <rPr>
        <sz val="10.5"/>
        <color rgb="FF000000"/>
        <rFont val="BatangChe"/>
        <family val="3"/>
      </rPr>
      <t>일</t>
    </r>
  </si>
  <si>
    <r>
      <t>2024</t>
    </r>
    <r>
      <rPr>
        <sz val="10.5"/>
        <color rgb="FF000000"/>
        <rFont val="BatangChe"/>
        <family val="3"/>
      </rPr>
      <t>년</t>
    </r>
    <r>
      <rPr>
        <sz val="10.5"/>
        <color rgb="FF000000"/>
        <rFont val="Times New Roman"/>
        <family val="1"/>
      </rPr>
      <t xml:space="preserve"> 11</t>
    </r>
    <r>
      <rPr>
        <sz val="10.5"/>
        <color rgb="FF000000"/>
        <rFont val="BatangChe"/>
        <family val="3"/>
      </rPr>
      <t>월</t>
    </r>
    <r>
      <rPr>
        <sz val="10.5"/>
        <color rgb="FF000000"/>
        <rFont val="Times New Roman"/>
        <family val="1"/>
      </rPr>
      <t xml:space="preserve"> 13</t>
    </r>
    <r>
      <rPr>
        <sz val="10.5"/>
        <color rgb="FF000000"/>
        <rFont val="BatangChe"/>
        <family val="3"/>
      </rPr>
      <t>일</t>
    </r>
  </si>
  <si>
    <t>분배일</t>
  </si>
  <si>
    <t>에이치엠엠㈜</t>
  </si>
  <si>
    <t>업무집행사원</t>
  </si>
  <si>
    <r>
      <t>2025</t>
    </r>
    <r>
      <rPr>
        <sz val="10.5"/>
        <color rgb="FF000000"/>
        <rFont val="BatangChe"/>
        <family val="3"/>
      </rPr>
      <t>년</t>
    </r>
    <r>
      <rPr>
        <sz val="10.5"/>
        <color rgb="FF000000"/>
        <rFont val="Times New Roman"/>
        <family val="1"/>
      </rPr>
      <t xml:space="preserve"> 2</t>
    </r>
    <r>
      <rPr>
        <sz val="10.5"/>
        <color rgb="FF000000"/>
        <rFont val="BatangChe"/>
        <family val="3"/>
      </rPr>
      <t>월</t>
    </r>
    <r>
      <rPr>
        <sz val="10.5"/>
        <color rgb="FF000000"/>
        <rFont val="Times New Roman"/>
        <family val="1"/>
      </rPr>
      <t xml:space="preserve"> 13</t>
    </r>
    <r>
      <rPr>
        <sz val="10.5"/>
        <color rgb="FF000000"/>
        <rFont val="BatangChe"/>
        <family val="3"/>
      </rPr>
      <t>일</t>
    </r>
    <r>
      <rPr>
        <sz val="10.5"/>
        <color rgb="FF000000"/>
        <rFont val="Times New Roman"/>
        <family val="1"/>
      </rPr>
      <t xml:space="preserve"> </t>
    </r>
  </si>
  <si>
    <r>
      <t>2026</t>
    </r>
    <r>
      <rPr>
        <sz val="10.5"/>
        <color rgb="FF000000"/>
        <rFont val="BatangChe"/>
        <family val="3"/>
      </rPr>
      <t>년</t>
    </r>
    <r>
      <rPr>
        <sz val="10.5"/>
        <color rgb="FF000000"/>
        <rFont val="Times New Roman"/>
        <family val="1"/>
      </rPr>
      <t xml:space="preserve"> 2</t>
    </r>
    <r>
      <rPr>
        <sz val="10.5"/>
        <color rgb="FF000000"/>
        <rFont val="BatangChe"/>
        <family val="3"/>
      </rPr>
      <t>월</t>
    </r>
    <r>
      <rPr>
        <sz val="10.5"/>
        <color rgb="FF000000"/>
        <rFont val="Times New Roman"/>
        <family val="1"/>
      </rPr>
      <t xml:space="preserve"> 13</t>
    </r>
    <r>
      <rPr>
        <sz val="10.5"/>
        <color rgb="FF000000"/>
        <rFont val="BatangChe"/>
        <family val="3"/>
      </rPr>
      <t>일</t>
    </r>
    <r>
      <rPr>
        <sz val="10.5"/>
        <color rgb="FF000000"/>
        <rFont val="Times New Roman"/>
        <family val="1"/>
      </rPr>
      <t xml:space="preserve"> </t>
    </r>
  </si>
  <si>
    <t>(3) GP 출자액</t>
  </si>
  <si>
    <t>(4) LP 출자액</t>
  </si>
  <si>
    <t>3. IRR (Before tax)</t>
  </si>
  <si>
    <t>2. PEF 사원별 분배</t>
  </si>
  <si>
    <t>상환일</t>
  </si>
  <si>
    <t>이자 원천징수(C)</t>
  </si>
  <si>
    <t>관리보수 (E)</t>
  </si>
  <si>
    <t>원금(A)</t>
  </si>
  <si>
    <t>원천징수전 이자(B)</t>
  </si>
  <si>
    <t>[PEF 분배재원 계산]</t>
  </si>
  <si>
    <t>[단위: 원]</t>
  </si>
  <si>
    <t>PEF 출자 비율</t>
  </si>
  <si>
    <t>(*) 동업기업과세특례를 통해 이자 원천징수 금액은 LP 기납부세액에서 공제 가능</t>
  </si>
  <si>
    <t>한국
해양진흥공사</t>
  </si>
  <si>
    <t>원천징수후 이자(D=B-C)</t>
  </si>
  <si>
    <t>원천징수후 
분배재원 (F=B+D+E)</t>
  </si>
  <si>
    <r>
      <t xml:space="preserve">3. PEF </t>
    </r>
    <r>
      <rPr>
        <b/>
        <sz val="11"/>
        <color theme="1"/>
        <rFont val="BatangChe"/>
        <family val="1"/>
        <charset val="129"/>
      </rPr>
      <t>사원별</t>
    </r>
    <r>
      <rPr>
        <b/>
        <sz val="11"/>
        <color theme="1"/>
        <rFont val="Times New Roman"/>
        <family val="1"/>
      </rPr>
      <t xml:space="preserve"> </t>
    </r>
    <r>
      <rPr>
        <b/>
        <sz val="11"/>
        <color theme="1"/>
        <rFont val="BatangChe"/>
        <family val="1"/>
        <charset val="129"/>
      </rPr>
      <t>분배</t>
    </r>
    <r>
      <rPr>
        <b/>
        <sz val="11"/>
        <color theme="1"/>
        <rFont val="Times New Roman"/>
        <family val="1"/>
      </rPr>
      <t xml:space="preserve">: </t>
    </r>
    <r>
      <rPr>
        <b/>
        <sz val="11"/>
        <color theme="1"/>
        <rFont val="BatangChe"/>
        <family val="1"/>
        <charset val="129"/>
      </rPr>
      <t>출자금</t>
    </r>
    <r>
      <rPr>
        <b/>
        <sz val="11"/>
        <color theme="1"/>
        <rFont val="Times New Roman"/>
        <family val="1"/>
      </rPr>
      <t xml:space="preserve"> </t>
    </r>
    <r>
      <rPr>
        <b/>
        <sz val="11"/>
        <color theme="1"/>
        <rFont val="BatangChe"/>
        <family val="1"/>
        <charset val="129"/>
      </rPr>
      <t>원금</t>
    </r>
    <r>
      <rPr>
        <b/>
        <sz val="11"/>
        <color theme="1"/>
        <rFont val="Times New Roman"/>
        <family val="1"/>
      </rPr>
      <t xml:space="preserve"> </t>
    </r>
    <r>
      <rPr>
        <b/>
        <sz val="11"/>
        <color theme="1"/>
        <rFont val="BatangChe"/>
        <family val="1"/>
        <charset val="129"/>
      </rPr>
      <t>구분</t>
    </r>
    <phoneticPr fontId="15" type="noConversion"/>
  </si>
  <si>
    <r>
      <rPr>
        <b/>
        <sz val="10.5"/>
        <color rgb="FF000000"/>
        <rFont val="BatangChe"/>
        <family val="1"/>
        <charset val="129"/>
      </rPr>
      <t>회차</t>
    </r>
  </si>
  <si>
    <r>
      <rPr>
        <b/>
        <sz val="10.5"/>
        <color rgb="FF000000"/>
        <rFont val="BatangChe"/>
        <family val="1"/>
        <charset val="129"/>
      </rPr>
      <t>분배일</t>
    </r>
  </si>
  <si>
    <r>
      <rPr>
        <b/>
        <sz val="11"/>
        <color theme="1"/>
        <rFont val="BatangChe"/>
        <family val="1"/>
        <charset val="129"/>
      </rPr>
      <t>한국해양진흥공사</t>
    </r>
    <phoneticPr fontId="15" type="noConversion"/>
  </si>
  <si>
    <r>
      <rPr>
        <b/>
        <sz val="11"/>
        <color theme="1"/>
        <rFont val="BatangChe"/>
        <family val="1"/>
        <charset val="129"/>
      </rPr>
      <t>에이치엠엠</t>
    </r>
    <r>
      <rPr>
        <b/>
        <sz val="11"/>
        <color theme="1"/>
        <rFont val="Times New Roman"/>
        <family val="1"/>
      </rPr>
      <t>(</t>
    </r>
    <r>
      <rPr>
        <b/>
        <sz val="11"/>
        <color theme="1"/>
        <rFont val="BatangChe"/>
        <family val="1"/>
        <charset val="129"/>
      </rPr>
      <t>주</t>
    </r>
    <r>
      <rPr>
        <b/>
        <sz val="11"/>
        <color theme="1"/>
        <rFont val="Times New Roman"/>
        <family val="1"/>
      </rPr>
      <t>)</t>
    </r>
    <phoneticPr fontId="15" type="noConversion"/>
  </si>
  <si>
    <r>
      <rPr>
        <b/>
        <sz val="11"/>
        <color theme="1"/>
        <rFont val="BatangChe"/>
        <family val="1"/>
        <charset val="129"/>
      </rPr>
      <t>업무집행사원</t>
    </r>
    <phoneticPr fontId="15" type="noConversion"/>
  </si>
  <si>
    <r>
      <rPr>
        <b/>
        <sz val="11"/>
        <color theme="1"/>
        <rFont val="BatangChe"/>
        <family val="1"/>
        <charset val="129"/>
      </rPr>
      <t>출자금</t>
    </r>
    <r>
      <rPr>
        <b/>
        <sz val="11"/>
        <color theme="1"/>
        <rFont val="Times New Roman"/>
        <family val="1"/>
      </rPr>
      <t xml:space="preserve"> </t>
    </r>
    <r>
      <rPr>
        <b/>
        <sz val="11"/>
        <color theme="1"/>
        <rFont val="BatangChe"/>
        <family val="1"/>
        <charset val="129"/>
      </rPr>
      <t>분배</t>
    </r>
    <phoneticPr fontId="15" type="noConversion"/>
  </si>
  <si>
    <r>
      <rPr>
        <b/>
        <sz val="11"/>
        <color theme="1"/>
        <rFont val="BatangChe"/>
        <family val="1"/>
        <charset val="129"/>
      </rPr>
      <t>배당</t>
    </r>
    <r>
      <rPr>
        <b/>
        <sz val="11"/>
        <color theme="1"/>
        <rFont val="Times New Roman"/>
        <family val="1"/>
      </rPr>
      <t xml:space="preserve"> </t>
    </r>
    <r>
      <rPr>
        <b/>
        <sz val="11"/>
        <color theme="1"/>
        <rFont val="BatangChe"/>
        <family val="1"/>
        <charset val="129"/>
      </rPr>
      <t>분배</t>
    </r>
    <phoneticPr fontId="15" type="noConversion"/>
  </si>
  <si>
    <r>
      <rPr>
        <b/>
        <sz val="11"/>
        <color theme="1"/>
        <rFont val="BatangChe"/>
        <family val="1"/>
        <charset val="129"/>
      </rPr>
      <t>합계</t>
    </r>
    <phoneticPr fontId="15" type="noConversion"/>
  </si>
  <si>
    <r>
      <t>2023</t>
    </r>
    <r>
      <rPr>
        <sz val="10.5"/>
        <color rgb="FF000000"/>
        <rFont val="BatangChe"/>
        <family val="1"/>
        <charset val="129"/>
      </rPr>
      <t>년</t>
    </r>
    <r>
      <rPr>
        <sz val="10.5"/>
        <color rgb="FF000000"/>
        <rFont val="Times New Roman"/>
        <family val="1"/>
      </rPr>
      <t xml:space="preserve"> 5</t>
    </r>
    <r>
      <rPr>
        <sz val="10.5"/>
        <color rgb="FF000000"/>
        <rFont val="BatangChe"/>
        <family val="1"/>
        <charset val="129"/>
      </rPr>
      <t>월</t>
    </r>
    <r>
      <rPr>
        <sz val="10.5"/>
        <color rgb="FF000000"/>
        <rFont val="Times New Roman"/>
        <family val="1"/>
      </rPr>
      <t xml:space="preserve"> 13</t>
    </r>
    <r>
      <rPr>
        <sz val="10.5"/>
        <color rgb="FF000000"/>
        <rFont val="BatangChe"/>
        <family val="1"/>
        <charset val="129"/>
      </rPr>
      <t>일</t>
    </r>
  </si>
  <si>
    <r>
      <t>2023</t>
    </r>
    <r>
      <rPr>
        <sz val="10.5"/>
        <color rgb="FF000000"/>
        <rFont val="BatangChe"/>
        <family val="1"/>
        <charset val="129"/>
      </rPr>
      <t>년</t>
    </r>
    <r>
      <rPr>
        <sz val="10.5"/>
        <color rgb="FF000000"/>
        <rFont val="Times New Roman"/>
        <family val="1"/>
      </rPr>
      <t xml:space="preserve"> 8</t>
    </r>
    <r>
      <rPr>
        <sz val="10.5"/>
        <color rgb="FF000000"/>
        <rFont val="BatangChe"/>
        <family val="1"/>
        <charset val="129"/>
      </rPr>
      <t>월</t>
    </r>
    <r>
      <rPr>
        <sz val="10.5"/>
        <color rgb="FF000000"/>
        <rFont val="Times New Roman"/>
        <family val="1"/>
      </rPr>
      <t xml:space="preserve"> 13</t>
    </r>
    <r>
      <rPr>
        <sz val="10.5"/>
        <color rgb="FF000000"/>
        <rFont val="BatangChe"/>
        <family val="1"/>
        <charset val="129"/>
      </rPr>
      <t>일</t>
    </r>
  </si>
  <si>
    <r>
      <t>2023</t>
    </r>
    <r>
      <rPr>
        <sz val="10.5"/>
        <color rgb="FF000000"/>
        <rFont val="BatangChe"/>
        <family val="1"/>
        <charset val="129"/>
      </rPr>
      <t>년</t>
    </r>
    <r>
      <rPr>
        <sz val="10.5"/>
        <color rgb="FF000000"/>
        <rFont val="Times New Roman"/>
        <family val="1"/>
      </rPr>
      <t xml:space="preserve"> 11</t>
    </r>
    <r>
      <rPr>
        <sz val="10.5"/>
        <color rgb="FF000000"/>
        <rFont val="BatangChe"/>
        <family val="1"/>
        <charset val="129"/>
      </rPr>
      <t>월</t>
    </r>
    <r>
      <rPr>
        <sz val="10.5"/>
        <color rgb="FF000000"/>
        <rFont val="Times New Roman"/>
        <family val="1"/>
      </rPr>
      <t xml:space="preserve"> 13</t>
    </r>
    <r>
      <rPr>
        <sz val="10.5"/>
        <color rgb="FF000000"/>
        <rFont val="BatangChe"/>
        <family val="1"/>
        <charset val="129"/>
      </rPr>
      <t>일</t>
    </r>
  </si>
  <si>
    <r>
      <t>2024</t>
    </r>
    <r>
      <rPr>
        <sz val="10.5"/>
        <color rgb="FF000000"/>
        <rFont val="BatangChe"/>
        <family val="1"/>
        <charset val="129"/>
      </rPr>
      <t>년</t>
    </r>
    <r>
      <rPr>
        <sz val="10.5"/>
        <color rgb="FF000000"/>
        <rFont val="Times New Roman"/>
        <family val="1"/>
      </rPr>
      <t xml:space="preserve"> 2</t>
    </r>
    <r>
      <rPr>
        <sz val="10.5"/>
        <color rgb="FF000000"/>
        <rFont val="BatangChe"/>
        <family val="1"/>
        <charset val="129"/>
      </rPr>
      <t>월</t>
    </r>
    <r>
      <rPr>
        <sz val="10.5"/>
        <color rgb="FF000000"/>
        <rFont val="Times New Roman"/>
        <family val="1"/>
      </rPr>
      <t xml:space="preserve"> 13</t>
    </r>
    <r>
      <rPr>
        <sz val="10.5"/>
        <color rgb="FF000000"/>
        <rFont val="BatangChe"/>
        <family val="1"/>
        <charset val="129"/>
      </rPr>
      <t>일</t>
    </r>
    <r>
      <rPr>
        <sz val="10.5"/>
        <color rgb="FF000000"/>
        <rFont val="Times New Roman"/>
        <family val="1"/>
      </rPr>
      <t xml:space="preserve"> </t>
    </r>
  </si>
  <si>
    <r>
      <t>2024</t>
    </r>
    <r>
      <rPr>
        <sz val="10.5"/>
        <color rgb="FF000000"/>
        <rFont val="BatangChe"/>
        <family val="1"/>
        <charset val="129"/>
      </rPr>
      <t>년</t>
    </r>
    <r>
      <rPr>
        <sz val="10.5"/>
        <color rgb="FF000000"/>
        <rFont val="Times New Roman"/>
        <family val="1"/>
      </rPr>
      <t xml:space="preserve"> 5</t>
    </r>
    <r>
      <rPr>
        <sz val="10.5"/>
        <color rgb="FF000000"/>
        <rFont val="BatangChe"/>
        <family val="1"/>
        <charset val="129"/>
      </rPr>
      <t>월</t>
    </r>
    <r>
      <rPr>
        <sz val="10.5"/>
        <color rgb="FF000000"/>
        <rFont val="Times New Roman"/>
        <family val="1"/>
      </rPr>
      <t xml:space="preserve"> 13</t>
    </r>
    <r>
      <rPr>
        <sz val="10.5"/>
        <color rgb="FF000000"/>
        <rFont val="BatangChe"/>
        <family val="1"/>
        <charset val="129"/>
      </rPr>
      <t>일</t>
    </r>
  </si>
  <si>
    <r>
      <t>2024</t>
    </r>
    <r>
      <rPr>
        <sz val="10.5"/>
        <color rgb="FF000000"/>
        <rFont val="BatangChe"/>
        <family val="1"/>
        <charset val="129"/>
      </rPr>
      <t>년</t>
    </r>
    <r>
      <rPr>
        <sz val="10.5"/>
        <color rgb="FF000000"/>
        <rFont val="Times New Roman"/>
        <family val="1"/>
      </rPr>
      <t xml:space="preserve"> 8</t>
    </r>
    <r>
      <rPr>
        <sz val="10.5"/>
        <color rgb="FF000000"/>
        <rFont val="BatangChe"/>
        <family val="1"/>
        <charset val="129"/>
      </rPr>
      <t>월</t>
    </r>
    <r>
      <rPr>
        <sz val="10.5"/>
        <color rgb="FF000000"/>
        <rFont val="Times New Roman"/>
        <family val="1"/>
      </rPr>
      <t xml:space="preserve"> 13</t>
    </r>
    <r>
      <rPr>
        <sz val="10.5"/>
        <color rgb="FF000000"/>
        <rFont val="BatangChe"/>
        <family val="1"/>
        <charset val="129"/>
      </rPr>
      <t>일</t>
    </r>
  </si>
  <si>
    <r>
      <t>2024</t>
    </r>
    <r>
      <rPr>
        <sz val="10.5"/>
        <color rgb="FF000000"/>
        <rFont val="BatangChe"/>
        <family val="1"/>
        <charset val="129"/>
      </rPr>
      <t>년</t>
    </r>
    <r>
      <rPr>
        <sz val="10.5"/>
        <color rgb="FF000000"/>
        <rFont val="Times New Roman"/>
        <family val="1"/>
      </rPr>
      <t xml:space="preserve"> 11</t>
    </r>
    <r>
      <rPr>
        <sz val="10.5"/>
        <color rgb="FF000000"/>
        <rFont val="BatangChe"/>
        <family val="1"/>
        <charset val="129"/>
      </rPr>
      <t>월</t>
    </r>
    <r>
      <rPr>
        <sz val="10.5"/>
        <color rgb="FF000000"/>
        <rFont val="Times New Roman"/>
        <family val="1"/>
      </rPr>
      <t xml:space="preserve"> 13</t>
    </r>
    <r>
      <rPr>
        <sz val="10.5"/>
        <color rgb="FF000000"/>
        <rFont val="BatangChe"/>
        <family val="1"/>
        <charset val="129"/>
      </rPr>
      <t>일</t>
    </r>
  </si>
  <si>
    <r>
      <t>2025</t>
    </r>
    <r>
      <rPr>
        <sz val="10.5"/>
        <color rgb="FF000000"/>
        <rFont val="BatangChe"/>
        <family val="1"/>
        <charset val="129"/>
      </rPr>
      <t>년</t>
    </r>
    <r>
      <rPr>
        <sz val="10.5"/>
        <color rgb="FF000000"/>
        <rFont val="Times New Roman"/>
        <family val="1"/>
      </rPr>
      <t xml:space="preserve"> 2</t>
    </r>
    <r>
      <rPr>
        <sz val="10.5"/>
        <color rgb="FF000000"/>
        <rFont val="BatangChe"/>
        <family val="1"/>
        <charset val="129"/>
      </rPr>
      <t>월</t>
    </r>
    <r>
      <rPr>
        <sz val="10.5"/>
        <color rgb="FF000000"/>
        <rFont val="Times New Roman"/>
        <family val="1"/>
      </rPr>
      <t xml:space="preserve"> 13</t>
    </r>
    <r>
      <rPr>
        <sz val="10.5"/>
        <color rgb="FF000000"/>
        <rFont val="BatangChe"/>
        <family val="1"/>
        <charset val="129"/>
      </rPr>
      <t>일</t>
    </r>
    <r>
      <rPr>
        <sz val="10.5"/>
        <color rgb="FF000000"/>
        <rFont val="Times New Roman"/>
        <family val="1"/>
      </rPr>
      <t xml:space="preserve"> </t>
    </r>
  </si>
  <si>
    <r>
      <t>2025</t>
    </r>
    <r>
      <rPr>
        <sz val="10.5"/>
        <color rgb="FF000000"/>
        <rFont val="BatangChe"/>
        <family val="1"/>
        <charset val="129"/>
      </rPr>
      <t>년</t>
    </r>
    <r>
      <rPr>
        <sz val="10.5"/>
        <color rgb="FF000000"/>
        <rFont val="Times New Roman"/>
        <family val="1"/>
      </rPr>
      <t xml:space="preserve"> 5</t>
    </r>
    <r>
      <rPr>
        <sz val="10.5"/>
        <color rgb="FF000000"/>
        <rFont val="BatangChe"/>
        <family val="1"/>
        <charset val="129"/>
      </rPr>
      <t>월</t>
    </r>
    <r>
      <rPr>
        <sz val="10.5"/>
        <color rgb="FF000000"/>
        <rFont val="Times New Roman"/>
        <family val="1"/>
      </rPr>
      <t xml:space="preserve"> 13</t>
    </r>
    <r>
      <rPr>
        <sz val="10.5"/>
        <color rgb="FF000000"/>
        <rFont val="BatangChe"/>
        <family val="1"/>
        <charset val="129"/>
      </rPr>
      <t>일</t>
    </r>
  </si>
  <si>
    <r>
      <t>2025</t>
    </r>
    <r>
      <rPr>
        <sz val="10.5"/>
        <color rgb="FF000000"/>
        <rFont val="BatangChe"/>
        <family val="1"/>
        <charset val="129"/>
      </rPr>
      <t>년</t>
    </r>
    <r>
      <rPr>
        <sz val="10.5"/>
        <color rgb="FF000000"/>
        <rFont val="Times New Roman"/>
        <family val="1"/>
      </rPr>
      <t xml:space="preserve"> 8</t>
    </r>
    <r>
      <rPr>
        <sz val="10.5"/>
        <color rgb="FF000000"/>
        <rFont val="BatangChe"/>
        <family val="1"/>
        <charset val="129"/>
      </rPr>
      <t>월</t>
    </r>
    <r>
      <rPr>
        <sz val="10.5"/>
        <color rgb="FF000000"/>
        <rFont val="Times New Roman"/>
        <family val="1"/>
      </rPr>
      <t xml:space="preserve"> 13</t>
    </r>
    <r>
      <rPr>
        <sz val="10.5"/>
        <color rgb="FF000000"/>
        <rFont val="BatangChe"/>
        <family val="1"/>
        <charset val="129"/>
      </rPr>
      <t>일</t>
    </r>
  </si>
  <si>
    <r>
      <t>2025</t>
    </r>
    <r>
      <rPr>
        <sz val="10.5"/>
        <color rgb="FF000000"/>
        <rFont val="BatangChe"/>
        <family val="1"/>
        <charset val="129"/>
      </rPr>
      <t>년</t>
    </r>
    <r>
      <rPr>
        <sz val="10.5"/>
        <color rgb="FF000000"/>
        <rFont val="Times New Roman"/>
        <family val="1"/>
      </rPr>
      <t xml:space="preserve"> 11</t>
    </r>
    <r>
      <rPr>
        <sz val="10.5"/>
        <color rgb="FF000000"/>
        <rFont val="BatangChe"/>
        <family val="1"/>
        <charset val="129"/>
      </rPr>
      <t>월</t>
    </r>
    <r>
      <rPr>
        <sz val="10.5"/>
        <color rgb="FF000000"/>
        <rFont val="Times New Roman"/>
        <family val="1"/>
      </rPr>
      <t xml:space="preserve"> 13</t>
    </r>
    <r>
      <rPr>
        <sz val="10.5"/>
        <color rgb="FF000000"/>
        <rFont val="BatangChe"/>
        <family val="1"/>
        <charset val="129"/>
      </rPr>
      <t>일</t>
    </r>
  </si>
  <si>
    <r>
      <t>2026</t>
    </r>
    <r>
      <rPr>
        <sz val="10.5"/>
        <color rgb="FF000000"/>
        <rFont val="BatangChe"/>
        <family val="1"/>
        <charset val="129"/>
      </rPr>
      <t>년</t>
    </r>
    <r>
      <rPr>
        <sz val="10.5"/>
        <color rgb="FF000000"/>
        <rFont val="Times New Roman"/>
        <family val="1"/>
      </rPr>
      <t xml:space="preserve"> 2</t>
    </r>
    <r>
      <rPr>
        <sz val="10.5"/>
        <color rgb="FF000000"/>
        <rFont val="BatangChe"/>
        <family val="1"/>
        <charset val="129"/>
      </rPr>
      <t>월</t>
    </r>
    <r>
      <rPr>
        <sz val="10.5"/>
        <color rgb="FF000000"/>
        <rFont val="Times New Roman"/>
        <family val="1"/>
      </rPr>
      <t xml:space="preserve"> 13</t>
    </r>
    <r>
      <rPr>
        <sz val="10.5"/>
        <color rgb="FF000000"/>
        <rFont val="BatangChe"/>
        <family val="1"/>
        <charset val="129"/>
      </rPr>
      <t>일</t>
    </r>
    <r>
      <rPr>
        <sz val="10.5"/>
        <color rgb="FF000000"/>
        <rFont val="Times New Roman"/>
        <family val="1"/>
      </rPr>
      <t xml:space="preserve"> </t>
    </r>
  </si>
  <si>
    <r>
      <t>2026</t>
    </r>
    <r>
      <rPr>
        <sz val="10.5"/>
        <color rgb="FF000000"/>
        <rFont val="BatangChe"/>
        <family val="1"/>
        <charset val="129"/>
      </rPr>
      <t>년</t>
    </r>
    <r>
      <rPr>
        <sz val="10.5"/>
        <color rgb="FF000000"/>
        <rFont val="Times New Roman"/>
        <family val="1"/>
      </rPr>
      <t xml:space="preserve"> 5</t>
    </r>
    <r>
      <rPr>
        <sz val="10.5"/>
        <color rgb="FF000000"/>
        <rFont val="BatangChe"/>
        <family val="1"/>
        <charset val="129"/>
      </rPr>
      <t>월</t>
    </r>
    <r>
      <rPr>
        <sz val="10.5"/>
        <color rgb="FF000000"/>
        <rFont val="Times New Roman"/>
        <family val="1"/>
      </rPr>
      <t xml:space="preserve"> 13</t>
    </r>
    <r>
      <rPr>
        <sz val="10.5"/>
        <color rgb="FF000000"/>
        <rFont val="BatangChe"/>
        <family val="1"/>
        <charset val="129"/>
      </rPr>
      <t>일</t>
    </r>
  </si>
  <si>
    <r>
      <rPr>
        <b/>
        <sz val="10.5"/>
        <color rgb="FF000000"/>
        <rFont val="BatangChe"/>
        <family val="1"/>
        <charset val="129"/>
      </rPr>
      <t>합계</t>
    </r>
  </si>
  <si>
    <r>
      <t xml:space="preserve">1. PEF GP </t>
    </r>
    <r>
      <rPr>
        <b/>
        <sz val="10.5"/>
        <color rgb="FF000000"/>
        <rFont val="Malgun Gothic"/>
        <family val="2"/>
        <charset val="129"/>
      </rPr>
      <t>후취</t>
    </r>
    <r>
      <rPr>
        <b/>
        <sz val="10.5"/>
        <color rgb="FF000000"/>
        <rFont val="Times New Roman"/>
        <family val="1"/>
      </rPr>
      <t xml:space="preserve"> </t>
    </r>
    <r>
      <rPr>
        <b/>
        <sz val="10.5"/>
        <color rgb="FF000000"/>
        <rFont val="Malgun Gothic"/>
        <family val="2"/>
        <charset val="129"/>
      </rPr>
      <t>관리보수</t>
    </r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</si>
</sst>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_-* #,##0_-;\-* #,##0_-;_-* &quot;-&quot;_-;_-@_-"/>
    <numFmt numFmtId="177" formatCode="_-* #,##0.00_-;\-* #,##0.00_-;_-* &quot;-&quot;??_-;_-@_-"/>
    <numFmt numFmtId="178" formatCode="#,##0;[Red]\(#,##0\);\-"/>
    <numFmt numFmtId="179" formatCode="_-* #,##0.000_-;\-* #,##0.000_-;_-* &quot;-&quot;???_-;_-@_-"/>
    <numFmt numFmtId="180" formatCode="yyyy/mm/dd;@"/>
    <numFmt numFmtId="181" formatCode="_-* #,##0_-;\-* #,##0_-;_-* &quot;-&quot;???_-;_-@_-"/>
    <numFmt numFmtId="182" formatCode="0.0%"/>
    <numFmt numFmtId="183" formatCode="_-* #,##0.0_-;\-* #,##0.0_-;_-* &quot;-&quot;_-;_-@_-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name val="Arial Narrow"/>
      <family val="2"/>
    </font>
    <font>
      <b/>
      <sz val="10.5"/>
      <color rgb="FF000000"/>
      <name val="BatangChe"/>
      <family val="3"/>
    </font>
    <font>
      <b/>
      <sz val="10.5"/>
      <color rgb="FF000000"/>
      <name val="Times New Roman"/>
      <family val="1"/>
    </font>
    <font>
      <sz val="10.5"/>
      <color rgb="FF000000"/>
      <name val="Times New Roman"/>
      <family val="1"/>
    </font>
    <font>
      <sz val="10.5"/>
      <color rgb="FF000000"/>
      <name val="BatangChe"/>
      <family val="3"/>
    </font>
    <font>
      <sz val="10"/>
      <color rgb="FF000000"/>
      <name val="Times New Roman"/>
      <family val="1"/>
    </font>
    <font>
      <i/>
      <sz val="10.5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name val="맑은 고딕"/>
      <family val="2"/>
      <charset val="129"/>
      <scheme val="minor"/>
    </font>
    <font>
      <b/>
      <sz val="11"/>
      <color theme="1"/>
      <name val="BatangChe"/>
      <family val="1"/>
      <charset val="129"/>
    </font>
    <font>
      <b/>
      <sz val="10.5"/>
      <color rgb="FF000000"/>
      <name val="BatangChe"/>
      <family val="1"/>
      <charset val="129"/>
    </font>
    <font>
      <sz val="10.5"/>
      <color rgb="FF000000"/>
      <name val="BatangChe"/>
      <family val="1"/>
      <charset val="129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.5"/>
      <color rgb="FF000000"/>
      <name val="Malgun Gothic"/>
      <family val="2"/>
      <charset val="129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>
      <alignment vertical="center"/>
    </xf>
    <xf numFmtId="176" fontId="6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/>
    <xf numFmtId="0" fontId="1" fillId="0" borderId="0">
      <alignment vertical="center"/>
    </xf>
  </cellStyleXfs>
  <cellXfs count="123">
    <xf numFmtId="0" fontId="0" fillId="0" borderId="0" xfId="0"/>
    <xf numFmtId="178" fontId="2" fillId="0" borderId="0" xfId="0" applyNumberFormat="1" applyFont="1" applyAlignment="1">
      <alignment vertical="center"/>
    </xf>
    <xf numFmtId="178" fontId="2" fillId="0" borderId="5" xfId="0" applyNumberFormat="1" applyFont="1" applyBorder="1" applyAlignment="1">
      <alignment vertical="center"/>
    </xf>
    <xf numFmtId="180" fontId="3" fillId="2" borderId="1" xfId="0" applyNumberFormat="1" applyFont="1" applyFill="1" applyBorder="1" applyAlignment="1">
      <alignment vertical="center"/>
    </xf>
    <xf numFmtId="178" fontId="2" fillId="0" borderId="13" xfId="0" applyNumberFormat="1" applyFont="1" applyBorder="1" applyAlignment="1">
      <alignment vertical="center"/>
    </xf>
    <xf numFmtId="178" fontId="2" fillId="0" borderId="8" xfId="0" applyNumberFormat="1" applyFont="1" applyBorder="1" applyAlignment="1">
      <alignment vertical="center"/>
    </xf>
    <xf numFmtId="178" fontId="2" fillId="0" borderId="7" xfId="0" applyNumberFormat="1" applyFont="1" applyBorder="1" applyAlignment="1">
      <alignment vertical="center"/>
    </xf>
    <xf numFmtId="178" fontId="3" fillId="0" borderId="0" xfId="0" applyNumberFormat="1" applyFont="1" applyAlignment="1">
      <alignment vertical="center"/>
    </xf>
    <xf numFmtId="180" fontId="3" fillId="2" borderId="10" xfId="0" applyNumberFormat="1" applyFont="1" applyFill="1" applyBorder="1" applyAlignment="1">
      <alignment vertical="center"/>
    </xf>
    <xf numFmtId="178" fontId="2" fillId="0" borderId="3" xfId="0" applyNumberFormat="1" applyFont="1" applyBorder="1" applyAlignment="1">
      <alignment vertical="center"/>
    </xf>
    <xf numFmtId="178" fontId="2" fillId="0" borderId="2" xfId="0" applyNumberFormat="1" applyFont="1" applyBorder="1" applyAlignment="1">
      <alignment vertical="center"/>
    </xf>
    <xf numFmtId="178" fontId="2" fillId="0" borderId="1" xfId="0" applyNumberFormat="1" applyFont="1" applyBorder="1" applyAlignment="1">
      <alignment vertical="center"/>
    </xf>
    <xf numFmtId="178" fontId="2" fillId="0" borderId="10" xfId="0" applyNumberFormat="1" applyFont="1" applyBorder="1" applyAlignment="1">
      <alignment vertical="center"/>
    </xf>
    <xf numFmtId="178" fontId="2" fillId="0" borderId="12" xfId="0" applyNumberFormat="1" applyFont="1" applyBorder="1" applyAlignment="1">
      <alignment horizontal="left" vertical="center"/>
    </xf>
    <xf numFmtId="180" fontId="3" fillId="2" borderId="12" xfId="0" applyNumberFormat="1" applyFont="1" applyFill="1" applyBorder="1" applyAlignment="1">
      <alignment horizontal="left" vertical="center"/>
    </xf>
    <xf numFmtId="180" fontId="3" fillId="2" borderId="11" xfId="0" applyNumberFormat="1" applyFont="1" applyFill="1" applyBorder="1" applyAlignment="1">
      <alignment vertical="center"/>
    </xf>
    <xf numFmtId="180" fontId="3" fillId="2" borderId="10" xfId="0" applyNumberFormat="1" applyFont="1" applyFill="1" applyBorder="1" applyAlignment="1">
      <alignment horizontal="center" vertical="center"/>
    </xf>
    <xf numFmtId="180" fontId="3" fillId="2" borderId="12" xfId="0" applyNumberFormat="1" applyFont="1" applyFill="1" applyBorder="1" applyAlignment="1">
      <alignment vertical="center"/>
    </xf>
    <xf numFmtId="178" fontId="2" fillId="5" borderId="12" xfId="0" applyNumberFormat="1" applyFont="1" applyFill="1" applyBorder="1" applyAlignment="1">
      <alignment vertical="center"/>
    </xf>
    <xf numFmtId="178" fontId="2" fillId="0" borderId="0" xfId="0" applyNumberFormat="1" applyFont="1" applyAlignment="1">
      <alignment horizontal="left" vertical="center"/>
    </xf>
    <xf numFmtId="182" fontId="4" fillId="0" borderId="0" xfId="3" applyNumberFormat="1" applyFont="1" applyAlignment="1">
      <alignment vertical="center"/>
    </xf>
    <xf numFmtId="178" fontId="2" fillId="0" borderId="9" xfId="0" applyNumberFormat="1" applyFont="1" applyBorder="1" applyAlignment="1">
      <alignment horizontal="left" vertical="center"/>
    </xf>
    <xf numFmtId="178" fontId="2" fillId="0" borderId="9" xfId="0" applyNumberFormat="1" applyFont="1" applyBorder="1" applyAlignment="1">
      <alignment horizontal="right" vertical="center"/>
    </xf>
    <xf numFmtId="178" fontId="2" fillId="0" borderId="8" xfId="0" applyNumberFormat="1" applyFont="1" applyBorder="1" applyAlignment="1">
      <alignment horizontal="right" vertical="center"/>
    </xf>
    <xf numFmtId="178" fontId="2" fillId="0" borderId="7" xfId="0" applyNumberFormat="1" applyFont="1" applyBorder="1" applyAlignment="1">
      <alignment horizontal="right" vertical="center"/>
    </xf>
    <xf numFmtId="178" fontId="2" fillId="0" borderId="4" xfId="0" applyNumberFormat="1" applyFont="1" applyBorder="1" applyAlignment="1">
      <alignment horizontal="left" vertical="center"/>
    </xf>
    <xf numFmtId="178" fontId="2" fillId="0" borderId="4" xfId="0" applyNumberFormat="1" applyFont="1" applyBorder="1" applyAlignment="1">
      <alignment vertical="center"/>
    </xf>
    <xf numFmtId="178" fontId="3" fillId="0" borderId="12" xfId="0" applyNumberFormat="1" applyFont="1" applyBorder="1" applyAlignment="1">
      <alignment vertical="center"/>
    </xf>
    <xf numFmtId="178" fontId="3" fillId="0" borderId="1" xfId="0" applyNumberFormat="1" applyFont="1" applyBorder="1" applyAlignment="1">
      <alignment vertical="center"/>
    </xf>
    <xf numFmtId="178" fontId="3" fillId="0" borderId="10" xfId="0" applyNumberFormat="1" applyFont="1" applyBorder="1" applyAlignment="1">
      <alignment vertical="center"/>
    </xf>
    <xf numFmtId="10" fontId="5" fillId="0" borderId="0" xfId="3" applyNumberFormat="1" applyFont="1" applyAlignment="1">
      <alignment vertical="center"/>
    </xf>
    <xf numFmtId="178" fontId="2" fillId="0" borderId="0" xfId="0" applyNumberFormat="1" applyFont="1" applyAlignment="1">
      <alignment horizontal="left" vertical="center" indent="1"/>
    </xf>
    <xf numFmtId="178" fontId="2" fillId="0" borderId="0" xfId="0" applyNumberFormat="1" applyFont="1" applyAlignment="1">
      <alignment horizontal="left" vertical="center" indent="2"/>
    </xf>
    <xf numFmtId="178" fontId="2" fillId="0" borderId="0" xfId="0" applyNumberFormat="1" applyFont="1" applyAlignment="1">
      <alignment horizontal="left" vertical="center" indent="3"/>
    </xf>
    <xf numFmtId="178" fontId="2" fillId="0" borderId="9" xfId="0" applyNumberFormat="1" applyFont="1" applyBorder="1" applyAlignment="1">
      <alignment vertical="center"/>
    </xf>
    <xf numFmtId="178" fontId="2" fillId="0" borderId="6" xfId="0" applyNumberFormat="1" applyFont="1" applyBorder="1" applyAlignment="1">
      <alignment vertical="center"/>
    </xf>
    <xf numFmtId="178" fontId="3" fillId="0" borderId="11" xfId="0" applyNumberFormat="1" applyFont="1" applyBorder="1" applyAlignment="1">
      <alignment vertical="center"/>
    </xf>
    <xf numFmtId="10" fontId="4" fillId="5" borderId="12" xfId="3" applyNumberFormat="1" applyFont="1" applyFill="1" applyBorder="1" applyAlignment="1">
      <alignment vertical="center"/>
    </xf>
    <xf numFmtId="177" fontId="0" fillId="0" borderId="0" xfId="0" applyNumberFormat="1"/>
    <xf numFmtId="176" fontId="0" fillId="0" borderId="0" xfId="0" applyNumberFormat="1"/>
    <xf numFmtId="0" fontId="7" fillId="7" borderId="12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3" fontId="9" fillId="0" borderId="12" xfId="0" applyNumberFormat="1" applyFont="1" applyBorder="1" applyAlignment="1">
      <alignment horizontal="center" vertical="center" wrapText="1"/>
    </xf>
    <xf numFmtId="3" fontId="8" fillId="0" borderId="12" xfId="0" applyNumberFormat="1" applyFont="1" applyBorder="1" applyAlignment="1">
      <alignment horizontal="center" vertical="center" wrapText="1"/>
    </xf>
    <xf numFmtId="176" fontId="9" fillId="0" borderId="12" xfId="7" applyFont="1" applyBorder="1" applyAlignment="1">
      <alignment horizontal="right" vertical="center" wrapText="1"/>
    </xf>
    <xf numFmtId="176" fontId="8" fillId="0" borderId="12" xfId="0" applyNumberFormat="1" applyFont="1" applyBorder="1" applyAlignment="1">
      <alignment horizontal="right" vertical="center" wrapText="1"/>
    </xf>
    <xf numFmtId="178" fontId="9" fillId="0" borderId="12" xfId="7" applyNumberFormat="1" applyFont="1" applyBorder="1" applyAlignment="1">
      <alignment horizontal="right" vertical="center" wrapText="1"/>
    </xf>
    <xf numFmtId="3" fontId="8" fillId="0" borderId="0" xfId="0" applyNumberFormat="1" applyFont="1" applyAlignment="1">
      <alignment horizontal="left" vertical="center" wrapText="1"/>
    </xf>
    <xf numFmtId="3" fontId="11" fillId="0" borderId="0" xfId="0" applyNumberFormat="1" applyFont="1" applyAlignment="1">
      <alignment horizontal="right" vertical="center" wrapText="1"/>
    </xf>
    <xf numFmtId="3" fontId="9" fillId="6" borderId="0" xfId="0" applyNumberFormat="1" applyFont="1" applyFill="1" applyAlignment="1">
      <alignment horizontal="right" vertical="center" wrapText="1"/>
    </xf>
    <xf numFmtId="182" fontId="12" fillId="6" borderId="0" xfId="3" applyNumberFormat="1" applyFont="1" applyFill="1" applyBorder="1" applyAlignment="1">
      <alignment horizontal="right" vertical="center" wrapText="1"/>
    </xf>
    <xf numFmtId="0" fontId="13" fillId="0" borderId="0" xfId="1" applyFont="1">
      <alignment vertical="center"/>
    </xf>
    <xf numFmtId="0" fontId="14" fillId="0" borderId="0" xfId="1" applyFont="1">
      <alignment vertical="center"/>
    </xf>
    <xf numFmtId="176" fontId="14" fillId="0" borderId="0" xfId="2" applyFont="1">
      <alignment vertical="center"/>
    </xf>
    <xf numFmtId="0" fontId="13" fillId="0" borderId="9" xfId="1" applyFont="1" applyBorder="1">
      <alignment vertical="center"/>
    </xf>
    <xf numFmtId="176" fontId="14" fillId="0" borderId="8" xfId="1" applyNumberFormat="1" applyFont="1" applyBorder="1">
      <alignment vertical="center"/>
    </xf>
    <xf numFmtId="0" fontId="14" fillId="0" borderId="8" xfId="1" applyFont="1" applyBorder="1">
      <alignment vertical="center"/>
    </xf>
    <xf numFmtId="176" fontId="14" fillId="0" borderId="8" xfId="2" applyFont="1" applyBorder="1">
      <alignment vertical="center"/>
    </xf>
    <xf numFmtId="0" fontId="14" fillId="0" borderId="7" xfId="1" applyFont="1" applyBorder="1">
      <alignment vertical="center"/>
    </xf>
    <xf numFmtId="0" fontId="14" fillId="0" borderId="6" xfId="1" applyFont="1" applyBorder="1" applyAlignment="1">
      <alignment horizontal="left" vertical="center" indent="1"/>
    </xf>
    <xf numFmtId="176" fontId="14" fillId="0" borderId="0" xfId="1" applyNumberFormat="1" applyFont="1">
      <alignment vertical="center"/>
    </xf>
    <xf numFmtId="176" fontId="14" fillId="0" borderId="0" xfId="2" applyFont="1" applyBorder="1">
      <alignment vertical="center"/>
    </xf>
    <xf numFmtId="0" fontId="14" fillId="0" borderId="5" xfId="1" applyFont="1" applyBorder="1">
      <alignment vertical="center"/>
    </xf>
    <xf numFmtId="0" fontId="14" fillId="0" borderId="6" xfId="1" applyFont="1" applyBorder="1" applyAlignment="1">
      <alignment horizontal="left" vertical="center" indent="2"/>
    </xf>
    <xf numFmtId="0" fontId="13" fillId="0" borderId="6" xfId="1" applyFont="1" applyBorder="1">
      <alignment vertical="center"/>
    </xf>
    <xf numFmtId="14" fontId="14" fillId="0" borderId="0" xfId="1" applyNumberFormat="1" applyFont="1" applyAlignment="1">
      <alignment horizontal="left" vertical="center"/>
    </xf>
    <xf numFmtId="10" fontId="14" fillId="0" borderId="0" xfId="1" applyNumberFormat="1" applyFont="1">
      <alignment vertical="center"/>
    </xf>
    <xf numFmtId="0" fontId="13" fillId="0" borderId="4" xfId="1" applyFont="1" applyBorder="1">
      <alignment vertical="center"/>
    </xf>
    <xf numFmtId="176" fontId="14" fillId="0" borderId="3" xfId="1" applyNumberFormat="1" applyFont="1" applyBorder="1">
      <alignment vertical="center"/>
    </xf>
    <xf numFmtId="0" fontId="14" fillId="0" borderId="3" xfId="1" applyFont="1" applyBorder="1">
      <alignment vertical="center"/>
    </xf>
    <xf numFmtId="176" fontId="14" fillId="0" borderId="3" xfId="2" applyFont="1" applyBorder="1">
      <alignment vertical="center"/>
    </xf>
    <xf numFmtId="0" fontId="14" fillId="0" borderId="2" xfId="1" applyFont="1" applyBorder="1">
      <alignment vertical="center"/>
    </xf>
    <xf numFmtId="0" fontId="13" fillId="4" borderId="11" xfId="1" applyFont="1" applyFill="1" applyBorder="1" applyAlignment="1">
      <alignment horizontal="center" vertical="center"/>
    </xf>
    <xf numFmtId="0" fontId="13" fillId="4" borderId="1" xfId="1" applyFont="1" applyFill="1" applyBorder="1" applyAlignment="1">
      <alignment horizontal="center" vertical="center"/>
    </xf>
    <xf numFmtId="176" fontId="13" fillId="4" borderId="1" xfId="2" applyFont="1" applyFill="1" applyBorder="1" applyAlignment="1">
      <alignment horizontal="center" vertical="center"/>
    </xf>
    <xf numFmtId="0" fontId="13" fillId="4" borderId="10" xfId="1" applyFont="1" applyFill="1" applyBorder="1" applyAlignment="1">
      <alignment horizontal="center" vertical="center"/>
    </xf>
    <xf numFmtId="14" fontId="14" fillId="0" borderId="6" xfId="1" applyNumberFormat="1" applyFont="1" applyBorder="1">
      <alignment vertical="center"/>
    </xf>
    <xf numFmtId="0" fontId="13" fillId="0" borderId="5" xfId="1" applyFont="1" applyBorder="1">
      <alignment vertical="center"/>
    </xf>
    <xf numFmtId="14" fontId="13" fillId="3" borderId="6" xfId="1" applyNumberFormat="1" applyFont="1" applyFill="1" applyBorder="1">
      <alignment vertical="center"/>
    </xf>
    <xf numFmtId="176" fontId="13" fillId="3" borderId="0" xfId="1" applyNumberFormat="1" applyFont="1" applyFill="1">
      <alignment vertical="center"/>
    </xf>
    <xf numFmtId="176" fontId="13" fillId="3" borderId="0" xfId="2" applyFont="1" applyFill="1" applyBorder="1">
      <alignment vertical="center"/>
    </xf>
    <xf numFmtId="0" fontId="14" fillId="3" borderId="0" xfId="1" applyFont="1" applyFill="1">
      <alignment vertical="center"/>
    </xf>
    <xf numFmtId="176" fontId="13" fillId="3" borderId="5" xfId="1" applyNumberFormat="1" applyFont="1" applyFill="1" applyBorder="1">
      <alignment vertical="center"/>
    </xf>
    <xf numFmtId="179" fontId="14" fillId="0" borderId="0" xfId="1" applyNumberFormat="1" applyFont="1">
      <alignment vertical="center"/>
    </xf>
    <xf numFmtId="181" fontId="14" fillId="0" borderId="0" xfId="1" applyNumberFormat="1" applyFont="1">
      <alignment vertical="center"/>
    </xf>
    <xf numFmtId="14" fontId="13" fillId="3" borderId="4" xfId="1" applyNumberFormat="1" applyFont="1" applyFill="1" applyBorder="1">
      <alignment vertical="center"/>
    </xf>
    <xf numFmtId="176" fontId="13" fillId="3" borderId="3" xfId="1" applyNumberFormat="1" applyFont="1" applyFill="1" applyBorder="1">
      <alignment vertical="center"/>
    </xf>
    <xf numFmtId="176" fontId="13" fillId="3" borderId="3" xfId="2" applyFont="1" applyFill="1" applyBorder="1">
      <alignment vertical="center"/>
    </xf>
    <xf numFmtId="0" fontId="14" fillId="3" borderId="3" xfId="1" applyFont="1" applyFill="1" applyBorder="1">
      <alignment vertical="center"/>
    </xf>
    <xf numFmtId="176" fontId="13" fillId="3" borderId="2" xfId="1" applyNumberFormat="1" applyFont="1" applyFill="1" applyBorder="1">
      <alignment vertical="center"/>
    </xf>
    <xf numFmtId="176" fontId="14" fillId="0" borderId="0" xfId="7" applyFont="1" applyAlignment="1">
      <alignment vertical="center"/>
    </xf>
    <xf numFmtId="3" fontId="0" fillId="0" borderId="0" xfId="0" applyNumberFormat="1"/>
    <xf numFmtId="176" fontId="0" fillId="0" borderId="0" xfId="7" applyFont="1"/>
    <xf numFmtId="183" fontId="0" fillId="0" borderId="0" xfId="7" applyNumberFormat="1" applyFont="1"/>
    <xf numFmtId="0" fontId="9" fillId="0" borderId="0" xfId="0" applyFont="1" applyAlignment="1">
      <alignment horizontal="left" vertical="center" wrapText="1"/>
    </xf>
    <xf numFmtId="178" fontId="0" fillId="0" borderId="0" xfId="0" applyNumberFormat="1"/>
    <xf numFmtId="176" fontId="9" fillId="0" borderId="0" xfId="7" applyFont="1" applyBorder="1" applyAlignment="1">
      <alignment horizontal="right" vertical="center" wrapText="1"/>
    </xf>
    <xf numFmtId="0" fontId="9" fillId="0" borderId="11" xfId="0" applyFont="1" applyBorder="1" applyAlignment="1">
      <alignment horizontal="center" vertical="center" wrapText="1"/>
    </xf>
    <xf numFmtId="0" fontId="19" fillId="0" borderId="0" xfId="0" applyFont="1"/>
    <xf numFmtId="0" fontId="20" fillId="0" borderId="0" xfId="0" applyFont="1"/>
    <xf numFmtId="176" fontId="20" fillId="0" borderId="0" xfId="0" applyNumberFormat="1" applyFont="1"/>
    <xf numFmtId="0" fontId="19" fillId="8" borderId="11" xfId="0" applyFont="1" applyFill="1" applyBorder="1" applyAlignment="1">
      <alignment horizontal="center"/>
    </xf>
    <xf numFmtId="0" fontId="19" fillId="8" borderId="1" xfId="0" applyFont="1" applyFill="1" applyBorder="1" applyAlignment="1">
      <alignment horizontal="center"/>
    </xf>
    <xf numFmtId="0" fontId="19" fillId="8" borderId="10" xfId="0" applyFont="1" applyFill="1" applyBorder="1" applyAlignment="1">
      <alignment horizontal="center"/>
    </xf>
    <xf numFmtId="178" fontId="20" fillId="0" borderId="6" xfId="0" applyNumberFormat="1" applyFont="1" applyBorder="1"/>
    <xf numFmtId="178" fontId="20" fillId="0" borderId="0" xfId="0" applyNumberFormat="1" applyFont="1"/>
    <xf numFmtId="178" fontId="20" fillId="0" borderId="5" xfId="0" applyNumberFormat="1" applyFont="1" applyBorder="1"/>
    <xf numFmtId="178" fontId="20" fillId="0" borderId="9" xfId="0" applyNumberFormat="1" applyFont="1" applyBorder="1"/>
    <xf numFmtId="178" fontId="20" fillId="0" borderId="4" xfId="0" applyNumberFormat="1" applyFont="1" applyBorder="1"/>
    <xf numFmtId="178" fontId="20" fillId="0" borderId="3" xfId="0" applyNumberFormat="1" applyFont="1" applyBorder="1"/>
    <xf numFmtId="178" fontId="20" fillId="0" borderId="2" xfId="0" applyNumberFormat="1" applyFont="1" applyBorder="1"/>
    <xf numFmtId="178" fontId="19" fillId="0" borderId="11" xfId="0" applyNumberFormat="1" applyFont="1" applyBorder="1"/>
    <xf numFmtId="178" fontId="19" fillId="0" borderId="1" xfId="0" applyNumberFormat="1" applyFont="1" applyBorder="1"/>
    <xf numFmtId="178" fontId="19" fillId="0" borderId="10" xfId="0" applyNumberFormat="1" applyFont="1" applyBorder="1"/>
    <xf numFmtId="0" fontId="7" fillId="0" borderId="0" xfId="0" applyFont="1" applyAlignment="1">
      <alignment horizontal="center" vertical="center" wrapText="1"/>
    </xf>
    <xf numFmtId="0" fontId="19" fillId="8" borderId="11" xfId="0" applyFont="1" applyFill="1" applyBorder="1" applyAlignment="1">
      <alignment horizontal="center"/>
    </xf>
    <xf numFmtId="0" fontId="19" fillId="8" borderId="1" xfId="0" applyFont="1" applyFill="1" applyBorder="1" applyAlignment="1">
      <alignment horizontal="center"/>
    </xf>
    <xf numFmtId="0" fontId="19" fillId="8" borderId="10" xfId="0" applyFont="1" applyFill="1" applyBorder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</cellXfs>
  <cellStyles count="9">
    <cellStyle name="백분율" xfId="3" builtinId="5"/>
    <cellStyle name="쉼표 [0]" xfId="7" builtinId="6"/>
    <cellStyle name="쉼표 [0] 2 3" xfId="5" xr:uid="{EDFCD5BC-2DF4-47FA-901B-543FA980B0C8}"/>
    <cellStyle name="쉼표 [0] 8" xfId="6" xr:uid="{DB45D272-6E41-41C5-B2E0-DF24895D77E0}"/>
    <cellStyle name="표준" xfId="0" builtinId="0"/>
    <cellStyle name="표준 10" xfId="4" xr:uid="{F0D28CF8-0B53-45A7-91D4-674DC9C399CA}"/>
    <cellStyle name="Comma [0] 2" xfId="2" xr:uid="{E3209936-489B-41EB-AEC1-FC5282513247}"/>
    <cellStyle name="Normal 2" xfId="1" xr:uid="{3D6E0E80-8102-473B-B0A6-F19F73A76B03}"/>
    <cellStyle name="Normal 3" xfId="8" xr:uid="{D7E0C782-5A76-4851-B091-79538CF5CD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228600</xdr:colOff>
      <xdr:row>5</xdr:row>
      <xdr:rowOff>120650</xdr:rowOff>
    </xdr:from>
    <xdr:to>
      <xdr:col>31</xdr:col>
      <xdr:colOff>134109</xdr:colOff>
      <xdr:row>28</xdr:row>
      <xdr:rowOff>78908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26D07F-D200-A729-E770-8E4FE27FD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91933" y="1020233"/>
          <a:ext cx="5430009" cy="4255092"/>
        </a:xfrm>
        <a:prstGeom prst="rect">
          <a:avLst/>
        </a:prstGeom>
      </xdr:spPr>
    </xdr:pic>
    <xdr:clientData/>
  </xdr:twoCellAnchor>
  <xdr:twoCellAnchor editAs="oneCell">
    <xdr:from>
      <xdr:col>13</xdr:col>
      <xdr:colOff>958850</xdr:colOff>
      <xdr:row>27</xdr:row>
      <xdr:rowOff>162983</xdr:rowOff>
    </xdr:from>
    <xdr:to>
      <xdr:col>20</xdr:col>
      <xdr:colOff>411295</xdr:colOff>
      <xdr:row>58</xdr:row>
      <xdr:rowOff>50525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F5C975-8743-482B-A1A3-79DE290F8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02850" y="5179483"/>
          <a:ext cx="4737761" cy="5623709"/>
        </a:xfrm>
        <a:prstGeom prst="rect">
          <a:avLst/>
        </a:prstGeom>
      </xdr:spPr>
    </xdr:pic>
    <xdr:clientData/>
  </xdr:twoCellAnchor>
  <xdr:twoCellAnchor editAs="oneCell">
    <xdr:from>
      <xdr:col>13</xdr:col>
      <xdr:colOff>1011766</xdr:colOff>
      <xdr:row>4</xdr:row>
      <xdr:rowOff>134408</xdr:rowOff>
    </xdr:from>
    <xdr:to>
      <xdr:col>21</xdr:col>
      <xdr:colOff>352098</xdr:colOff>
      <xdr:row>26</xdr:row>
      <xdr:rowOff>94761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07F7FE7-9177-87DF-38D9-BDE565AD6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55766" y="854075"/>
          <a:ext cx="5242656" cy="40772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673C6-62E0-480E-91C8-EE47653BFC17}">
  <dimension ref="B2:J31"/>
  <sheetViews>
    <sheetView showGridLines="0" tabSelected="1" view="pageBreakPreview" zoomScaleNormal="85" zoomScaleSheetLayoutView="100" workbookViewId="0">
      <selection activeCell="C37" sqref="C37"/>
    </sheetView>
  </sheetViews>
  <sheetFormatPr baseColWidth="10" defaultColWidth="9" defaultRowHeight="18" customHeight="1"/>
  <cols>
    <col min="1" max="1" width="3.1640625" style="52" customWidth="1"/>
    <col min="2" max="2" width="28.83203125" style="52" customWidth="1"/>
    <col min="3" max="4" width="18.1640625" style="52" customWidth="1"/>
    <col min="5" max="5" width="18.1640625" style="53" customWidth="1"/>
    <col min="6" max="7" width="18.1640625" style="52" customWidth="1"/>
    <col min="8" max="8" width="4.33203125" style="52" customWidth="1"/>
    <col min="9" max="10" width="18.1640625" style="52" customWidth="1"/>
    <col min="11" max="11" width="23.1640625" style="52" customWidth="1"/>
    <col min="12" max="25" width="12.6640625" style="52" customWidth="1"/>
    <col min="26" max="16384" width="9" style="52"/>
  </cols>
  <sheetData>
    <row r="2" spans="2:7" ht="18" customHeight="1">
      <c r="B2" s="51" t="s">
        <v>46</v>
      </c>
    </row>
    <row r="3" spans="2:7" ht="18" customHeight="1">
      <c r="B3" s="54" t="s">
        <v>10</v>
      </c>
      <c r="C3" s="55">
        <f>C4+C5+C6</f>
        <v>177904770000</v>
      </c>
      <c r="D3" s="56"/>
      <c r="E3" s="57"/>
      <c r="F3" s="56"/>
      <c r="G3" s="58"/>
    </row>
    <row r="4" spans="2:7" ht="18" customHeight="1">
      <c r="B4" s="59" t="s">
        <v>16</v>
      </c>
      <c r="C4" s="60">
        <v>177700000000</v>
      </c>
      <c r="E4" s="61"/>
      <c r="G4" s="62"/>
    </row>
    <row r="5" spans="2:7" ht="18" customHeight="1">
      <c r="B5" s="59" t="s">
        <v>17</v>
      </c>
      <c r="C5" s="60">
        <f>C4*0.01%</f>
        <v>17770000</v>
      </c>
      <c r="E5" s="61"/>
      <c r="G5" s="62"/>
    </row>
    <row r="6" spans="2:7" ht="18" customHeight="1">
      <c r="B6" s="59" t="s">
        <v>18</v>
      </c>
      <c r="C6" s="60">
        <f>SUM(C7:C10)</f>
        <v>187000000</v>
      </c>
      <c r="E6" s="61"/>
      <c r="G6" s="62"/>
    </row>
    <row r="7" spans="2:7" ht="18" customHeight="1">
      <c r="B7" s="63" t="s">
        <v>19</v>
      </c>
      <c r="C7" s="60">
        <f>38000000*1.1</f>
        <v>41800000</v>
      </c>
      <c r="E7" s="61"/>
      <c r="G7" s="62"/>
    </row>
    <row r="8" spans="2:7" ht="18" customHeight="1">
      <c r="B8" s="63" t="s">
        <v>20</v>
      </c>
      <c r="C8" s="60">
        <f>12000000*1.1</f>
        <v>13200000.000000002</v>
      </c>
      <c r="E8" s="61"/>
      <c r="G8" s="62"/>
    </row>
    <row r="9" spans="2:7" ht="18" customHeight="1">
      <c r="B9" s="63" t="s">
        <v>21</v>
      </c>
      <c r="C9" s="60">
        <f>80000000*1.1</f>
        <v>88000000</v>
      </c>
      <c r="E9" s="61"/>
      <c r="G9" s="62"/>
    </row>
    <row r="10" spans="2:7" ht="18" customHeight="1">
      <c r="B10" s="63" t="s">
        <v>22</v>
      </c>
      <c r="C10" s="60">
        <f>40000000*1.1</f>
        <v>44000000</v>
      </c>
      <c r="E10" s="61"/>
      <c r="G10" s="62"/>
    </row>
    <row r="11" spans="2:7" ht="18" customHeight="1">
      <c r="B11" s="64" t="s">
        <v>6</v>
      </c>
      <c r="C11" s="65">
        <v>46155</v>
      </c>
      <c r="E11" s="61"/>
      <c r="G11" s="62"/>
    </row>
    <row r="12" spans="2:7" ht="18" customHeight="1">
      <c r="B12" s="64" t="s">
        <v>5</v>
      </c>
      <c r="C12" s="65">
        <v>44970</v>
      </c>
      <c r="E12" s="61"/>
      <c r="G12" s="62"/>
    </row>
    <row r="13" spans="2:7" ht="18" customHeight="1">
      <c r="B13" s="64" t="s">
        <v>4</v>
      </c>
      <c r="C13" s="66">
        <v>0.04</v>
      </c>
      <c r="E13" s="61"/>
      <c r="G13" s="62"/>
    </row>
    <row r="14" spans="2:7" ht="18" customHeight="1">
      <c r="B14" s="64" t="s">
        <v>47</v>
      </c>
      <c r="C14" s="52" t="s">
        <v>7</v>
      </c>
      <c r="E14" s="61"/>
      <c r="G14" s="62"/>
    </row>
    <row r="15" spans="2:7" ht="18" customHeight="1">
      <c r="B15" s="67" t="s">
        <v>8</v>
      </c>
      <c r="C15" s="68" t="s">
        <v>45</v>
      </c>
      <c r="D15" s="69"/>
      <c r="E15" s="70"/>
      <c r="F15" s="69"/>
      <c r="G15" s="71"/>
    </row>
    <row r="17" spans="2:10" ht="18" customHeight="1">
      <c r="B17" s="72" t="s">
        <v>0</v>
      </c>
      <c r="C17" s="73" t="s">
        <v>3</v>
      </c>
      <c r="D17" s="74" t="s">
        <v>2</v>
      </c>
      <c r="E17" s="73" t="s">
        <v>1</v>
      </c>
      <c r="F17" s="73" t="s">
        <v>0</v>
      </c>
      <c r="G17" s="75" t="s">
        <v>11</v>
      </c>
    </row>
    <row r="18" spans="2:10" ht="18" customHeight="1">
      <c r="B18" s="76">
        <v>44970</v>
      </c>
      <c r="C18" s="60">
        <f>C3</f>
        <v>177904770000</v>
      </c>
      <c r="D18" s="61"/>
      <c r="E18" s="61"/>
      <c r="G18" s="77"/>
    </row>
    <row r="19" spans="2:10" ht="18" customHeight="1">
      <c r="B19" s="78">
        <v>45059</v>
      </c>
      <c r="C19" s="79">
        <f t="shared" ref="C19:C31" si="0">C18-D19</f>
        <v>173904770000</v>
      </c>
      <c r="D19" s="80">
        <v>4000000000</v>
      </c>
      <c r="E19" s="80">
        <f>ROUND(C18*(B19-B18)/365*$C$13,0)</f>
        <v>1735180770</v>
      </c>
      <c r="F19" s="81">
        <f t="shared" ref="F19:F31" si="1">B19-B18</f>
        <v>89</v>
      </c>
      <c r="G19" s="82">
        <f>SUM(D19,E19:E22)</f>
        <v>10995204499</v>
      </c>
      <c r="H19" s="83"/>
      <c r="I19" s="90"/>
      <c r="J19" s="60"/>
    </row>
    <row r="20" spans="2:10" ht="18" customHeight="1">
      <c r="B20" s="76">
        <v>45151</v>
      </c>
      <c r="C20" s="60">
        <f t="shared" si="0"/>
        <v>173904770000</v>
      </c>
      <c r="D20" s="61"/>
      <c r="E20" s="61">
        <f t="shared" ref="E20:E22" si="2">ROUND(C19*(B20-B19)/365*$C$13,0)</f>
        <v>1753341243</v>
      </c>
      <c r="F20" s="52">
        <f t="shared" si="1"/>
        <v>92</v>
      </c>
      <c r="G20" s="77"/>
      <c r="I20" s="90"/>
      <c r="J20" s="60"/>
    </row>
    <row r="21" spans="2:10" ht="18" customHeight="1">
      <c r="B21" s="76">
        <v>45243</v>
      </c>
      <c r="C21" s="60">
        <f t="shared" si="0"/>
        <v>173904770000</v>
      </c>
      <c r="D21" s="61"/>
      <c r="E21" s="61">
        <f t="shared" si="2"/>
        <v>1753341243</v>
      </c>
      <c r="F21" s="52">
        <f t="shared" si="1"/>
        <v>92</v>
      </c>
      <c r="G21" s="77"/>
      <c r="I21" s="90"/>
      <c r="J21" s="60"/>
    </row>
    <row r="22" spans="2:10" ht="18" customHeight="1">
      <c r="B22" s="76">
        <v>45335</v>
      </c>
      <c r="C22" s="60">
        <f t="shared" si="0"/>
        <v>173904770000</v>
      </c>
      <c r="D22" s="61"/>
      <c r="E22" s="61">
        <f t="shared" si="2"/>
        <v>1753341243</v>
      </c>
      <c r="F22" s="52">
        <f t="shared" si="1"/>
        <v>92</v>
      </c>
      <c r="G22" s="77"/>
      <c r="I22" s="90"/>
      <c r="J22" s="60"/>
    </row>
    <row r="23" spans="2:10" ht="18" customHeight="1">
      <c r="B23" s="78">
        <v>45425</v>
      </c>
      <c r="C23" s="79">
        <f t="shared" si="0"/>
        <v>169804770000</v>
      </c>
      <c r="D23" s="80">
        <v>4100000000</v>
      </c>
      <c r="E23" s="80">
        <f>ROUND(C22*(B23-B22)/366*$C$13,0)</f>
        <v>1710538721</v>
      </c>
      <c r="F23" s="81">
        <f t="shared" si="1"/>
        <v>90</v>
      </c>
      <c r="G23" s="82">
        <f>SUM(D23,E23:E26)</f>
        <v>10932518668</v>
      </c>
      <c r="H23" s="84"/>
      <c r="I23" s="90"/>
      <c r="J23" s="60"/>
    </row>
    <row r="24" spans="2:10" ht="18" customHeight="1">
      <c r="B24" s="76">
        <v>45517</v>
      </c>
      <c r="C24" s="60">
        <f t="shared" si="0"/>
        <v>169804770000</v>
      </c>
      <c r="D24" s="61"/>
      <c r="E24" s="61">
        <f t="shared" ref="E24:E26" si="3">ROUND(C23*(B24-B23)/366*$C$13,0)</f>
        <v>1707326649</v>
      </c>
      <c r="F24" s="52">
        <f t="shared" si="1"/>
        <v>92</v>
      </c>
      <c r="G24" s="77"/>
      <c r="I24" s="90"/>
      <c r="J24" s="60"/>
    </row>
    <row r="25" spans="2:10" ht="18" customHeight="1">
      <c r="B25" s="76">
        <v>45609</v>
      </c>
      <c r="C25" s="60">
        <f t="shared" si="0"/>
        <v>169804770000</v>
      </c>
      <c r="D25" s="61"/>
      <c r="E25" s="61">
        <f t="shared" si="3"/>
        <v>1707326649</v>
      </c>
      <c r="F25" s="52">
        <f t="shared" si="1"/>
        <v>92</v>
      </c>
      <c r="G25" s="77"/>
      <c r="I25" s="90"/>
      <c r="J25" s="60"/>
    </row>
    <row r="26" spans="2:10" ht="18" customHeight="1">
      <c r="B26" s="76">
        <v>45701</v>
      </c>
      <c r="C26" s="60">
        <f t="shared" si="0"/>
        <v>169804770000</v>
      </c>
      <c r="D26" s="61"/>
      <c r="E26" s="61">
        <f t="shared" si="3"/>
        <v>1707326649</v>
      </c>
      <c r="F26" s="52">
        <f t="shared" si="1"/>
        <v>92</v>
      </c>
      <c r="G26" s="77"/>
      <c r="I26" s="90"/>
      <c r="J26" s="60"/>
    </row>
    <row r="27" spans="2:10" ht="18" customHeight="1">
      <c r="B27" s="78">
        <v>45790</v>
      </c>
      <c r="C27" s="79">
        <f t="shared" si="0"/>
        <v>165604770000</v>
      </c>
      <c r="D27" s="80">
        <v>4200000000</v>
      </c>
      <c r="E27" s="80">
        <f>ROUND(C26*(B27-B26)/365*$C$13,0)</f>
        <v>1656178031</v>
      </c>
      <c r="F27" s="81">
        <f t="shared" si="1"/>
        <v>89</v>
      </c>
      <c r="G27" s="82">
        <f>SUM(D27,E27:E30)</f>
        <v>10865155184</v>
      </c>
      <c r="H27" s="84"/>
      <c r="I27" s="90"/>
      <c r="J27" s="60"/>
    </row>
    <row r="28" spans="2:10" ht="18" customHeight="1">
      <c r="B28" s="76">
        <v>45882</v>
      </c>
      <c r="C28" s="60">
        <f t="shared" si="0"/>
        <v>165604770000</v>
      </c>
      <c r="D28" s="61"/>
      <c r="E28" s="61">
        <f>ROUND(C27*(B28-B27)/365*$C$13,0)</f>
        <v>1669659051</v>
      </c>
      <c r="F28" s="52">
        <f t="shared" si="1"/>
        <v>92</v>
      </c>
      <c r="G28" s="77"/>
      <c r="I28" s="90"/>
      <c r="J28" s="60"/>
    </row>
    <row r="29" spans="2:10" ht="18" customHeight="1">
      <c r="B29" s="76">
        <v>45974</v>
      </c>
      <c r="C29" s="60">
        <f t="shared" si="0"/>
        <v>165604770000</v>
      </c>
      <c r="D29" s="61"/>
      <c r="E29" s="61">
        <f t="shared" ref="E29:E30" si="4">ROUND(C28*(B29-B28)/365*$C$13,0)</f>
        <v>1669659051</v>
      </c>
      <c r="F29" s="52">
        <f t="shared" si="1"/>
        <v>92</v>
      </c>
      <c r="G29" s="77"/>
      <c r="I29" s="90"/>
      <c r="J29" s="60"/>
    </row>
    <row r="30" spans="2:10" ht="18" customHeight="1">
      <c r="B30" s="76">
        <v>46066</v>
      </c>
      <c r="C30" s="60">
        <f t="shared" si="0"/>
        <v>165604770000</v>
      </c>
      <c r="D30" s="61"/>
      <c r="E30" s="61">
        <f t="shared" si="4"/>
        <v>1669659051</v>
      </c>
      <c r="F30" s="52">
        <f t="shared" si="1"/>
        <v>92</v>
      </c>
      <c r="G30" s="77"/>
      <c r="I30" s="90"/>
      <c r="J30" s="60"/>
    </row>
    <row r="31" spans="2:10" ht="18" customHeight="1">
      <c r="B31" s="85">
        <v>46155</v>
      </c>
      <c r="C31" s="86">
        <f t="shared" si="0"/>
        <v>0</v>
      </c>
      <c r="D31" s="87">
        <f>C30</f>
        <v>165604770000</v>
      </c>
      <c r="E31" s="87">
        <f>ROUND(C30*(B31-B30)/365*$C$13,0)</f>
        <v>1615213647</v>
      </c>
      <c r="F31" s="88">
        <f t="shared" si="1"/>
        <v>89</v>
      </c>
      <c r="G31" s="89">
        <f>SUM(D31:E31)</f>
        <v>167219983647</v>
      </c>
      <c r="H31" s="83"/>
      <c r="I31" s="90"/>
      <c r="J31" s="60"/>
    </row>
  </sheetData>
  <dataConsolidate/>
  <phoneticPr fontId="15" type="noConversion"/>
  <pageMargins left="0.70866141732283472" right="0.70866141732283472" top="0.74803149606299213" bottom="0.74803149606299213" header="0.31496062992125984" footer="0.31496062992125984"/>
  <pageSetup paperSize="9" scale="61" fitToWidth="0" fitToHeight="0" orientation="portrait" r:id="rId1"/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F983B-0F0C-4C17-9172-C83E63E6BD43}">
  <dimension ref="B3:P47"/>
  <sheetViews>
    <sheetView showGridLines="0" topLeftCell="A27" zoomScaleNormal="100" workbookViewId="0">
      <selection activeCell="A50" sqref="A50:XFD51"/>
    </sheetView>
  </sheetViews>
  <sheetFormatPr baseColWidth="10" defaultColWidth="8.83203125" defaultRowHeight="13"/>
  <cols>
    <col min="1" max="1" width="2.83203125" style="1" customWidth="1"/>
    <col min="2" max="2" width="28.83203125" style="1" customWidth="1"/>
    <col min="3" max="16" width="20.6640625" style="1" customWidth="1"/>
    <col min="17" max="16384" width="8.83203125" style="1"/>
  </cols>
  <sheetData>
    <row r="3" spans="2:4">
      <c r="B3" s="7" t="s">
        <v>36</v>
      </c>
    </row>
    <row r="4" spans="2:4">
      <c r="B4" s="1" t="s">
        <v>38</v>
      </c>
      <c r="C4" s="37">
        <v>6.9999999999999999E-4</v>
      </c>
    </row>
    <row r="5" spans="2:4">
      <c r="B5" s="1" t="s">
        <v>39</v>
      </c>
      <c r="C5" s="18">
        <f>C6+C14</f>
        <v>178004770000</v>
      </c>
      <c r="D5" s="1" t="s">
        <v>14</v>
      </c>
    </row>
    <row r="6" spans="2:4">
      <c r="B6" s="31" t="s">
        <v>37</v>
      </c>
      <c r="C6" s="1">
        <f>SUM(C7:C9)</f>
        <v>177904770000</v>
      </c>
      <c r="D6" s="1" t="s">
        <v>14</v>
      </c>
    </row>
    <row r="7" spans="2:4">
      <c r="B7" s="32" t="s">
        <v>16</v>
      </c>
      <c r="C7" s="1">
        <f>'대출채권 원리금 상환 스케쥴'!C4</f>
        <v>177700000000</v>
      </c>
      <c r="D7" s="1" t="s">
        <v>14</v>
      </c>
    </row>
    <row r="8" spans="2:4">
      <c r="B8" s="32" t="s">
        <v>17</v>
      </c>
      <c r="C8" s="1">
        <f>C7*0.01%</f>
        <v>17770000</v>
      </c>
      <c r="D8" s="1" t="s">
        <v>14</v>
      </c>
    </row>
    <row r="9" spans="2:4">
      <c r="B9" s="32" t="s">
        <v>18</v>
      </c>
      <c r="C9" s="1">
        <f>SUM(C10:C13)</f>
        <v>187000000</v>
      </c>
      <c r="D9" s="1" t="s">
        <v>14</v>
      </c>
    </row>
    <row r="10" spans="2:4">
      <c r="B10" s="33" t="s">
        <v>19</v>
      </c>
      <c r="C10" s="1">
        <f>'대출채권 원리금 상환 스케쥴'!C7</f>
        <v>41800000</v>
      </c>
      <c r="D10" s="1" t="s">
        <v>14</v>
      </c>
    </row>
    <row r="11" spans="2:4">
      <c r="B11" s="33" t="s">
        <v>20</v>
      </c>
      <c r="C11" s="1">
        <f>'대출채권 원리금 상환 스케쥴'!C8</f>
        <v>13200000.000000002</v>
      </c>
      <c r="D11" s="1" t="s">
        <v>14</v>
      </c>
    </row>
    <row r="12" spans="2:4">
      <c r="B12" s="33" t="s">
        <v>21</v>
      </c>
      <c r="C12" s="1">
        <f>'대출채권 원리금 상환 스케쥴'!C9</f>
        <v>88000000</v>
      </c>
      <c r="D12" s="1" t="s">
        <v>14</v>
      </c>
    </row>
    <row r="13" spans="2:4">
      <c r="B13" s="33" t="s">
        <v>22</v>
      </c>
      <c r="C13" s="1">
        <f>'대출채권 원리금 상환 스케쥴'!C10</f>
        <v>44000000</v>
      </c>
      <c r="D13" s="1" t="s">
        <v>14</v>
      </c>
    </row>
    <row r="14" spans="2:4">
      <c r="B14" s="31" t="s">
        <v>50</v>
      </c>
      <c r="C14" s="1">
        <v>100000000</v>
      </c>
      <c r="D14" s="1" t="s">
        <v>14</v>
      </c>
    </row>
    <row r="15" spans="2:4">
      <c r="B15" s="1" t="s">
        <v>72</v>
      </c>
      <c r="C15" s="18">
        <v>100000000</v>
      </c>
      <c r="D15" s="1" t="s">
        <v>14</v>
      </c>
    </row>
    <row r="16" spans="2:4">
      <c r="B16" s="1" t="s">
        <v>73</v>
      </c>
      <c r="C16" s="18">
        <f>C17+C18</f>
        <v>177904770000</v>
      </c>
      <c r="D16" s="1" t="s">
        <v>14</v>
      </c>
    </row>
    <row r="17" spans="2:16">
      <c r="B17" s="31" t="s">
        <v>15</v>
      </c>
      <c r="C17" s="18">
        <v>120000000000</v>
      </c>
      <c r="D17" s="1" t="s">
        <v>14</v>
      </c>
    </row>
    <row r="18" spans="2:16">
      <c r="B18" s="31" t="s">
        <v>12</v>
      </c>
      <c r="C18" s="18">
        <f>C5-C17-C15</f>
        <v>57904770000</v>
      </c>
      <c r="D18" s="1" t="s">
        <v>14</v>
      </c>
    </row>
    <row r="19" spans="2:16">
      <c r="C19" s="20"/>
    </row>
    <row r="20" spans="2:16">
      <c r="B20" s="7" t="s">
        <v>40</v>
      </c>
    </row>
    <row r="21" spans="2:16">
      <c r="B21" s="1" t="s">
        <v>41</v>
      </c>
    </row>
    <row r="22" spans="2:16">
      <c r="B22" s="17" t="s">
        <v>13</v>
      </c>
      <c r="C22" s="3">
        <v>44970</v>
      </c>
      <c r="D22" s="3">
        <v>45059</v>
      </c>
      <c r="E22" s="3">
        <v>45425</v>
      </c>
      <c r="F22" s="3">
        <v>45790</v>
      </c>
      <c r="G22" s="8">
        <v>46155</v>
      </c>
    </row>
    <row r="23" spans="2:16">
      <c r="B23" s="13" t="s">
        <v>24</v>
      </c>
      <c r="C23" s="11">
        <f>C6</f>
        <v>177904770000</v>
      </c>
      <c r="D23" s="11">
        <f>'대출채권 원리금 상환 스케쥴'!C19</f>
        <v>173904770000</v>
      </c>
      <c r="E23" s="11">
        <f>'대출채권 원리금 상환 스케쥴'!C23</f>
        <v>169804770000</v>
      </c>
      <c r="F23" s="11">
        <f>'대출채권 원리금 상환 스케쥴'!C27</f>
        <v>165604770000</v>
      </c>
      <c r="G23" s="12">
        <f>'대출채권 원리금 상환 스케쥴'!D31</f>
        <v>165604770000</v>
      </c>
    </row>
    <row r="24" spans="2:16">
      <c r="B24" s="19"/>
    </row>
    <row r="25" spans="2:16">
      <c r="B25" s="1" t="s">
        <v>42</v>
      </c>
    </row>
    <row r="26" spans="2:16">
      <c r="B26" s="15" t="s">
        <v>13</v>
      </c>
      <c r="C26" s="15">
        <v>44970</v>
      </c>
      <c r="D26" s="3">
        <v>45335</v>
      </c>
      <c r="E26" s="3">
        <v>45701</v>
      </c>
      <c r="F26" s="8">
        <v>46066</v>
      </c>
      <c r="G26" s="16" t="s">
        <v>9</v>
      </c>
    </row>
    <row r="27" spans="2:16">
      <c r="B27" s="21" t="s">
        <v>29</v>
      </c>
      <c r="C27" s="22" t="s">
        <v>25</v>
      </c>
      <c r="D27" s="23" t="s">
        <v>26</v>
      </c>
      <c r="E27" s="23" t="s">
        <v>27</v>
      </c>
      <c r="F27" s="24" t="s">
        <v>28</v>
      </c>
      <c r="G27" s="6"/>
    </row>
    <row r="28" spans="2:16">
      <c r="B28" s="25" t="s">
        <v>23</v>
      </c>
      <c r="C28" s="26">
        <f>C23*$C$4*1/4+D23*$C$4*3/4</f>
        <v>122433339</v>
      </c>
      <c r="D28" s="9">
        <f>D23*$C$4*1/4+E23*$C$4*3/4</f>
        <v>119580839</v>
      </c>
      <c r="E28" s="9">
        <f>E23*$C$4*1/4+F23*$C$4*3/4</f>
        <v>116658339</v>
      </c>
      <c r="F28" s="10">
        <f>F23*$C$4*1/4</f>
        <v>28980834.75</v>
      </c>
      <c r="G28" s="10">
        <f>SUM(C28:F28)</f>
        <v>387653351.75</v>
      </c>
    </row>
    <row r="30" spans="2:16">
      <c r="B30" s="7" t="s">
        <v>74</v>
      </c>
    </row>
    <row r="31" spans="2:16">
      <c r="B31" s="1" t="s">
        <v>43</v>
      </c>
    </row>
    <row r="32" spans="2:16">
      <c r="B32" s="14" t="s">
        <v>13</v>
      </c>
      <c r="C32" s="3">
        <v>44970</v>
      </c>
      <c r="D32" s="3">
        <v>45059</v>
      </c>
      <c r="E32" s="3">
        <v>45151</v>
      </c>
      <c r="F32" s="3">
        <v>45243</v>
      </c>
      <c r="G32" s="3">
        <v>45335</v>
      </c>
      <c r="H32" s="3">
        <v>45425</v>
      </c>
      <c r="I32" s="3">
        <v>45517</v>
      </c>
      <c r="J32" s="3">
        <v>45609</v>
      </c>
      <c r="K32" s="3">
        <v>45701</v>
      </c>
      <c r="L32" s="3">
        <v>45790</v>
      </c>
      <c r="M32" s="3">
        <v>45882</v>
      </c>
      <c r="N32" s="3">
        <v>45974</v>
      </c>
      <c r="O32" s="3">
        <v>46066</v>
      </c>
      <c r="P32" s="8">
        <v>46155</v>
      </c>
    </row>
    <row r="33" spans="2:16">
      <c r="B33" s="4" t="s">
        <v>30</v>
      </c>
      <c r="C33" s="1">
        <f>-C6</f>
        <v>-177904770000</v>
      </c>
      <c r="P33" s="2"/>
    </row>
    <row r="34" spans="2:16">
      <c r="B34" s="4" t="s">
        <v>32</v>
      </c>
      <c r="C34" s="1">
        <v>-70000000</v>
      </c>
      <c r="P34" s="2"/>
    </row>
    <row r="35" spans="2:16">
      <c r="B35" s="4" t="s">
        <v>49</v>
      </c>
      <c r="C35" s="1">
        <v>-30000000</v>
      </c>
      <c r="P35" s="2"/>
    </row>
    <row r="36" spans="2:16">
      <c r="B36" s="4" t="s">
        <v>23</v>
      </c>
      <c r="D36" s="1">
        <f>-$C$28/4</f>
        <v>-30608334.75</v>
      </c>
      <c r="E36" s="1">
        <f>-$C$28/4</f>
        <v>-30608334.75</v>
      </c>
      <c r="F36" s="1">
        <f>-$C$28/4</f>
        <v>-30608334.75</v>
      </c>
      <c r="G36" s="1">
        <f>-$C$28/4</f>
        <v>-30608334.75</v>
      </c>
      <c r="H36" s="1">
        <f>-$D$28/4</f>
        <v>-29895209.75</v>
      </c>
      <c r="I36" s="1">
        <f>-$D$28/4</f>
        <v>-29895209.75</v>
      </c>
      <c r="J36" s="1">
        <f>-$D$28/4</f>
        <v>-29895209.75</v>
      </c>
      <c r="K36" s="1">
        <f>-$D$28/4</f>
        <v>-29895209.75</v>
      </c>
      <c r="L36" s="1">
        <f>-$E$28/4</f>
        <v>-29164584.75</v>
      </c>
      <c r="M36" s="1">
        <f>-$E$28/4</f>
        <v>-29164584.75</v>
      </c>
      <c r="N36" s="1">
        <f>-$E$28/4</f>
        <v>-29164584.75</v>
      </c>
      <c r="O36" s="1">
        <f>-$E$28/4</f>
        <v>-29164584.75</v>
      </c>
      <c r="P36" s="2">
        <f>-F28</f>
        <v>-28980834.75</v>
      </c>
    </row>
    <row r="37" spans="2:16">
      <c r="B37" s="4" t="s">
        <v>33</v>
      </c>
      <c r="D37" s="1">
        <f>'대출채권 원리금 상환 스케쥴'!E19</f>
        <v>1735180770</v>
      </c>
      <c r="E37" s="1">
        <f>'대출채권 원리금 상환 스케쥴'!E20</f>
        <v>1753341243</v>
      </c>
      <c r="F37" s="1">
        <f>'대출채권 원리금 상환 스케쥴'!E21</f>
        <v>1753341243</v>
      </c>
      <c r="G37" s="1">
        <f>'대출채권 원리금 상환 스케쥴'!E22</f>
        <v>1753341243</v>
      </c>
      <c r="H37" s="1">
        <f>'대출채권 원리금 상환 스케쥴'!E23</f>
        <v>1710538721</v>
      </c>
      <c r="I37" s="1">
        <f>'대출채권 원리금 상환 스케쥴'!E24</f>
        <v>1707326649</v>
      </c>
      <c r="J37" s="1">
        <f>'대출채권 원리금 상환 스케쥴'!E25</f>
        <v>1707326649</v>
      </c>
      <c r="K37" s="1">
        <f>'대출채권 원리금 상환 스케쥴'!E26</f>
        <v>1707326649</v>
      </c>
      <c r="L37" s="1">
        <f>'대출채권 원리금 상환 스케쥴'!E27</f>
        <v>1656178031</v>
      </c>
      <c r="M37" s="1">
        <f>'대출채권 원리금 상환 스케쥴'!E28</f>
        <v>1669659051</v>
      </c>
      <c r="N37" s="1">
        <f>'대출채권 원리금 상환 스케쥴'!E29</f>
        <v>1669659051</v>
      </c>
      <c r="O37" s="1">
        <f>'대출채권 원리금 상환 스케쥴'!E30</f>
        <v>1669659051</v>
      </c>
      <c r="P37" s="2">
        <f>'대출채권 원리금 상환 스케쥴'!E31</f>
        <v>1615213647</v>
      </c>
    </row>
    <row r="38" spans="2:16">
      <c r="B38" s="4" t="s">
        <v>34</v>
      </c>
      <c r="D38" s="1">
        <f>'대출채권 원리금 상환 스케쥴'!D19</f>
        <v>4000000000</v>
      </c>
      <c r="H38" s="1">
        <f>'대출채권 원리금 상환 스케쥴'!D23</f>
        <v>4100000000</v>
      </c>
      <c r="L38" s="1">
        <f>'대출채권 원리금 상환 스케쥴'!D27</f>
        <v>4200000000</v>
      </c>
      <c r="P38" s="2">
        <f>'대출채권 원리금 상환 스케쥴'!D31</f>
        <v>165604770000</v>
      </c>
    </row>
    <row r="39" spans="2:16">
      <c r="B39" s="27" t="s">
        <v>9</v>
      </c>
      <c r="C39" s="28">
        <f t="shared" ref="C39:P39" si="0">SUM(C33:C38)</f>
        <v>-178004770000</v>
      </c>
      <c r="D39" s="28">
        <f t="shared" si="0"/>
        <v>5704572435.25</v>
      </c>
      <c r="E39" s="28">
        <f t="shared" si="0"/>
        <v>1722732908.25</v>
      </c>
      <c r="F39" s="28">
        <f t="shared" si="0"/>
        <v>1722732908.25</v>
      </c>
      <c r="G39" s="28">
        <f t="shared" si="0"/>
        <v>1722732908.25</v>
      </c>
      <c r="H39" s="28">
        <f t="shared" si="0"/>
        <v>5780643511.25</v>
      </c>
      <c r="I39" s="28">
        <f t="shared" si="0"/>
        <v>1677431439.25</v>
      </c>
      <c r="J39" s="28">
        <f t="shared" si="0"/>
        <v>1677431439.25</v>
      </c>
      <c r="K39" s="28">
        <f t="shared" si="0"/>
        <v>1677431439.25</v>
      </c>
      <c r="L39" s="28">
        <f t="shared" si="0"/>
        <v>5827013446.25</v>
      </c>
      <c r="M39" s="28">
        <f t="shared" si="0"/>
        <v>1640494466.25</v>
      </c>
      <c r="N39" s="28">
        <f t="shared" si="0"/>
        <v>1640494466.25</v>
      </c>
      <c r="O39" s="28">
        <f t="shared" si="0"/>
        <v>1640494466.25</v>
      </c>
      <c r="P39" s="29">
        <f t="shared" si="0"/>
        <v>167191002812.25</v>
      </c>
    </row>
    <row r="40" spans="2:16">
      <c r="B40" s="7" t="s">
        <v>31</v>
      </c>
      <c r="C40" s="30">
        <f>XIRR(C39:P39,C32:P32)</f>
        <v>3.9648512005805978E-2</v>
      </c>
    </row>
    <row r="42" spans="2:16">
      <c r="B42" s="1" t="s">
        <v>44</v>
      </c>
    </row>
    <row r="43" spans="2:16">
      <c r="B43" s="14" t="s">
        <v>13</v>
      </c>
      <c r="C43" s="3">
        <v>44970</v>
      </c>
      <c r="D43" s="3">
        <v>45059</v>
      </c>
      <c r="E43" s="3">
        <v>45151</v>
      </c>
      <c r="F43" s="3">
        <v>45243</v>
      </c>
      <c r="G43" s="3">
        <v>45335</v>
      </c>
      <c r="H43" s="3">
        <v>45425</v>
      </c>
      <c r="I43" s="3">
        <v>45517</v>
      </c>
      <c r="J43" s="3">
        <v>45609</v>
      </c>
      <c r="K43" s="3">
        <v>45701</v>
      </c>
      <c r="L43" s="3">
        <v>45790</v>
      </c>
      <c r="M43" s="3">
        <v>45882</v>
      </c>
      <c r="N43" s="3">
        <v>45974</v>
      </c>
      <c r="O43" s="3">
        <v>46066</v>
      </c>
      <c r="P43" s="8">
        <v>46155</v>
      </c>
    </row>
    <row r="44" spans="2:16">
      <c r="B44" s="4" t="s">
        <v>35</v>
      </c>
      <c r="C44" s="34">
        <f>-C16</f>
        <v>-177904770000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6"/>
    </row>
    <row r="45" spans="2:16">
      <c r="B45" s="4" t="s">
        <v>48</v>
      </c>
      <c r="C45" s="35"/>
      <c r="D45" s="1">
        <f>D39*$C$16/$C$5</f>
        <v>5701367705.154706</v>
      </c>
      <c r="E45" s="1">
        <f t="shared" ref="E45:P45" si="1">E39*$C$16/$C$5</f>
        <v>1721765106.7083614</v>
      </c>
      <c r="F45" s="1">
        <f t="shared" si="1"/>
        <v>1721765106.7083614</v>
      </c>
      <c r="G45" s="1">
        <f t="shared" si="1"/>
        <v>1721765106.7083614</v>
      </c>
      <c r="H45" s="1">
        <f t="shared" si="1"/>
        <v>5777396045.7403679</v>
      </c>
      <c r="I45" s="1">
        <f t="shared" si="1"/>
        <v>1676489087.2898531</v>
      </c>
      <c r="J45" s="1">
        <f t="shared" si="1"/>
        <v>1676489087.2898531</v>
      </c>
      <c r="K45" s="1">
        <f t="shared" si="1"/>
        <v>1676489087.2898531</v>
      </c>
      <c r="L45" s="1">
        <f t="shared" si="1"/>
        <v>5823739930.9131641</v>
      </c>
      <c r="M45" s="1">
        <f t="shared" si="1"/>
        <v>1639572864.842212</v>
      </c>
      <c r="N45" s="1">
        <f t="shared" si="1"/>
        <v>1639572864.842212</v>
      </c>
      <c r="O45" s="1">
        <f t="shared" si="1"/>
        <v>1639572864.842212</v>
      </c>
      <c r="P45" s="2">
        <f t="shared" si="1"/>
        <v>167097077799.55948</v>
      </c>
    </row>
    <row r="46" spans="2:16">
      <c r="B46" s="27" t="s">
        <v>9</v>
      </c>
      <c r="C46" s="36">
        <f t="shared" ref="C46:P46" si="2">SUM(C44:C45)</f>
        <v>-177904770000</v>
      </c>
      <c r="D46" s="28">
        <f t="shared" si="2"/>
        <v>5701367705.154706</v>
      </c>
      <c r="E46" s="28">
        <f t="shared" si="2"/>
        <v>1721765106.7083614</v>
      </c>
      <c r="F46" s="28">
        <f t="shared" si="2"/>
        <v>1721765106.7083614</v>
      </c>
      <c r="G46" s="28">
        <f t="shared" si="2"/>
        <v>1721765106.7083614</v>
      </c>
      <c r="H46" s="28">
        <f t="shared" si="2"/>
        <v>5777396045.7403679</v>
      </c>
      <c r="I46" s="28">
        <f t="shared" si="2"/>
        <v>1676489087.2898531</v>
      </c>
      <c r="J46" s="28">
        <f t="shared" si="2"/>
        <v>1676489087.2898531</v>
      </c>
      <c r="K46" s="28">
        <f t="shared" si="2"/>
        <v>1676489087.2898531</v>
      </c>
      <c r="L46" s="28">
        <f t="shared" si="2"/>
        <v>5823739930.9131641</v>
      </c>
      <c r="M46" s="28">
        <f t="shared" si="2"/>
        <v>1639572864.842212</v>
      </c>
      <c r="N46" s="28">
        <f t="shared" si="2"/>
        <v>1639572864.842212</v>
      </c>
      <c r="O46" s="28">
        <f t="shared" si="2"/>
        <v>1639572864.842212</v>
      </c>
      <c r="P46" s="29">
        <f t="shared" si="2"/>
        <v>167097077799.55948</v>
      </c>
    </row>
    <row r="47" spans="2:16">
      <c r="B47" s="7" t="s">
        <v>31</v>
      </c>
      <c r="C47" s="30">
        <f>XIRR(C46:P46,C43:P43)</f>
        <v>3.9648512005805978E-2</v>
      </c>
    </row>
  </sheetData>
  <phoneticPr fontId="15" type="noConversion"/>
  <pageMargins left="0.7" right="0.7" top="0.75" bottom="0.75" header="0.3" footer="0.3"/>
  <pageSetup orientation="portrait" r:id="rId1"/>
  <ignoredErrors>
    <ignoredError sqref="C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AC82C-B97C-4A61-ADCC-511990FAB401}">
  <sheetPr>
    <pageSetUpPr fitToPage="1"/>
  </sheetPr>
  <dimension ref="B2:N69"/>
  <sheetViews>
    <sheetView showGridLines="0" view="pageBreakPreview" zoomScaleNormal="90" zoomScaleSheetLayoutView="100" workbookViewId="0">
      <selection activeCell="D5" sqref="D5"/>
    </sheetView>
  </sheetViews>
  <sheetFormatPr baseColWidth="10" defaultColWidth="8.83203125" defaultRowHeight="17"/>
  <cols>
    <col min="1" max="1" width="2.5" customWidth="1"/>
    <col min="2" max="2" width="21.6640625" customWidth="1"/>
    <col min="3" max="3" width="16.1640625" customWidth="1"/>
    <col min="4" max="6" width="19.33203125" customWidth="1"/>
    <col min="7" max="7" width="16.1640625" customWidth="1"/>
    <col min="8" max="12" width="22.1640625" customWidth="1"/>
    <col min="13" max="13" width="3.5" customWidth="1"/>
    <col min="14" max="14" width="23.1640625" customWidth="1"/>
  </cols>
  <sheetData>
    <row r="2" spans="2:7" ht="18">
      <c r="B2" s="47" t="s">
        <v>111</v>
      </c>
    </row>
    <row r="4" spans="2:7">
      <c r="B4" s="40" t="s">
        <v>51</v>
      </c>
      <c r="C4" s="40" t="s">
        <v>52</v>
      </c>
      <c r="D4" s="40" t="s">
        <v>53</v>
      </c>
      <c r="E4" s="40" t="s">
        <v>51</v>
      </c>
      <c r="F4" s="40" t="s">
        <v>52</v>
      </c>
      <c r="G4" s="40" t="s">
        <v>53</v>
      </c>
    </row>
    <row r="5" spans="2:7">
      <c r="B5" s="41">
        <v>1</v>
      </c>
      <c r="C5" s="41" t="s">
        <v>54</v>
      </c>
      <c r="D5" s="42">
        <f>-ROUND('PEF 현금흐름'!D36,0)</f>
        <v>30608335</v>
      </c>
      <c r="E5" s="41">
        <v>8</v>
      </c>
      <c r="F5" s="41" t="s">
        <v>55</v>
      </c>
      <c r="G5" s="42">
        <f>-ROUND('PEF 현금흐름'!K36,0)</f>
        <v>29895210</v>
      </c>
    </row>
    <row r="6" spans="2:7">
      <c r="B6" s="41">
        <v>2</v>
      </c>
      <c r="C6" s="41" t="s">
        <v>56</v>
      </c>
      <c r="D6" s="42">
        <f>-ROUND('PEF 현금흐름'!E36,0)</f>
        <v>30608335</v>
      </c>
      <c r="E6" s="41">
        <v>9</v>
      </c>
      <c r="F6" s="41" t="s">
        <v>57</v>
      </c>
      <c r="G6" s="42">
        <f>-ROUND('PEF 현금흐름'!L36,0)</f>
        <v>29164585</v>
      </c>
    </row>
    <row r="7" spans="2:7">
      <c r="B7" s="41">
        <v>3</v>
      </c>
      <c r="C7" s="41" t="s">
        <v>58</v>
      </c>
      <c r="D7" s="42">
        <f>-ROUND('PEF 현금흐름'!F36,0)</f>
        <v>30608335</v>
      </c>
      <c r="E7" s="41">
        <v>10</v>
      </c>
      <c r="F7" s="41" t="s">
        <v>59</v>
      </c>
      <c r="G7" s="42">
        <f>-ROUND('PEF 현금흐름'!M36,0)</f>
        <v>29164585</v>
      </c>
    </row>
    <row r="8" spans="2:7">
      <c r="B8" s="41">
        <v>4</v>
      </c>
      <c r="C8" s="41" t="s">
        <v>60</v>
      </c>
      <c r="D8" s="42">
        <f>-ROUND('PEF 현금흐름'!G36,0)</f>
        <v>30608335</v>
      </c>
      <c r="E8" s="41">
        <v>11</v>
      </c>
      <c r="F8" s="41" t="s">
        <v>61</v>
      </c>
      <c r="G8" s="42">
        <f>-ROUND('PEF 현금흐름'!N36,0)</f>
        <v>29164585</v>
      </c>
    </row>
    <row r="9" spans="2:7">
      <c r="B9" s="41">
        <v>5</v>
      </c>
      <c r="C9" s="41" t="s">
        <v>62</v>
      </c>
      <c r="D9" s="42">
        <f>-ROUND('PEF 현금흐름'!H36,0)</f>
        <v>29895210</v>
      </c>
      <c r="E9" s="41">
        <v>12</v>
      </c>
      <c r="F9" s="41" t="s">
        <v>63</v>
      </c>
      <c r="G9" s="42">
        <f>-ROUND('PEF 현금흐름'!O36,0)</f>
        <v>29164585</v>
      </c>
    </row>
    <row r="10" spans="2:7">
      <c r="B10" s="41">
        <v>6</v>
      </c>
      <c r="C10" s="41" t="s">
        <v>64</v>
      </c>
      <c r="D10" s="42">
        <f>-ROUND('PEF 현금흐름'!I36,0)</f>
        <v>29895210</v>
      </c>
      <c r="E10" s="41">
        <v>13</v>
      </c>
      <c r="F10" s="41" t="s">
        <v>65</v>
      </c>
      <c r="G10" s="42">
        <f>-ROUND('PEF 현금흐름'!P36,0)</f>
        <v>28980835</v>
      </c>
    </row>
    <row r="11" spans="2:7">
      <c r="B11" s="41">
        <v>7</v>
      </c>
      <c r="C11" s="41" t="s">
        <v>66</v>
      </c>
      <c r="D11" s="42">
        <f>-ROUND('PEF 현금흐름'!J36,0)</f>
        <v>29895210</v>
      </c>
      <c r="E11" s="41"/>
      <c r="F11" s="41"/>
      <c r="G11" s="41"/>
    </row>
    <row r="12" spans="2:7">
      <c r="B12" s="119" t="s">
        <v>9</v>
      </c>
      <c r="C12" s="119"/>
      <c r="D12" s="119"/>
      <c r="E12" s="119"/>
      <c r="F12" s="119"/>
      <c r="G12" s="43">
        <v>387653355</v>
      </c>
    </row>
    <row r="13" spans="2:7">
      <c r="G13" s="91"/>
    </row>
    <row r="14" spans="2:7">
      <c r="B14" s="47" t="s">
        <v>75</v>
      </c>
      <c r="G14" s="92"/>
    </row>
    <row r="15" spans="2:7">
      <c r="C15" s="49" t="s">
        <v>83</v>
      </c>
      <c r="D15" s="50">
        <f>'PEF 현금흐름'!C17/'PEF 현금흐름'!C5</f>
        <v>0.674139237954129</v>
      </c>
      <c r="E15" s="50">
        <f>'PEF 현금흐름'!C18/'PEF 현금흐름'!C5</f>
        <v>0.3252989793475759</v>
      </c>
      <c r="F15" s="50">
        <f>'PEF 현금흐름'!C15/'PEF 현금흐름'!C5</f>
        <v>5.6178269829510754E-4</v>
      </c>
    </row>
    <row r="16" spans="2:7">
      <c r="B16" s="120" t="s">
        <v>51</v>
      </c>
      <c r="C16" s="120" t="s">
        <v>67</v>
      </c>
      <c r="D16" s="120" t="s">
        <v>53</v>
      </c>
      <c r="E16" s="120"/>
      <c r="F16" s="120"/>
    </row>
    <row r="17" spans="2:14" ht="30">
      <c r="B17" s="120"/>
      <c r="C17" s="120"/>
      <c r="D17" s="40" t="s">
        <v>85</v>
      </c>
      <c r="E17" s="40" t="s">
        <v>68</v>
      </c>
      <c r="F17" s="40" t="s">
        <v>69</v>
      </c>
    </row>
    <row r="18" spans="2:14">
      <c r="B18" s="41">
        <v>1</v>
      </c>
      <c r="C18" s="41" t="s">
        <v>54</v>
      </c>
      <c r="D18" s="44">
        <f t="shared" ref="D18:D30" si="0">ROUND(H55*$D$15,0)</f>
        <v>3665534084</v>
      </c>
      <c r="E18" s="44">
        <f t="shared" ref="E18:E30" si="1">ROUND(H55*$E$15,0)</f>
        <v>1768765900</v>
      </c>
      <c r="F18" s="44">
        <f t="shared" ref="F18:F30" si="2">ROUND(H55*$F$15,0)</f>
        <v>3054612</v>
      </c>
      <c r="G18" s="93"/>
      <c r="H18" s="39"/>
      <c r="I18" s="39"/>
      <c r="J18" s="39"/>
      <c r="K18" s="39"/>
      <c r="L18" s="39"/>
      <c r="M18" s="39"/>
      <c r="N18" s="39"/>
    </row>
    <row r="19" spans="2:14" ht="14.5" customHeight="1">
      <c r="B19" s="41">
        <v>2</v>
      </c>
      <c r="C19" s="41" t="s">
        <v>56</v>
      </c>
      <c r="D19" s="44">
        <f t="shared" si="0"/>
        <v>979334446</v>
      </c>
      <c r="E19" s="44">
        <f t="shared" si="1"/>
        <v>472567799</v>
      </c>
      <c r="F19" s="44">
        <f t="shared" si="2"/>
        <v>816112</v>
      </c>
      <c r="G19" s="93"/>
      <c r="H19" s="39"/>
      <c r="I19" s="39"/>
      <c r="J19" s="39"/>
      <c r="K19" s="39"/>
      <c r="L19" s="39"/>
      <c r="M19" s="39"/>
      <c r="N19" s="39"/>
    </row>
    <row r="20" spans="2:14" ht="14.5" customHeight="1">
      <c r="B20" s="41">
        <v>3</v>
      </c>
      <c r="C20" s="41" t="s">
        <v>58</v>
      </c>
      <c r="D20" s="44">
        <f t="shared" si="0"/>
        <v>979334446</v>
      </c>
      <c r="E20" s="44">
        <f t="shared" si="1"/>
        <v>472567799</v>
      </c>
      <c r="F20" s="44">
        <f t="shared" si="2"/>
        <v>816112</v>
      </c>
      <c r="G20" s="93"/>
      <c r="H20" s="39"/>
      <c r="I20" s="39"/>
      <c r="J20" s="39"/>
      <c r="K20" s="39"/>
      <c r="L20" s="39"/>
      <c r="M20" s="39"/>
      <c r="N20" s="39"/>
    </row>
    <row r="21" spans="2:14">
      <c r="B21" s="41">
        <v>4</v>
      </c>
      <c r="C21" s="41" t="s">
        <v>60</v>
      </c>
      <c r="D21" s="44">
        <f t="shared" si="0"/>
        <v>979334446</v>
      </c>
      <c r="E21" s="44">
        <f t="shared" si="1"/>
        <v>472567799</v>
      </c>
      <c r="F21" s="44">
        <f t="shared" si="2"/>
        <v>816112</v>
      </c>
      <c r="G21" s="93"/>
      <c r="H21" s="39"/>
      <c r="I21" s="39"/>
      <c r="J21" s="39"/>
      <c r="K21" s="39"/>
      <c r="L21" s="39"/>
      <c r="M21" s="39"/>
      <c r="N21" s="39"/>
    </row>
    <row r="22" spans="2:14">
      <c r="B22" s="41">
        <v>5</v>
      </c>
      <c r="C22" s="41" t="s">
        <v>62</v>
      </c>
      <c r="D22" s="44">
        <f t="shared" si="0"/>
        <v>3719374856</v>
      </c>
      <c r="E22" s="44">
        <f t="shared" si="1"/>
        <v>1794746213</v>
      </c>
      <c r="F22" s="44">
        <f t="shared" si="2"/>
        <v>3099479</v>
      </c>
      <c r="G22" s="93"/>
      <c r="H22" s="39"/>
      <c r="I22" s="39"/>
      <c r="J22" s="39"/>
      <c r="K22" s="39"/>
      <c r="L22" s="39"/>
      <c r="M22" s="39"/>
      <c r="N22" s="39"/>
    </row>
    <row r="23" spans="2:14">
      <c r="B23" s="41">
        <v>6</v>
      </c>
      <c r="C23" s="41" t="s">
        <v>64</v>
      </c>
      <c r="D23" s="44">
        <f t="shared" si="0"/>
        <v>953572066</v>
      </c>
      <c r="E23" s="44">
        <f t="shared" si="1"/>
        <v>460136426</v>
      </c>
      <c r="F23" s="44">
        <f t="shared" si="2"/>
        <v>794643</v>
      </c>
      <c r="G23" s="93"/>
      <c r="H23" s="39"/>
      <c r="I23" s="39"/>
      <c r="J23" s="39"/>
      <c r="K23" s="39"/>
      <c r="L23" s="39"/>
      <c r="M23" s="39"/>
      <c r="N23" s="39"/>
    </row>
    <row r="24" spans="2:14">
      <c r="B24" s="41">
        <v>7</v>
      </c>
      <c r="C24" s="41" t="s">
        <v>66</v>
      </c>
      <c r="D24" s="44">
        <f t="shared" si="0"/>
        <v>953572066</v>
      </c>
      <c r="E24" s="44">
        <f t="shared" si="1"/>
        <v>460136426</v>
      </c>
      <c r="F24" s="44">
        <f t="shared" si="2"/>
        <v>794643</v>
      </c>
      <c r="G24" s="93"/>
      <c r="H24" s="39"/>
      <c r="I24" s="39"/>
      <c r="J24" s="39"/>
      <c r="K24" s="39"/>
      <c r="L24" s="39"/>
      <c r="M24" s="39"/>
      <c r="N24" s="39"/>
    </row>
    <row r="25" spans="2:14">
      <c r="B25" s="41">
        <v>8</v>
      </c>
      <c r="C25" s="41" t="s">
        <v>70</v>
      </c>
      <c r="D25" s="44">
        <f t="shared" si="0"/>
        <v>953572066</v>
      </c>
      <c r="E25" s="44">
        <f t="shared" si="1"/>
        <v>460136426</v>
      </c>
      <c r="F25" s="44">
        <f t="shared" si="2"/>
        <v>794643</v>
      </c>
      <c r="G25" s="93"/>
      <c r="H25" s="39"/>
      <c r="I25" s="39"/>
      <c r="J25" s="39"/>
      <c r="K25" s="39"/>
      <c r="L25" s="39"/>
      <c r="M25" s="39"/>
      <c r="N25" s="39"/>
    </row>
    <row r="26" spans="2:14">
      <c r="B26" s="41">
        <v>9</v>
      </c>
      <c r="C26" s="41" t="s">
        <v>57</v>
      </c>
      <c r="D26" s="44">
        <f t="shared" si="0"/>
        <v>3756278236</v>
      </c>
      <c r="E26" s="44">
        <f t="shared" si="1"/>
        <v>1812553561</v>
      </c>
      <c r="F26" s="44">
        <f t="shared" si="2"/>
        <v>3130232</v>
      </c>
      <c r="G26" s="93"/>
      <c r="H26" s="39"/>
      <c r="I26" s="39"/>
      <c r="J26" s="39"/>
      <c r="K26" s="39"/>
      <c r="L26" s="39"/>
      <c r="M26" s="39"/>
      <c r="N26" s="39"/>
    </row>
    <row r="27" spans="2:14">
      <c r="B27" s="41">
        <v>10</v>
      </c>
      <c r="C27" s="41" t="s">
        <v>59</v>
      </c>
      <c r="D27" s="44">
        <f t="shared" si="0"/>
        <v>932581956</v>
      </c>
      <c r="E27" s="44">
        <f t="shared" si="1"/>
        <v>450007864</v>
      </c>
      <c r="F27" s="44">
        <f t="shared" si="2"/>
        <v>777152</v>
      </c>
      <c r="G27" s="93"/>
      <c r="H27" s="39"/>
      <c r="I27" s="39"/>
      <c r="J27" s="39"/>
      <c r="K27" s="39"/>
      <c r="L27" s="39"/>
      <c r="M27" s="39"/>
      <c r="N27" s="39"/>
    </row>
    <row r="28" spans="2:14">
      <c r="B28" s="41">
        <v>11</v>
      </c>
      <c r="C28" s="41" t="s">
        <v>61</v>
      </c>
      <c r="D28" s="44">
        <f t="shared" si="0"/>
        <v>932581956</v>
      </c>
      <c r="E28" s="44">
        <f t="shared" si="1"/>
        <v>450007864</v>
      </c>
      <c r="F28" s="44">
        <f t="shared" si="2"/>
        <v>777152</v>
      </c>
      <c r="G28" s="93"/>
      <c r="H28" s="39"/>
      <c r="I28" s="39"/>
      <c r="J28" s="39"/>
      <c r="K28" s="39"/>
      <c r="L28" s="39"/>
      <c r="M28" s="39"/>
      <c r="N28" s="39"/>
    </row>
    <row r="29" spans="2:14">
      <c r="B29" s="41">
        <v>12</v>
      </c>
      <c r="C29" s="41" t="s">
        <v>71</v>
      </c>
      <c r="D29" s="44">
        <f t="shared" si="0"/>
        <v>932581956</v>
      </c>
      <c r="E29" s="44">
        <f t="shared" si="1"/>
        <v>450007864</v>
      </c>
      <c r="F29" s="44">
        <f t="shared" si="2"/>
        <v>777152</v>
      </c>
      <c r="G29" s="93"/>
      <c r="H29" s="39"/>
      <c r="I29" s="39"/>
      <c r="J29" s="39"/>
      <c r="K29" s="39"/>
      <c r="L29" s="39"/>
      <c r="M29" s="39"/>
      <c r="N29" s="39"/>
    </row>
    <row r="30" spans="2:14">
      <c r="B30" s="41">
        <v>13</v>
      </c>
      <c r="C30" s="41" t="s">
        <v>65</v>
      </c>
      <c r="D30" s="44">
        <f t="shared" si="0"/>
        <v>112542327878</v>
      </c>
      <c r="E30" s="44">
        <f t="shared" si="1"/>
        <v>54306146759</v>
      </c>
      <c r="F30" s="44">
        <f t="shared" si="2"/>
        <v>93785273</v>
      </c>
      <c r="G30" s="93"/>
      <c r="H30" s="39"/>
      <c r="I30" s="39"/>
      <c r="J30" s="39"/>
      <c r="K30" s="39"/>
      <c r="L30" s="39"/>
      <c r="M30" s="39"/>
      <c r="N30" s="39"/>
    </row>
    <row r="31" spans="2:14">
      <c r="B31" s="119" t="s">
        <v>9</v>
      </c>
      <c r="C31" s="119"/>
      <c r="D31" s="45">
        <f>SUM(D18:D30)</f>
        <v>132279980458</v>
      </c>
      <c r="E31" s="45">
        <f>SUM(E18:E30)</f>
        <v>63830348700</v>
      </c>
      <c r="F31" s="45">
        <f>SUM(F18:F30)</f>
        <v>110233317</v>
      </c>
      <c r="G31" s="93"/>
    </row>
    <row r="33" spans="2:13">
      <c r="G33" s="39"/>
    </row>
    <row r="34" spans="2:13">
      <c r="B34" s="98" t="s">
        <v>88</v>
      </c>
      <c r="C34" s="99"/>
      <c r="D34" s="99"/>
      <c r="E34" s="99"/>
      <c r="F34" s="99"/>
      <c r="G34" s="100"/>
      <c r="H34" s="99"/>
      <c r="I34" s="99"/>
      <c r="J34" s="99"/>
      <c r="K34" s="99"/>
      <c r="L34" s="99"/>
    </row>
    <row r="35" spans="2:13">
      <c r="B35" s="122" t="s">
        <v>89</v>
      </c>
      <c r="C35" s="122" t="s">
        <v>90</v>
      </c>
      <c r="D35" s="115" t="s">
        <v>91</v>
      </c>
      <c r="E35" s="116"/>
      <c r="F35" s="117"/>
      <c r="G35" s="115" t="s">
        <v>92</v>
      </c>
      <c r="H35" s="116"/>
      <c r="I35" s="117"/>
      <c r="J35" s="115" t="s">
        <v>93</v>
      </c>
      <c r="K35" s="116"/>
      <c r="L35" s="117"/>
    </row>
    <row r="36" spans="2:13">
      <c r="B36" s="122"/>
      <c r="C36" s="122"/>
      <c r="D36" s="101" t="s">
        <v>94</v>
      </c>
      <c r="E36" s="102" t="s">
        <v>95</v>
      </c>
      <c r="F36" s="103" t="s">
        <v>96</v>
      </c>
      <c r="G36" s="101" t="s">
        <v>94</v>
      </c>
      <c r="H36" s="102" t="s">
        <v>95</v>
      </c>
      <c r="I36" s="103" t="s">
        <v>96</v>
      </c>
      <c r="J36" s="101" t="s">
        <v>94</v>
      </c>
      <c r="K36" s="102" t="s">
        <v>95</v>
      </c>
      <c r="L36" s="103" t="s">
        <v>96</v>
      </c>
    </row>
    <row r="37" spans="2:13">
      <c r="B37" s="41">
        <v>1</v>
      </c>
      <c r="C37" s="97" t="s">
        <v>97</v>
      </c>
      <c r="D37" s="104">
        <f>ROUND($C55*$D$15,0)</f>
        <v>2696556952</v>
      </c>
      <c r="E37" s="105">
        <f>D18-D37</f>
        <v>968977132</v>
      </c>
      <c r="F37" s="106">
        <f>D37+E37</f>
        <v>3665534084</v>
      </c>
      <c r="G37" s="104">
        <f>ROUND($C55*$E$15,0)</f>
        <v>1301195917</v>
      </c>
      <c r="H37" s="105">
        <f>E18-G37</f>
        <v>467569983</v>
      </c>
      <c r="I37" s="106">
        <f>G37+H37</f>
        <v>1768765900</v>
      </c>
      <c r="J37" s="107">
        <f>ROUND($C55*$F$15,0)</f>
        <v>2247131</v>
      </c>
      <c r="K37" s="105">
        <f>F18-J37</f>
        <v>807481</v>
      </c>
      <c r="L37" s="106">
        <f>J37+K37</f>
        <v>3054612</v>
      </c>
      <c r="M37" s="95"/>
    </row>
    <row r="38" spans="2:13">
      <c r="B38" s="41">
        <v>2</v>
      </c>
      <c r="C38" s="97" t="s">
        <v>98</v>
      </c>
      <c r="D38" s="104">
        <f>ROUND($C56*$D$15,0)</f>
        <v>0</v>
      </c>
      <c r="E38" s="105">
        <f>D19-D38</f>
        <v>979334446</v>
      </c>
      <c r="F38" s="106">
        <f t="shared" ref="F38:F49" si="3">D38+E38</f>
        <v>979334446</v>
      </c>
      <c r="G38" s="104">
        <f t="shared" ref="G38:G48" si="4">ROUND($C56*$E$15,0)</f>
        <v>0</v>
      </c>
      <c r="H38" s="105">
        <f t="shared" ref="H38:H49" si="5">E19-G38</f>
        <v>472567799</v>
      </c>
      <c r="I38" s="106">
        <f t="shared" ref="I38:I49" si="6">G38+H38</f>
        <v>472567799</v>
      </c>
      <c r="J38" s="104">
        <f t="shared" ref="J38:J48" si="7">ROUND($C56*$F$15,0)</f>
        <v>0</v>
      </c>
      <c r="K38" s="105">
        <f t="shared" ref="K38:K49" si="8">F19-J38</f>
        <v>816112</v>
      </c>
      <c r="L38" s="106">
        <f t="shared" ref="L38:L49" si="9">J38+K38</f>
        <v>816112</v>
      </c>
      <c r="M38" s="95"/>
    </row>
    <row r="39" spans="2:13">
      <c r="B39" s="41">
        <v>3</v>
      </c>
      <c r="C39" s="97" t="s">
        <v>99</v>
      </c>
      <c r="D39" s="104">
        <f>ROUND($C57*$D$15,0)</f>
        <v>0</v>
      </c>
      <c r="E39" s="105">
        <f>D20-D39</f>
        <v>979334446</v>
      </c>
      <c r="F39" s="106">
        <f t="shared" si="3"/>
        <v>979334446</v>
      </c>
      <c r="G39" s="104">
        <f t="shared" si="4"/>
        <v>0</v>
      </c>
      <c r="H39" s="105">
        <f t="shared" si="5"/>
        <v>472567799</v>
      </c>
      <c r="I39" s="106">
        <f t="shared" si="6"/>
        <v>472567799</v>
      </c>
      <c r="J39" s="104">
        <f t="shared" si="7"/>
        <v>0</v>
      </c>
      <c r="K39" s="105">
        <f t="shared" si="8"/>
        <v>816112</v>
      </c>
      <c r="L39" s="106">
        <f t="shared" si="9"/>
        <v>816112</v>
      </c>
      <c r="M39" s="95"/>
    </row>
    <row r="40" spans="2:13">
      <c r="B40" s="41">
        <v>4</v>
      </c>
      <c r="C40" s="97" t="s">
        <v>100</v>
      </c>
      <c r="D40" s="104">
        <f>ROUND($C58*$D$15,0)</f>
        <v>0</v>
      </c>
      <c r="E40" s="105">
        <f>D21-D40</f>
        <v>979334446</v>
      </c>
      <c r="F40" s="106">
        <f t="shared" si="3"/>
        <v>979334446</v>
      </c>
      <c r="G40" s="104">
        <f t="shared" si="4"/>
        <v>0</v>
      </c>
      <c r="H40" s="105">
        <f t="shared" si="5"/>
        <v>472567799</v>
      </c>
      <c r="I40" s="106">
        <f t="shared" si="6"/>
        <v>472567799</v>
      </c>
      <c r="J40" s="104">
        <f t="shared" si="7"/>
        <v>0</v>
      </c>
      <c r="K40" s="105">
        <f t="shared" si="8"/>
        <v>816112</v>
      </c>
      <c r="L40" s="106">
        <f t="shared" si="9"/>
        <v>816112</v>
      </c>
      <c r="M40" s="95"/>
    </row>
    <row r="41" spans="2:13">
      <c r="B41" s="41">
        <v>5</v>
      </c>
      <c r="C41" s="97" t="s">
        <v>101</v>
      </c>
      <c r="D41" s="104">
        <f t="shared" ref="D41:D48" si="10">ROUND($C59*$D$15,0)</f>
        <v>2763970876</v>
      </c>
      <c r="E41" s="105">
        <f t="shared" ref="E41:E49" si="11">D22-D41</f>
        <v>955403980</v>
      </c>
      <c r="F41" s="106">
        <f t="shared" si="3"/>
        <v>3719374856</v>
      </c>
      <c r="G41" s="104">
        <f t="shared" si="4"/>
        <v>1333725815</v>
      </c>
      <c r="H41" s="105">
        <f t="shared" si="5"/>
        <v>461020398</v>
      </c>
      <c r="I41" s="106">
        <f t="shared" si="6"/>
        <v>1794746213</v>
      </c>
      <c r="J41" s="104">
        <f t="shared" si="7"/>
        <v>2303309</v>
      </c>
      <c r="K41" s="105">
        <f t="shared" si="8"/>
        <v>796170</v>
      </c>
      <c r="L41" s="106">
        <f t="shared" si="9"/>
        <v>3099479</v>
      </c>
      <c r="M41" s="95"/>
    </row>
    <row r="42" spans="2:13">
      <c r="B42" s="41">
        <v>6</v>
      </c>
      <c r="C42" s="97" t="s">
        <v>102</v>
      </c>
      <c r="D42" s="104">
        <f t="shared" si="10"/>
        <v>0</v>
      </c>
      <c r="E42" s="105">
        <f t="shared" si="11"/>
        <v>953572066</v>
      </c>
      <c r="F42" s="106">
        <f t="shared" si="3"/>
        <v>953572066</v>
      </c>
      <c r="G42" s="104">
        <f t="shared" si="4"/>
        <v>0</v>
      </c>
      <c r="H42" s="105">
        <f t="shared" si="5"/>
        <v>460136426</v>
      </c>
      <c r="I42" s="106">
        <f t="shared" si="6"/>
        <v>460136426</v>
      </c>
      <c r="J42" s="104">
        <f t="shared" si="7"/>
        <v>0</v>
      </c>
      <c r="K42" s="105">
        <f t="shared" si="8"/>
        <v>794643</v>
      </c>
      <c r="L42" s="106">
        <f t="shared" si="9"/>
        <v>794643</v>
      </c>
      <c r="M42" s="95"/>
    </row>
    <row r="43" spans="2:13">
      <c r="B43" s="41">
        <v>7</v>
      </c>
      <c r="C43" s="97" t="s">
        <v>103</v>
      </c>
      <c r="D43" s="104">
        <f t="shared" si="10"/>
        <v>0</v>
      </c>
      <c r="E43" s="105">
        <f t="shared" si="11"/>
        <v>953572066</v>
      </c>
      <c r="F43" s="106">
        <f t="shared" si="3"/>
        <v>953572066</v>
      </c>
      <c r="G43" s="104">
        <f t="shared" si="4"/>
        <v>0</v>
      </c>
      <c r="H43" s="105">
        <f t="shared" si="5"/>
        <v>460136426</v>
      </c>
      <c r="I43" s="106">
        <f t="shared" si="6"/>
        <v>460136426</v>
      </c>
      <c r="J43" s="104">
        <f t="shared" si="7"/>
        <v>0</v>
      </c>
      <c r="K43" s="105">
        <f t="shared" si="8"/>
        <v>794643</v>
      </c>
      <c r="L43" s="106">
        <f t="shared" si="9"/>
        <v>794643</v>
      </c>
      <c r="M43" s="95"/>
    </row>
    <row r="44" spans="2:13">
      <c r="B44" s="41">
        <v>8</v>
      </c>
      <c r="C44" s="97" t="s">
        <v>104</v>
      </c>
      <c r="D44" s="104">
        <f t="shared" si="10"/>
        <v>0</v>
      </c>
      <c r="E44" s="105">
        <f t="shared" si="11"/>
        <v>953572066</v>
      </c>
      <c r="F44" s="106">
        <f t="shared" si="3"/>
        <v>953572066</v>
      </c>
      <c r="G44" s="104">
        <f t="shared" si="4"/>
        <v>0</v>
      </c>
      <c r="H44" s="105">
        <f t="shared" si="5"/>
        <v>460136426</v>
      </c>
      <c r="I44" s="106">
        <f t="shared" si="6"/>
        <v>460136426</v>
      </c>
      <c r="J44" s="104">
        <f t="shared" si="7"/>
        <v>0</v>
      </c>
      <c r="K44" s="105">
        <f t="shared" si="8"/>
        <v>794643</v>
      </c>
      <c r="L44" s="106">
        <f t="shared" si="9"/>
        <v>794643</v>
      </c>
      <c r="M44" s="95"/>
    </row>
    <row r="45" spans="2:13">
      <c r="B45" s="41">
        <v>9</v>
      </c>
      <c r="C45" s="97" t="s">
        <v>105</v>
      </c>
      <c r="D45" s="104">
        <f t="shared" si="10"/>
        <v>2831384799</v>
      </c>
      <c r="E45" s="105">
        <f t="shared" si="11"/>
        <v>924893437</v>
      </c>
      <c r="F45" s="106">
        <f t="shared" si="3"/>
        <v>3756278236</v>
      </c>
      <c r="G45" s="104">
        <f t="shared" si="4"/>
        <v>1366255713</v>
      </c>
      <c r="H45" s="105">
        <f t="shared" si="5"/>
        <v>446297848</v>
      </c>
      <c r="I45" s="106">
        <f t="shared" si="6"/>
        <v>1812553561</v>
      </c>
      <c r="J45" s="104">
        <f t="shared" si="7"/>
        <v>2359487</v>
      </c>
      <c r="K45" s="105">
        <f t="shared" si="8"/>
        <v>770745</v>
      </c>
      <c r="L45" s="106">
        <f t="shared" si="9"/>
        <v>3130232</v>
      </c>
      <c r="M45" s="95"/>
    </row>
    <row r="46" spans="2:13">
      <c r="B46" s="41">
        <v>10</v>
      </c>
      <c r="C46" s="97" t="s">
        <v>106</v>
      </c>
      <c r="D46" s="104">
        <f t="shared" si="10"/>
        <v>0</v>
      </c>
      <c r="E46" s="105">
        <f t="shared" si="11"/>
        <v>932581956</v>
      </c>
      <c r="F46" s="106">
        <f t="shared" si="3"/>
        <v>932581956</v>
      </c>
      <c r="G46" s="104">
        <f t="shared" si="4"/>
        <v>0</v>
      </c>
      <c r="H46" s="105">
        <f t="shared" si="5"/>
        <v>450007864</v>
      </c>
      <c r="I46" s="106">
        <f t="shared" si="6"/>
        <v>450007864</v>
      </c>
      <c r="J46" s="104">
        <f t="shared" si="7"/>
        <v>0</v>
      </c>
      <c r="K46" s="105">
        <f t="shared" si="8"/>
        <v>777152</v>
      </c>
      <c r="L46" s="106">
        <f t="shared" si="9"/>
        <v>777152</v>
      </c>
      <c r="M46" s="95"/>
    </row>
    <row r="47" spans="2:13">
      <c r="B47" s="41">
        <v>11</v>
      </c>
      <c r="C47" s="97" t="s">
        <v>107</v>
      </c>
      <c r="D47" s="104">
        <f t="shared" si="10"/>
        <v>0</v>
      </c>
      <c r="E47" s="105">
        <f t="shared" si="11"/>
        <v>932581956</v>
      </c>
      <c r="F47" s="106">
        <f t="shared" si="3"/>
        <v>932581956</v>
      </c>
      <c r="G47" s="104">
        <f t="shared" si="4"/>
        <v>0</v>
      </c>
      <c r="H47" s="105">
        <f t="shared" si="5"/>
        <v>450007864</v>
      </c>
      <c r="I47" s="106">
        <f t="shared" si="6"/>
        <v>450007864</v>
      </c>
      <c r="J47" s="104">
        <f t="shared" si="7"/>
        <v>0</v>
      </c>
      <c r="K47" s="105">
        <f t="shared" si="8"/>
        <v>777152</v>
      </c>
      <c r="L47" s="106">
        <f t="shared" si="9"/>
        <v>777152</v>
      </c>
      <c r="M47" s="95"/>
    </row>
    <row r="48" spans="2:13">
      <c r="B48" s="41">
        <v>12</v>
      </c>
      <c r="C48" s="97" t="s">
        <v>108</v>
      </c>
      <c r="D48" s="104">
        <f t="shared" si="10"/>
        <v>0</v>
      </c>
      <c r="E48" s="105">
        <f t="shared" si="11"/>
        <v>932581956</v>
      </c>
      <c r="F48" s="106">
        <f t="shared" si="3"/>
        <v>932581956</v>
      </c>
      <c r="G48" s="104">
        <f t="shared" si="4"/>
        <v>0</v>
      </c>
      <c r="H48" s="105">
        <f t="shared" si="5"/>
        <v>450007864</v>
      </c>
      <c r="I48" s="106">
        <f t="shared" si="6"/>
        <v>450007864</v>
      </c>
      <c r="J48" s="104">
        <f t="shared" si="7"/>
        <v>0</v>
      </c>
      <c r="K48" s="105">
        <f t="shared" si="8"/>
        <v>777152</v>
      </c>
      <c r="L48" s="106">
        <f t="shared" si="9"/>
        <v>777152</v>
      </c>
      <c r="M48" s="95"/>
    </row>
    <row r="49" spans="2:13">
      <c r="B49" s="41">
        <v>13</v>
      </c>
      <c r="C49" s="97" t="s">
        <v>109</v>
      </c>
      <c r="D49" s="108">
        <f>'PEF 현금흐름'!C17-SUM('PEF 관리보수 및 분배'!D37:D48)</f>
        <v>111708087373</v>
      </c>
      <c r="E49" s="109">
        <f t="shared" si="11"/>
        <v>834240505</v>
      </c>
      <c r="F49" s="110">
        <f t="shared" si="3"/>
        <v>112542327878</v>
      </c>
      <c r="G49" s="108">
        <f>'PEF 현금흐름'!C18-SUM('PEF 관리보수 및 분배'!G37:G48)</f>
        <v>53903592555</v>
      </c>
      <c r="H49" s="109">
        <f t="shared" si="5"/>
        <v>402554204</v>
      </c>
      <c r="I49" s="110">
        <f t="shared" si="6"/>
        <v>54306146759</v>
      </c>
      <c r="J49" s="108">
        <f>'PEF 현금흐름'!C15-SUM('PEF 관리보수 및 분배'!J37:J48)</f>
        <v>93090073</v>
      </c>
      <c r="K49" s="109">
        <f t="shared" si="8"/>
        <v>695200</v>
      </c>
      <c r="L49" s="110">
        <f t="shared" si="9"/>
        <v>93785273</v>
      </c>
      <c r="M49" s="95"/>
    </row>
    <row r="50" spans="2:13">
      <c r="B50" s="121" t="s">
        <v>110</v>
      </c>
      <c r="C50" s="121"/>
      <c r="D50" s="111">
        <f t="shared" ref="D50:L50" si="12">SUM(D37:D49)</f>
        <v>120000000000</v>
      </c>
      <c r="E50" s="112">
        <f t="shared" si="12"/>
        <v>12279980458</v>
      </c>
      <c r="F50" s="113">
        <f t="shared" si="12"/>
        <v>132279980458</v>
      </c>
      <c r="G50" s="111">
        <f t="shared" si="12"/>
        <v>57904770000</v>
      </c>
      <c r="H50" s="112">
        <f t="shared" si="12"/>
        <v>5925578700</v>
      </c>
      <c r="I50" s="113">
        <f t="shared" si="12"/>
        <v>63830348700</v>
      </c>
      <c r="J50" s="111">
        <f t="shared" si="12"/>
        <v>100000000</v>
      </c>
      <c r="K50" s="112">
        <f t="shared" si="12"/>
        <v>10233317</v>
      </c>
      <c r="L50" s="113">
        <f t="shared" si="12"/>
        <v>110233317</v>
      </c>
    </row>
    <row r="51" spans="2:13">
      <c r="F51" s="39"/>
      <c r="G51" s="39"/>
      <c r="I51" s="39"/>
      <c r="L51" s="95"/>
    </row>
    <row r="52" spans="2:13">
      <c r="B52" s="47" t="s">
        <v>81</v>
      </c>
      <c r="G52" s="38"/>
    </row>
    <row r="53" spans="2:13">
      <c r="B53" s="47"/>
      <c r="G53" s="38"/>
      <c r="H53" s="48" t="s">
        <v>82</v>
      </c>
      <c r="I53" s="48"/>
      <c r="J53" s="48"/>
      <c r="K53" s="48"/>
      <c r="L53" s="48"/>
    </row>
    <row r="54" spans="2:13" ht="30">
      <c r="B54" s="40" t="s">
        <v>76</v>
      </c>
      <c r="C54" s="40" t="s">
        <v>79</v>
      </c>
      <c r="D54" s="40" t="s">
        <v>80</v>
      </c>
      <c r="E54" s="40" t="s">
        <v>77</v>
      </c>
      <c r="F54" s="40" t="s">
        <v>86</v>
      </c>
      <c r="G54" s="40" t="s">
        <v>78</v>
      </c>
      <c r="H54" s="40" t="s">
        <v>87</v>
      </c>
      <c r="I54" s="114"/>
      <c r="J54" s="114"/>
      <c r="K54" s="114"/>
      <c r="L54" s="114"/>
    </row>
    <row r="55" spans="2:13">
      <c r="B55" s="41" t="s">
        <v>54</v>
      </c>
      <c r="C55" s="44">
        <f>'대출채권 원리금 상환 스케쥴'!D19</f>
        <v>4000000000</v>
      </c>
      <c r="D55" s="44">
        <f>'대출채권 원리금 상환 스케쥴'!E19</f>
        <v>1735180770</v>
      </c>
      <c r="E55" s="46">
        <f t="shared" ref="E55:E67" si="13">-ROUND(D55*0.154,0)</f>
        <v>-267217839</v>
      </c>
      <c r="F55" s="44">
        <f t="shared" ref="F55:F67" si="14">D55+E55</f>
        <v>1467962931</v>
      </c>
      <c r="G55" s="46">
        <f t="shared" ref="G55:G61" si="15">-D5</f>
        <v>-30608335</v>
      </c>
      <c r="H55" s="44">
        <f>ROUND(C55+F55+G55,0)</f>
        <v>5437354596</v>
      </c>
      <c r="I55" s="96"/>
      <c r="J55" s="96"/>
      <c r="K55" s="96"/>
      <c r="L55" s="96"/>
    </row>
    <row r="56" spans="2:13">
      <c r="B56" s="41" t="s">
        <v>56</v>
      </c>
      <c r="C56" s="44"/>
      <c r="D56" s="44">
        <f>'대출채권 원리금 상환 스케쥴'!E20</f>
        <v>1753341243</v>
      </c>
      <c r="E56" s="46">
        <f t="shared" si="13"/>
        <v>-270014551</v>
      </c>
      <c r="F56" s="44">
        <f t="shared" si="14"/>
        <v>1483326692</v>
      </c>
      <c r="G56" s="46">
        <f t="shared" si="15"/>
        <v>-30608335</v>
      </c>
      <c r="H56" s="44">
        <f t="shared" ref="H56:H67" si="16">ROUND(C56+F56+G56,0)</f>
        <v>1452718357</v>
      </c>
      <c r="I56" s="96"/>
      <c r="J56" s="96"/>
      <c r="K56" s="96"/>
      <c r="L56" s="96"/>
    </row>
    <row r="57" spans="2:13">
      <c r="B57" s="41" t="s">
        <v>58</v>
      </c>
      <c r="C57" s="44"/>
      <c r="D57" s="44">
        <f>'대출채권 원리금 상환 스케쥴'!E21</f>
        <v>1753341243</v>
      </c>
      <c r="E57" s="46">
        <f t="shared" si="13"/>
        <v>-270014551</v>
      </c>
      <c r="F57" s="44">
        <f t="shared" si="14"/>
        <v>1483326692</v>
      </c>
      <c r="G57" s="46">
        <f t="shared" si="15"/>
        <v>-30608335</v>
      </c>
      <c r="H57" s="44">
        <f t="shared" si="16"/>
        <v>1452718357</v>
      </c>
      <c r="I57" s="96"/>
      <c r="J57" s="96"/>
      <c r="K57" s="96"/>
      <c r="L57" s="96"/>
    </row>
    <row r="58" spans="2:13">
      <c r="B58" s="41" t="s">
        <v>60</v>
      </c>
      <c r="C58" s="44"/>
      <c r="D58" s="44">
        <f>'대출채권 원리금 상환 스케쥴'!E22</f>
        <v>1753341243</v>
      </c>
      <c r="E58" s="46">
        <f t="shared" si="13"/>
        <v>-270014551</v>
      </c>
      <c r="F58" s="44">
        <f t="shared" si="14"/>
        <v>1483326692</v>
      </c>
      <c r="G58" s="46">
        <f t="shared" si="15"/>
        <v>-30608335</v>
      </c>
      <c r="H58" s="44">
        <f t="shared" si="16"/>
        <v>1452718357</v>
      </c>
      <c r="I58" s="96"/>
      <c r="J58" s="96"/>
      <c r="K58" s="96"/>
      <c r="L58" s="96"/>
    </row>
    <row r="59" spans="2:13">
      <c r="B59" s="41" t="s">
        <v>62</v>
      </c>
      <c r="C59" s="44">
        <f>'대출채권 원리금 상환 스케쥴'!D23</f>
        <v>4100000000</v>
      </c>
      <c r="D59" s="44">
        <f>'대출채권 원리금 상환 스케쥴'!E23</f>
        <v>1710538721</v>
      </c>
      <c r="E59" s="46">
        <f t="shared" si="13"/>
        <v>-263422963</v>
      </c>
      <c r="F59" s="44">
        <f t="shared" si="14"/>
        <v>1447115758</v>
      </c>
      <c r="G59" s="46">
        <f t="shared" si="15"/>
        <v>-29895210</v>
      </c>
      <c r="H59" s="44">
        <f t="shared" si="16"/>
        <v>5517220548</v>
      </c>
      <c r="I59" s="96"/>
      <c r="J59" s="96"/>
      <c r="K59" s="96"/>
      <c r="L59" s="96"/>
    </row>
    <row r="60" spans="2:13">
      <c r="B60" s="41" t="s">
        <v>64</v>
      </c>
      <c r="C60" s="44"/>
      <c r="D60" s="44">
        <f>'대출채권 원리금 상환 스케쥴'!E24</f>
        <v>1707326649</v>
      </c>
      <c r="E60" s="46">
        <f t="shared" si="13"/>
        <v>-262928304</v>
      </c>
      <c r="F60" s="44">
        <f t="shared" si="14"/>
        <v>1444398345</v>
      </c>
      <c r="G60" s="46">
        <f t="shared" si="15"/>
        <v>-29895210</v>
      </c>
      <c r="H60" s="44">
        <f t="shared" si="16"/>
        <v>1414503135</v>
      </c>
      <c r="I60" s="96"/>
      <c r="J60" s="96"/>
      <c r="K60" s="96"/>
      <c r="L60" s="96"/>
    </row>
    <row r="61" spans="2:13">
      <c r="B61" s="41" t="s">
        <v>66</v>
      </c>
      <c r="C61" s="44"/>
      <c r="D61" s="44">
        <f>'대출채권 원리금 상환 스케쥴'!E25</f>
        <v>1707326649</v>
      </c>
      <c r="E61" s="46">
        <f t="shared" si="13"/>
        <v>-262928304</v>
      </c>
      <c r="F61" s="44">
        <f t="shared" si="14"/>
        <v>1444398345</v>
      </c>
      <c r="G61" s="46">
        <f t="shared" si="15"/>
        <v>-29895210</v>
      </c>
      <c r="H61" s="44">
        <f t="shared" si="16"/>
        <v>1414503135</v>
      </c>
      <c r="I61" s="96"/>
      <c r="J61" s="96"/>
      <c r="K61" s="96"/>
      <c r="L61" s="96"/>
    </row>
    <row r="62" spans="2:13">
      <c r="B62" s="41" t="s">
        <v>70</v>
      </c>
      <c r="C62" s="44"/>
      <c r="D62" s="44">
        <f>'대출채권 원리금 상환 스케쥴'!E26</f>
        <v>1707326649</v>
      </c>
      <c r="E62" s="46">
        <f t="shared" si="13"/>
        <v>-262928304</v>
      </c>
      <c r="F62" s="44">
        <f t="shared" si="14"/>
        <v>1444398345</v>
      </c>
      <c r="G62" s="46">
        <f t="shared" ref="G62:G67" si="17">-G5</f>
        <v>-29895210</v>
      </c>
      <c r="H62" s="44">
        <f t="shared" si="16"/>
        <v>1414503135</v>
      </c>
      <c r="I62" s="96"/>
      <c r="J62" s="96"/>
      <c r="K62" s="96"/>
      <c r="L62" s="96"/>
    </row>
    <row r="63" spans="2:13">
      <c r="B63" s="41" t="s">
        <v>57</v>
      </c>
      <c r="C63" s="44">
        <f>'대출채권 원리금 상환 스케쥴'!D27</f>
        <v>4200000000</v>
      </c>
      <c r="D63" s="44">
        <f>'대출채권 원리금 상환 스케쥴'!E27</f>
        <v>1656178031</v>
      </c>
      <c r="E63" s="46">
        <f t="shared" si="13"/>
        <v>-255051417</v>
      </c>
      <c r="F63" s="44">
        <f t="shared" si="14"/>
        <v>1401126614</v>
      </c>
      <c r="G63" s="46">
        <f t="shared" si="17"/>
        <v>-29164585</v>
      </c>
      <c r="H63" s="44">
        <f t="shared" si="16"/>
        <v>5571962029</v>
      </c>
      <c r="I63" s="96"/>
      <c r="J63" s="96"/>
      <c r="K63" s="96"/>
      <c r="L63" s="96"/>
    </row>
    <row r="64" spans="2:13">
      <c r="B64" s="41" t="s">
        <v>59</v>
      </c>
      <c r="C64" s="44"/>
      <c r="D64" s="44">
        <f>'대출채권 원리금 상환 스케쥴'!E28</f>
        <v>1669659051</v>
      </c>
      <c r="E64" s="46">
        <f t="shared" si="13"/>
        <v>-257127494</v>
      </c>
      <c r="F64" s="44">
        <f t="shared" si="14"/>
        <v>1412531557</v>
      </c>
      <c r="G64" s="46">
        <f t="shared" si="17"/>
        <v>-29164585</v>
      </c>
      <c r="H64" s="44">
        <f t="shared" si="16"/>
        <v>1383366972</v>
      </c>
      <c r="I64" s="96"/>
      <c r="J64" s="96"/>
      <c r="K64" s="96"/>
      <c r="L64" s="96"/>
    </row>
    <row r="65" spans="2:12">
      <c r="B65" s="41" t="s">
        <v>61</v>
      </c>
      <c r="C65" s="44"/>
      <c r="D65" s="44">
        <f>'대출채권 원리금 상환 스케쥴'!E29</f>
        <v>1669659051</v>
      </c>
      <c r="E65" s="46">
        <f t="shared" si="13"/>
        <v>-257127494</v>
      </c>
      <c r="F65" s="44">
        <f t="shared" si="14"/>
        <v>1412531557</v>
      </c>
      <c r="G65" s="46">
        <f t="shared" si="17"/>
        <v>-29164585</v>
      </c>
      <c r="H65" s="44">
        <f t="shared" si="16"/>
        <v>1383366972</v>
      </c>
      <c r="I65" s="96"/>
      <c r="J65" s="96"/>
      <c r="K65" s="96"/>
      <c r="L65" s="96"/>
    </row>
    <row r="66" spans="2:12">
      <c r="B66" s="41" t="s">
        <v>71</v>
      </c>
      <c r="C66" s="44"/>
      <c r="D66" s="44">
        <f>'대출채권 원리금 상환 스케쥴'!E30</f>
        <v>1669659051</v>
      </c>
      <c r="E66" s="46">
        <f t="shared" si="13"/>
        <v>-257127494</v>
      </c>
      <c r="F66" s="44">
        <f t="shared" si="14"/>
        <v>1412531557</v>
      </c>
      <c r="G66" s="46">
        <f t="shared" si="17"/>
        <v>-29164585</v>
      </c>
      <c r="H66" s="44">
        <f t="shared" si="16"/>
        <v>1383366972</v>
      </c>
      <c r="I66" s="96"/>
      <c r="J66" s="96"/>
      <c r="K66" s="96"/>
      <c r="L66" s="96"/>
    </row>
    <row r="67" spans="2:12">
      <c r="B67" s="41" t="s">
        <v>65</v>
      </c>
      <c r="C67" s="44">
        <f>'대출채권 원리금 상환 스케쥴'!D31</f>
        <v>165604770000</v>
      </c>
      <c r="D67" s="44">
        <f>'대출채권 원리금 상환 스케쥴'!E31</f>
        <v>1615213647</v>
      </c>
      <c r="E67" s="46">
        <f t="shared" si="13"/>
        <v>-248742902</v>
      </c>
      <c r="F67" s="44">
        <f t="shared" si="14"/>
        <v>1366470745</v>
      </c>
      <c r="G67" s="46">
        <f t="shared" si="17"/>
        <v>-28980835</v>
      </c>
      <c r="H67" s="44">
        <f t="shared" si="16"/>
        <v>166942259910</v>
      </c>
      <c r="I67" s="96"/>
      <c r="J67" s="96"/>
      <c r="K67" s="96"/>
      <c r="L67" s="96"/>
    </row>
    <row r="68" spans="2:12">
      <c r="D68" s="39"/>
      <c r="F68" s="39"/>
      <c r="H68" s="39"/>
      <c r="I68" s="39"/>
      <c r="J68" s="39"/>
      <c r="K68" s="39"/>
      <c r="L68" s="39"/>
    </row>
    <row r="69" spans="2:12">
      <c r="B69" s="118" t="s">
        <v>84</v>
      </c>
      <c r="C69" s="118"/>
      <c r="D69" s="118"/>
      <c r="E69" s="118"/>
      <c r="F69" s="118"/>
      <c r="G69" s="118"/>
      <c r="H69" s="118"/>
      <c r="I69" s="94"/>
      <c r="J69" s="94"/>
      <c r="K69" s="94"/>
      <c r="L69" s="94"/>
    </row>
  </sheetData>
  <mergeCells count="12">
    <mergeCell ref="J35:L35"/>
    <mergeCell ref="B69:H69"/>
    <mergeCell ref="B12:F12"/>
    <mergeCell ref="B16:B17"/>
    <mergeCell ref="C16:C17"/>
    <mergeCell ref="D16:F16"/>
    <mergeCell ref="B31:C31"/>
    <mergeCell ref="D35:F35"/>
    <mergeCell ref="B50:C50"/>
    <mergeCell ref="C35:C36"/>
    <mergeCell ref="B35:B36"/>
    <mergeCell ref="G35:I35"/>
  </mergeCells>
  <phoneticPr fontId="15" type="noConversion"/>
  <pageMargins left="0.7" right="0.7" top="0.75" bottom="0.75" header="0.3" footer="0.3"/>
  <pageSetup scale="3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대출채권 원리금 상환 스케쥴</vt:lpstr>
      <vt:lpstr>PEF 현금흐름</vt:lpstr>
      <vt:lpstr>PEF 관리보수 및 분배</vt:lpstr>
      <vt:lpstr>'대출채권 원리금 상환 스케쥴'!Print_Area</vt:lpstr>
      <vt:lpstr>'PEF 관리보수 및 분배'!Print_Area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sideshow 1</dc:creator>
  <cp:lastModifiedBy>youngjung kim</cp:lastModifiedBy>
  <cp:lastPrinted>2022-12-28T02:36:05Z</cp:lastPrinted>
  <dcterms:created xsi:type="dcterms:W3CDTF">2022-09-25T22:45:32Z</dcterms:created>
  <dcterms:modified xsi:type="dcterms:W3CDTF">2024-01-04T09:14:47Z</dcterms:modified>
</cp:coreProperties>
</file>