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72C8B53-2F65-4BDA-B2B1-5B64D822131B}" xr6:coauthVersionLast="47" xr6:coauthVersionMax="47" xr10:uidLastSave="{00000000-0000-0000-0000-000000000000}"/>
  <workbookProtection workbookAlgorithmName="SHA-512" workbookHashValue="WG/wtsB7tX7fTU811nCYza7vAtoER9bUzuxUcCvjLIssuD3aAqP+hSk8R3pmy4QsUVq9joWbHCXR7enoJ/8ywg==" workbookSaltValue="8jxyxRgY4ZgtYluvnfRAtw==" workbookSpinCount="100000" lockStructure="1"/>
  <bookViews>
    <workbookView xWindow="28680" yWindow="-120" windowWidth="29040" windowHeight="15840" activeTab="1" xr2:uid="{51993701-38B8-43B0-B43F-463AAEE26690}"/>
  </bookViews>
  <sheets>
    <sheet name="index" sheetId="1" r:id="rId1"/>
    <sheet name="Assumption" sheetId="13" r:id="rId2"/>
    <sheet name="현금흐름" sheetId="12" r:id="rId3"/>
    <sheet name="펀드" sheetId="11" r:id="rId4"/>
    <sheet name="개발기간" sheetId="2" r:id="rId5"/>
    <sheet name="운영기간" sheetId="3" r:id="rId6"/>
    <sheet name="상환가능성" sheetId="8" r:id="rId7"/>
    <sheet name="공정표" sheetId="14" r:id="rId8"/>
    <sheet name="민감도" sheetId="9" r:id="rId9"/>
    <sheet name="PBC&gt;" sheetId="4" r:id="rId10"/>
    <sheet name="수정본 (7)" sheetId="5" r:id="rId11"/>
    <sheet name="추정매출(1안)" sheetId="6" r:id="rId12"/>
    <sheet name="첨부1 추정손익(태양광 포함)" sheetId="7" r:id="rId13"/>
  </sheets>
  <definedNames>
    <definedName name="_xlnm.Print_Area" localSheetId="10">'수정본 (7)'!$A$1:$H$63</definedName>
    <definedName name="_xlnm.Print_Area" localSheetId="12">'첨부1 추정손익(태양광 포함)'!$A$1:$G$46</definedName>
    <definedName name="_xlnm.Print_Area" localSheetId="11">'추정매출(1안)'!$A$1:$M$47</definedName>
    <definedName name="Unit">index!$G$2</definedName>
    <definedName name="민감도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2" i="1" l="1"/>
  <c r="K42" i="1"/>
  <c r="F49" i="1" l="1"/>
  <c r="E49" i="1"/>
  <c r="E41" i="1"/>
  <c r="E43" i="1"/>
  <c r="E45" i="1" l="1"/>
  <c r="E44" i="1"/>
  <c r="K44" i="1" s="1"/>
  <c r="K43" i="1"/>
  <c r="F47" i="1"/>
  <c r="M37" i="1"/>
  <c r="Q47" i="1"/>
  <c r="P47" i="1"/>
  <c r="O47" i="1"/>
  <c r="N47" i="1"/>
  <c r="R45" i="1"/>
  <c r="R44" i="1"/>
  <c r="R43" i="1"/>
  <c r="R41" i="1"/>
  <c r="K45" i="1"/>
  <c r="K41" i="1"/>
  <c r="AX4" i="14" l="1"/>
  <c r="AY4" i="14" s="1"/>
  <c r="AZ4" i="14" s="1"/>
  <c r="AT4" i="14"/>
  <c r="AU4" i="14" s="1"/>
  <c r="AV4" i="14" s="1"/>
  <c r="AP4" i="14"/>
  <c r="AQ4" i="14" s="1"/>
  <c r="AR4" i="14" s="1"/>
  <c r="AL4" i="14"/>
  <c r="AM4" i="14" s="1"/>
  <c r="AN4" i="14" s="1"/>
  <c r="AH4" i="14"/>
  <c r="AI4" i="14" s="1"/>
  <c r="AJ4" i="14" s="1"/>
  <c r="AD4" i="14"/>
  <c r="AE4" i="14" s="1"/>
  <c r="AF4" i="14" s="1"/>
  <c r="Z4" i="14"/>
  <c r="AA4" i="14" s="1"/>
  <c r="AB4" i="14" s="1"/>
  <c r="V4" i="14"/>
  <c r="W4" i="14" s="1"/>
  <c r="X4" i="14" s="1"/>
  <c r="S4" i="14"/>
  <c r="T4" i="14" s="1"/>
  <c r="GF46" i="12" l="1"/>
  <c r="GE46" i="12"/>
  <c r="GD46" i="12"/>
  <c r="GC46" i="12"/>
  <c r="GB46" i="12"/>
  <c r="GA46" i="12"/>
  <c r="FZ46" i="12"/>
  <c r="FY46" i="12"/>
  <c r="FX46" i="12"/>
  <c r="FW46" i="12"/>
  <c r="FV46" i="12"/>
  <c r="FU46" i="12"/>
  <c r="H27" i="9"/>
  <c r="G27" i="9"/>
  <c r="F27" i="9"/>
  <c r="E27" i="9"/>
  <c r="D27" i="9"/>
  <c r="GI62" i="12" l="1"/>
  <c r="GH62" i="12"/>
  <c r="GG62" i="12"/>
  <c r="GF62" i="12"/>
  <c r="GE62" i="12"/>
  <c r="GD62" i="12"/>
  <c r="GC62" i="12"/>
  <c r="GB62" i="12"/>
  <c r="GA62" i="12"/>
  <c r="FZ62" i="12"/>
  <c r="FY62" i="12"/>
  <c r="GF14" i="12" a="1"/>
  <c r="GF14" i="12" s="1"/>
  <c r="GE14" i="12" a="1"/>
  <c r="GE14" i="12" s="1"/>
  <c r="GD14" i="12" a="1"/>
  <c r="GD14" i="12" s="1"/>
  <c r="GB14" i="12" a="1"/>
  <c r="GB14" i="12" s="1"/>
  <c r="GA14" i="12" a="1"/>
  <c r="GA14" i="12" s="1"/>
  <c r="FY14" i="12" a="1"/>
  <c r="FY14" i="12" s="1"/>
  <c r="FX14" i="12" a="1"/>
  <c r="FX14" i="12" s="1"/>
  <c r="FV14" i="12" a="1"/>
  <c r="FV14" i="12" s="1"/>
  <c r="FU14" i="12" a="1"/>
  <c r="FU14" i="12" s="1"/>
  <c r="FS14" i="12" a="1"/>
  <c r="FS14" i="12" s="1"/>
  <c r="FR14" i="12" a="1"/>
  <c r="FR14" i="12" s="1"/>
  <c r="FP14" i="12" a="1"/>
  <c r="FP14" i="12" s="1"/>
  <c r="FO14" i="12" a="1"/>
  <c r="FO14" i="12" s="1"/>
  <c r="FM14" i="12" a="1"/>
  <c r="FM14" i="12" s="1"/>
  <c r="FL14" i="12" a="1"/>
  <c r="FL14" i="12" s="1"/>
  <c r="FJ14" i="12" a="1"/>
  <c r="FJ14" i="12" s="1"/>
  <c r="FI14" i="12" a="1"/>
  <c r="FI14" i="12" s="1"/>
  <c r="FG14" i="12" a="1"/>
  <c r="FG14" i="12" s="1"/>
  <c r="FF14" i="12" a="1"/>
  <c r="FF14" i="12" s="1"/>
  <c r="FD14" i="12" a="1"/>
  <c r="FD14" i="12" s="1"/>
  <c r="FC14" i="12" a="1"/>
  <c r="FC14" i="12" s="1"/>
  <c r="FA14" i="12" a="1"/>
  <c r="FA14" i="12" s="1"/>
  <c r="EZ14" i="12" a="1"/>
  <c r="EZ14" i="12" s="1"/>
  <c r="EX14" i="12" a="1"/>
  <c r="EX14" i="12" s="1"/>
  <c r="EW14" i="12" a="1"/>
  <c r="EW14" i="12" s="1"/>
  <c r="EU14" i="12" a="1"/>
  <c r="EU14" i="12" s="1"/>
  <c r="ET14" i="12" a="1"/>
  <c r="ET14" i="12" s="1"/>
  <c r="ER14" i="12" a="1"/>
  <c r="ER14" i="12" s="1"/>
  <c r="EQ14" i="12" a="1"/>
  <c r="EQ14" i="12" s="1"/>
  <c r="EO14" i="12" a="1"/>
  <c r="EO14" i="12" s="1"/>
  <c r="EN14" i="12" a="1"/>
  <c r="EN14" i="12" s="1"/>
  <c r="EL14" i="12" a="1"/>
  <c r="EL14" i="12" s="1"/>
  <c r="EK14" i="12" a="1"/>
  <c r="EK14" i="12" s="1"/>
  <c r="EI14" i="12" a="1"/>
  <c r="EI14" i="12" s="1"/>
  <c r="EH14" i="12" a="1"/>
  <c r="EH14" i="12" s="1"/>
  <c r="EF14" i="12" a="1"/>
  <c r="EF14" i="12" s="1"/>
  <c r="EE14" i="12" a="1"/>
  <c r="EE14" i="12" s="1"/>
  <c r="EC14" i="12" a="1"/>
  <c r="EC14" i="12" s="1"/>
  <c r="EB14" i="12" a="1"/>
  <c r="EB14" i="12" s="1"/>
  <c r="DZ14" i="12" a="1"/>
  <c r="DZ14" i="12" s="1"/>
  <c r="DY14" i="12" a="1"/>
  <c r="DY14" i="12" s="1"/>
  <c r="DW14" i="12" a="1"/>
  <c r="DW14" i="12" s="1"/>
  <c r="DV14" i="12" a="1"/>
  <c r="DV14" i="12" s="1"/>
  <c r="DT14" i="12" a="1"/>
  <c r="DT14" i="12" s="1"/>
  <c r="DS14" i="12" a="1"/>
  <c r="DS14" i="12" s="1"/>
  <c r="DQ14" i="12" a="1"/>
  <c r="DQ14" i="12" s="1"/>
  <c r="DP14" i="12" a="1"/>
  <c r="DP14" i="12" s="1"/>
  <c r="DN14" i="12" a="1"/>
  <c r="DN14" i="12" s="1"/>
  <c r="DM14" i="12" a="1"/>
  <c r="DM14" i="12" s="1"/>
  <c r="DK14" i="12" a="1"/>
  <c r="DK14" i="12" s="1"/>
  <c r="DJ14" i="12" a="1"/>
  <c r="DJ14" i="12" s="1"/>
  <c r="DH14" i="12" a="1"/>
  <c r="DH14" i="12" s="1"/>
  <c r="DG14" i="12" a="1"/>
  <c r="DG14" i="12" s="1"/>
  <c r="DE14" i="12" a="1"/>
  <c r="DE14" i="12" s="1"/>
  <c r="DD14" i="12" a="1"/>
  <c r="DD14" i="12" s="1"/>
  <c r="DB14" i="12" a="1"/>
  <c r="DB14" i="12" s="1"/>
  <c r="DA14" i="12" a="1"/>
  <c r="DA14" i="12" s="1"/>
  <c r="CY14" i="12" a="1"/>
  <c r="CY14" i="12" s="1"/>
  <c r="CX14" i="12" a="1"/>
  <c r="CX14" i="12" s="1"/>
  <c r="CV14" i="12" a="1"/>
  <c r="CV14" i="12" s="1"/>
  <c r="CU14" i="12" a="1"/>
  <c r="CU14" i="12" s="1"/>
  <c r="CS14" i="12" a="1"/>
  <c r="CS14" i="12" s="1"/>
  <c r="CR14" i="12" a="1"/>
  <c r="CR14" i="12" s="1"/>
  <c r="CP14" i="12" a="1"/>
  <c r="CP14" i="12" s="1"/>
  <c r="CO14" i="12" a="1"/>
  <c r="CO14" i="12" s="1"/>
  <c r="CM14" i="12" a="1"/>
  <c r="CM14" i="12" s="1"/>
  <c r="CL14" i="12" a="1"/>
  <c r="CL14" i="12" s="1"/>
  <c r="CJ14" i="12" a="1"/>
  <c r="CJ14" i="12" s="1"/>
  <c r="CI14" i="12" a="1"/>
  <c r="CI14" i="12" s="1"/>
  <c r="CG14" i="12" a="1"/>
  <c r="CG14" i="12" s="1"/>
  <c r="CF14" i="12" a="1"/>
  <c r="CF14" i="12" s="1"/>
  <c r="CD14" i="12" a="1"/>
  <c r="CD14" i="12" s="1"/>
  <c r="CC14" i="12" a="1"/>
  <c r="CC14" i="12" s="1"/>
  <c r="CA14" i="12" a="1"/>
  <c r="CA14" i="12" s="1"/>
  <c r="BZ14" i="12" a="1"/>
  <c r="BZ14" i="12" s="1"/>
  <c r="BX14" i="12" a="1"/>
  <c r="BX14" i="12" s="1"/>
  <c r="BW14" i="12" a="1"/>
  <c r="BW14" i="12" s="1"/>
  <c r="BU14" i="12" a="1"/>
  <c r="BU14" i="12" s="1"/>
  <c r="BT14" i="12" a="1"/>
  <c r="BT14" i="12" s="1"/>
  <c r="BR14" i="12" a="1"/>
  <c r="BR14" i="12" s="1"/>
  <c r="BQ14" i="12" a="1"/>
  <c r="BQ14" i="12" s="1"/>
  <c r="BO14" i="12" a="1"/>
  <c r="BO14" i="12" s="1"/>
  <c r="BN14" i="12" a="1"/>
  <c r="BN14" i="12" s="1"/>
  <c r="BL14" i="12" a="1"/>
  <c r="BL14" i="12" s="1"/>
  <c r="BK14" i="12" a="1"/>
  <c r="BK14" i="12" s="1"/>
  <c r="BI14" i="12" a="1"/>
  <c r="BI14" i="12" s="1"/>
  <c r="BH14" i="12" a="1"/>
  <c r="BH14" i="12" s="1"/>
  <c r="BF14" i="12" a="1"/>
  <c r="BF14" i="12" s="1"/>
  <c r="BE14" i="12" a="1"/>
  <c r="BE14" i="12" s="1"/>
  <c r="BC14" i="12" a="1"/>
  <c r="BC14" i="12" s="1"/>
  <c r="BB14" i="12" a="1"/>
  <c r="BB14" i="12" s="1"/>
  <c r="AZ14" i="12" a="1"/>
  <c r="AZ14" i="12" s="1"/>
  <c r="AY14" i="12" a="1"/>
  <c r="AY14" i="12" s="1"/>
  <c r="AW14" i="12" a="1"/>
  <c r="AW14" i="12" s="1"/>
  <c r="AV14" i="12" a="1"/>
  <c r="AV14" i="12" s="1"/>
  <c r="AT14" i="12" a="1"/>
  <c r="AT14" i="12" s="1"/>
  <c r="AS14" i="12" a="1"/>
  <c r="AS14" i="12" s="1"/>
  <c r="AQ14" i="12" a="1"/>
  <c r="AQ14" i="12" s="1"/>
  <c r="AP14" i="12" a="1"/>
  <c r="AP14" i="12" s="1"/>
  <c r="AO14" i="12" a="1"/>
  <c r="AO14" i="12" s="1"/>
  <c r="AN14" i="12" a="1"/>
  <c r="AN14" i="12" s="1"/>
  <c r="AM14" i="12" a="1"/>
  <c r="AM14" i="12" s="1"/>
  <c r="AL14" i="12" a="1"/>
  <c r="AL14" i="12" s="1"/>
  <c r="AK14" i="12" a="1"/>
  <c r="AK14" i="12" s="1"/>
  <c r="AJ14" i="12" a="1"/>
  <c r="AJ14" i="12" s="1"/>
  <c r="AI14" i="12" a="1"/>
  <c r="AI14" i="12" s="1"/>
  <c r="AH14" i="12" a="1"/>
  <c r="AH14" i="12" s="1"/>
  <c r="AG14" i="12" a="1"/>
  <c r="AG14" i="12" s="1"/>
  <c r="AF14" i="12" a="1"/>
  <c r="AF14" i="12" s="1"/>
  <c r="AE14" i="12" a="1"/>
  <c r="AE14" i="12" s="1"/>
  <c r="AD14" i="12" a="1"/>
  <c r="AD14" i="12" s="1"/>
  <c r="AC14" i="12" a="1"/>
  <c r="AC14" i="12" s="1"/>
  <c r="AB14" i="12" a="1"/>
  <c r="AB14" i="12" s="1"/>
  <c r="AA14" i="12" a="1"/>
  <c r="AA14" i="12" s="1"/>
  <c r="Z14" i="12" a="1"/>
  <c r="Z14" i="12" s="1"/>
  <c r="Y14" i="12" a="1"/>
  <c r="Y14" i="12" s="1"/>
  <c r="X14" i="12" a="1"/>
  <c r="X14" i="12" s="1"/>
  <c r="W14" i="12" a="1"/>
  <c r="W14" i="12" s="1"/>
  <c r="V14" i="12" a="1"/>
  <c r="V14" i="12" s="1"/>
  <c r="U14" i="12" a="1"/>
  <c r="U14" i="12" s="1"/>
  <c r="T14" i="12" a="1"/>
  <c r="T14" i="12" s="1"/>
  <c r="S14" i="12" a="1"/>
  <c r="S14" i="12" s="1"/>
  <c r="R14" i="12" a="1"/>
  <c r="R14" i="12" s="1"/>
  <c r="Q14" i="12" a="1"/>
  <c r="Q14" i="12" s="1"/>
  <c r="P14" i="12" a="1"/>
  <c r="P14" i="12" s="1"/>
  <c r="O14" i="12" a="1"/>
  <c r="O14" i="12" s="1"/>
  <c r="N14" i="12" a="1"/>
  <c r="N14" i="12" s="1"/>
  <c r="M14" i="12" a="1"/>
  <c r="M14" i="12" s="1"/>
  <c r="L14" i="12" a="1"/>
  <c r="L14" i="12" s="1"/>
  <c r="K14" i="12" a="1"/>
  <c r="K14" i="12" s="1"/>
  <c r="J14" i="12" a="1"/>
  <c r="J14" i="12" s="1"/>
  <c r="I14" i="12" a="1"/>
  <c r="I14" i="12" s="1"/>
  <c r="H14" i="12" a="1"/>
  <c r="H14" i="12" s="1"/>
  <c r="G14" i="12" a="1"/>
  <c r="G14" i="12" s="1"/>
  <c r="F14" i="12" a="1"/>
  <c r="F14" i="12" s="1"/>
  <c r="E14" i="12" a="1"/>
  <c r="E14" i="12" s="1"/>
  <c r="D88" i="13" l="1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L13" i="9"/>
  <c r="Z208" i="9"/>
  <c r="Z209" i="9" s="1"/>
  <c r="Z210" i="9" s="1"/>
  <c r="Z211" i="9" s="1"/>
  <c r="R208" i="9"/>
  <c r="R209" i="9" s="1"/>
  <c r="R210" i="9" s="1"/>
  <c r="R211" i="9" s="1"/>
  <c r="J208" i="9"/>
  <c r="J209" i="9" s="1"/>
  <c r="J210" i="9" s="1"/>
  <c r="J211" i="9" s="1"/>
  <c r="B208" i="9"/>
  <c r="B209" i="9" s="1"/>
  <c r="B210" i="9" s="1"/>
  <c r="B211" i="9" s="1"/>
  <c r="AB206" i="9"/>
  <c r="AC206" i="9" s="1"/>
  <c r="AD206" i="9" s="1"/>
  <c r="AE206" i="9" s="1"/>
  <c r="T206" i="9"/>
  <c r="U206" i="9" s="1"/>
  <c r="V206" i="9" s="1"/>
  <c r="W206" i="9" s="1"/>
  <c r="L206" i="9"/>
  <c r="M206" i="9" s="1"/>
  <c r="N206" i="9" s="1"/>
  <c r="O206" i="9" s="1"/>
  <c r="D206" i="9"/>
  <c r="E206" i="9" s="1"/>
  <c r="F206" i="9" s="1"/>
  <c r="G206" i="9" s="1"/>
  <c r="Z192" i="9"/>
  <c r="Z193" i="9" s="1"/>
  <c r="Z194" i="9" s="1"/>
  <c r="Z195" i="9" s="1"/>
  <c r="R192" i="9"/>
  <c r="R193" i="9" s="1"/>
  <c r="R194" i="9" s="1"/>
  <c r="R195" i="9" s="1"/>
  <c r="J192" i="9"/>
  <c r="J193" i="9" s="1"/>
  <c r="J194" i="9" s="1"/>
  <c r="J195" i="9" s="1"/>
  <c r="B192" i="9"/>
  <c r="B193" i="9" s="1"/>
  <c r="B194" i="9" s="1"/>
  <c r="B195" i="9" s="1"/>
  <c r="AB190" i="9"/>
  <c r="AC190" i="9" s="1"/>
  <c r="AD190" i="9" s="1"/>
  <c r="AE190" i="9" s="1"/>
  <c r="T190" i="9"/>
  <c r="U190" i="9" s="1"/>
  <c r="V190" i="9" s="1"/>
  <c r="W190" i="9" s="1"/>
  <c r="L190" i="9"/>
  <c r="M190" i="9" s="1"/>
  <c r="N190" i="9" s="1"/>
  <c r="O190" i="9" s="1"/>
  <c r="D190" i="9"/>
  <c r="E190" i="9" s="1"/>
  <c r="F190" i="9" s="1"/>
  <c r="G190" i="9" s="1"/>
  <c r="Z166" i="9"/>
  <c r="Z167" i="9" s="1"/>
  <c r="Z168" i="9" s="1"/>
  <c r="Z169" i="9" s="1"/>
  <c r="R166" i="9"/>
  <c r="R167" i="9" s="1"/>
  <c r="R168" i="9" s="1"/>
  <c r="R169" i="9" s="1"/>
  <c r="J166" i="9"/>
  <c r="J167" i="9" s="1"/>
  <c r="J168" i="9" s="1"/>
  <c r="J169" i="9" s="1"/>
  <c r="B166" i="9"/>
  <c r="B167" i="9" s="1"/>
  <c r="B168" i="9" s="1"/>
  <c r="B169" i="9" s="1"/>
  <c r="AB164" i="9"/>
  <c r="AC164" i="9" s="1"/>
  <c r="AD164" i="9" s="1"/>
  <c r="AE164" i="9" s="1"/>
  <c r="T164" i="9"/>
  <c r="U164" i="9" s="1"/>
  <c r="V164" i="9" s="1"/>
  <c r="W164" i="9" s="1"/>
  <c r="L164" i="9"/>
  <c r="M164" i="9" s="1"/>
  <c r="N164" i="9" s="1"/>
  <c r="O164" i="9" s="1"/>
  <c r="D164" i="9"/>
  <c r="E164" i="9" s="1"/>
  <c r="F164" i="9" s="1"/>
  <c r="G164" i="9" s="1"/>
  <c r="Z140" i="9"/>
  <c r="Z141" i="9" s="1"/>
  <c r="Z142" i="9" s="1"/>
  <c r="Z143" i="9" s="1"/>
  <c r="R140" i="9"/>
  <c r="R141" i="9" s="1"/>
  <c r="R142" i="9" s="1"/>
  <c r="R143" i="9" s="1"/>
  <c r="J140" i="9"/>
  <c r="J141" i="9" s="1"/>
  <c r="J142" i="9" s="1"/>
  <c r="J143" i="9" s="1"/>
  <c r="B140" i="9"/>
  <c r="B141" i="9" s="1"/>
  <c r="B142" i="9" s="1"/>
  <c r="B143" i="9" s="1"/>
  <c r="AB138" i="9"/>
  <c r="AC138" i="9" s="1"/>
  <c r="AD138" i="9" s="1"/>
  <c r="AE138" i="9" s="1"/>
  <c r="T138" i="9"/>
  <c r="U138" i="9" s="1"/>
  <c r="V138" i="9" s="1"/>
  <c r="W138" i="9" s="1"/>
  <c r="L138" i="9"/>
  <c r="M138" i="9" s="1"/>
  <c r="N138" i="9" s="1"/>
  <c r="O138" i="9" s="1"/>
  <c r="D138" i="9"/>
  <c r="E138" i="9" s="1"/>
  <c r="F138" i="9" s="1"/>
  <c r="G138" i="9" s="1"/>
  <c r="E41" i="9"/>
  <c r="FX62" i="12"/>
  <c r="FW62" i="12"/>
  <c r="FV62" i="12"/>
  <c r="FU62" i="12"/>
  <c r="FT62" i="12"/>
  <c r="FS62" i="12"/>
  <c r="FR62" i="12"/>
  <c r="FQ62" i="12"/>
  <c r="FP62" i="12"/>
  <c r="FO62" i="12"/>
  <c r="FN62" i="12"/>
  <c r="FM62" i="12"/>
  <c r="FL62" i="12"/>
  <c r="FK62" i="12"/>
  <c r="FJ62" i="12"/>
  <c r="FI62" i="12"/>
  <c r="FH62" i="12"/>
  <c r="FG62" i="12"/>
  <c r="FF62" i="12"/>
  <c r="FE62" i="12"/>
  <c r="FD62" i="12"/>
  <c r="FC62" i="12"/>
  <c r="FB62" i="12"/>
  <c r="FA62" i="12"/>
  <c r="EZ62" i="12"/>
  <c r="EY62" i="12"/>
  <c r="EX62" i="12"/>
  <c r="EW62" i="12"/>
  <c r="EV62" i="12"/>
  <c r="EU62" i="12"/>
  <c r="ET62" i="12"/>
  <c r="ES62" i="12"/>
  <c r="ER62" i="12"/>
  <c r="EQ62" i="12"/>
  <c r="EP62" i="12"/>
  <c r="EO62" i="12"/>
  <c r="EN62" i="12"/>
  <c r="EM62" i="12"/>
  <c r="EL62" i="12"/>
  <c r="EK62" i="12"/>
  <c r="EJ62" i="12"/>
  <c r="EI62" i="12"/>
  <c r="EH62" i="12"/>
  <c r="EG62" i="12"/>
  <c r="EF62" i="12"/>
  <c r="EE62" i="12"/>
  <c r="ED62" i="12"/>
  <c r="EC62" i="12"/>
  <c r="EB62" i="12"/>
  <c r="EA62" i="12"/>
  <c r="DZ62" i="12"/>
  <c r="DY62" i="12"/>
  <c r="DX62" i="12"/>
  <c r="DW62" i="12"/>
  <c r="DV62" i="12"/>
  <c r="DU62" i="12"/>
  <c r="DT62" i="12"/>
  <c r="DS62" i="12"/>
  <c r="DR62" i="12"/>
  <c r="DQ62" i="12"/>
  <c r="DP62" i="12"/>
  <c r="DO62" i="12"/>
  <c r="DN62" i="12"/>
  <c r="DM62" i="12"/>
  <c r="DL62" i="12"/>
  <c r="DK62" i="12"/>
  <c r="DJ62" i="12"/>
  <c r="DI62" i="12"/>
  <c r="DH62" i="12"/>
  <c r="DG62" i="12"/>
  <c r="DF62" i="12"/>
  <c r="DE62" i="12"/>
  <c r="DD62" i="12"/>
  <c r="DC62" i="12"/>
  <c r="DB62" i="12"/>
  <c r="DA62" i="12"/>
  <c r="CZ62" i="12"/>
  <c r="CY62" i="12"/>
  <c r="CX62" i="12"/>
  <c r="CW62" i="12"/>
  <c r="CV62" i="12"/>
  <c r="CU62" i="12"/>
  <c r="CT62" i="12"/>
  <c r="CS62" i="12"/>
  <c r="CR62" i="12"/>
  <c r="CQ62" i="12"/>
  <c r="CP62" i="12"/>
  <c r="CO62" i="12"/>
  <c r="CN62" i="12"/>
  <c r="CM62" i="12"/>
  <c r="CL62" i="12"/>
  <c r="CK62" i="12"/>
  <c r="CJ62" i="12"/>
  <c r="CI62" i="12"/>
  <c r="CH62" i="12"/>
  <c r="CG62" i="12"/>
  <c r="CF62" i="12"/>
  <c r="CE62" i="12"/>
  <c r="CD62" i="12"/>
  <c r="CC62" i="12"/>
  <c r="CB62" i="12"/>
  <c r="CA62" i="12"/>
  <c r="BZ62" i="12"/>
  <c r="BY62" i="12"/>
  <c r="BX62" i="12"/>
  <c r="BW62" i="12"/>
  <c r="BV62" i="12"/>
  <c r="BU62" i="12"/>
  <c r="BT62" i="12"/>
  <c r="BS62" i="12"/>
  <c r="BR62" i="12"/>
  <c r="BQ62" i="12"/>
  <c r="BP62" i="12"/>
  <c r="BO62" i="12"/>
  <c r="BN62" i="12"/>
  <c r="BM62" i="12"/>
  <c r="BL62" i="12"/>
  <c r="BK62" i="12"/>
  <c r="BJ62" i="12"/>
  <c r="BI62" i="12"/>
  <c r="BH62" i="12"/>
  <c r="BG62" i="12"/>
  <c r="BF62" i="12"/>
  <c r="BE62" i="12"/>
  <c r="BD62" i="12"/>
  <c r="BC62" i="12"/>
  <c r="BB62" i="12"/>
  <c r="BA62" i="12"/>
  <c r="AZ62" i="12"/>
  <c r="AY62" i="12"/>
  <c r="AX62" i="12"/>
  <c r="AW62" i="12"/>
  <c r="AV62" i="12"/>
  <c r="AU62" i="12"/>
  <c r="AT62" i="12"/>
  <c r="AS62" i="12"/>
  <c r="AR62" i="12"/>
  <c r="AQ62" i="12"/>
  <c r="AP62" i="12"/>
  <c r="AO62" i="12"/>
  <c r="AN62" i="12"/>
  <c r="AM62" i="12"/>
  <c r="AL62" i="12"/>
  <c r="AK62" i="12"/>
  <c r="AJ62" i="12"/>
  <c r="AI62" i="12"/>
  <c r="AH62" i="12"/>
  <c r="AG62" i="12"/>
  <c r="AF62" i="12"/>
  <c r="AE62" i="12"/>
  <c r="AD62" i="12"/>
  <c r="AC62" i="12"/>
  <c r="AB62" i="12"/>
  <c r="AA62" i="12"/>
  <c r="Z62" i="12"/>
  <c r="Y62" i="12"/>
  <c r="X62" i="12"/>
  <c r="W62" i="12"/>
  <c r="V62" i="12"/>
  <c r="U62" i="12"/>
  <c r="T62" i="12"/>
  <c r="S62" i="12"/>
  <c r="R62" i="12"/>
  <c r="Q62" i="12"/>
  <c r="O62" i="12"/>
  <c r="N62" i="12"/>
  <c r="M62" i="12"/>
  <c r="L62" i="12"/>
  <c r="K62" i="12"/>
  <c r="I62" i="12"/>
  <c r="H62" i="12"/>
  <c r="G62" i="12"/>
  <c r="F62" i="12"/>
  <c r="C97" i="13"/>
  <c r="FT46" i="12"/>
  <c r="FS46" i="12"/>
  <c r="FR46" i="12"/>
  <c r="FQ46" i="12"/>
  <c r="FP46" i="12"/>
  <c r="FO46" i="12"/>
  <c r="FN46" i="12"/>
  <c r="FM46" i="12"/>
  <c r="FL46" i="12"/>
  <c r="FK46" i="12"/>
  <c r="FJ46" i="12"/>
  <c r="FI46" i="12"/>
  <c r="FH46" i="12"/>
  <c r="FG46" i="12"/>
  <c r="FF46" i="12"/>
  <c r="FE46" i="12"/>
  <c r="FD46" i="12"/>
  <c r="FC46" i="12"/>
  <c r="FB46" i="12"/>
  <c r="FA46" i="12"/>
  <c r="EZ46" i="12"/>
  <c r="EY46" i="12"/>
  <c r="EX46" i="12"/>
  <c r="EW46" i="12"/>
  <c r="EV46" i="12"/>
  <c r="EU46" i="12"/>
  <c r="ET46" i="12"/>
  <c r="ES46" i="12"/>
  <c r="ER46" i="12"/>
  <c r="EQ46" i="12"/>
  <c r="EP46" i="12"/>
  <c r="EO46" i="12"/>
  <c r="EN46" i="12"/>
  <c r="EM46" i="12"/>
  <c r="EL46" i="12"/>
  <c r="EK46" i="12"/>
  <c r="EJ46" i="12"/>
  <c r="EI46" i="12"/>
  <c r="EH46" i="12"/>
  <c r="EG46" i="12"/>
  <c r="EF46" i="12"/>
  <c r="EE46" i="12"/>
  <c r="ED46" i="12"/>
  <c r="EC46" i="12"/>
  <c r="EB46" i="12"/>
  <c r="EA46" i="12"/>
  <c r="DZ46" i="12"/>
  <c r="DY46" i="12"/>
  <c r="DX46" i="12"/>
  <c r="DW46" i="12"/>
  <c r="DV46" i="12"/>
  <c r="DU46" i="12"/>
  <c r="DT46" i="12"/>
  <c r="DS46" i="12"/>
  <c r="DR46" i="12"/>
  <c r="DQ46" i="12"/>
  <c r="DP46" i="12"/>
  <c r="DO46" i="12"/>
  <c r="DN46" i="12"/>
  <c r="DM46" i="12"/>
  <c r="DL46" i="12"/>
  <c r="DK46" i="12"/>
  <c r="DJ46" i="12"/>
  <c r="DI46" i="12"/>
  <c r="DH46" i="12"/>
  <c r="DG46" i="12"/>
  <c r="DF46" i="12"/>
  <c r="DE46" i="12"/>
  <c r="DD46" i="12"/>
  <c r="DC46" i="12"/>
  <c r="DB46" i="12"/>
  <c r="DA46" i="12"/>
  <c r="CZ46" i="12"/>
  <c r="CY46" i="12"/>
  <c r="CX46" i="12"/>
  <c r="CW46" i="12"/>
  <c r="CV46" i="12"/>
  <c r="CU46" i="12"/>
  <c r="CT46" i="12"/>
  <c r="CS46" i="12"/>
  <c r="CR46" i="12"/>
  <c r="CQ46" i="12"/>
  <c r="CP46" i="12"/>
  <c r="CO46" i="12"/>
  <c r="CN46" i="12"/>
  <c r="CM46" i="12"/>
  <c r="CL46" i="12"/>
  <c r="CK46" i="12"/>
  <c r="CJ46" i="12"/>
  <c r="CI46" i="12"/>
  <c r="CH46" i="12"/>
  <c r="CG46" i="12"/>
  <c r="CF46" i="12"/>
  <c r="CE46" i="12"/>
  <c r="CD46" i="12"/>
  <c r="CC46" i="12"/>
  <c r="CB46" i="12"/>
  <c r="CA46" i="12"/>
  <c r="BZ46" i="12"/>
  <c r="BY46" i="12"/>
  <c r="BX46" i="12"/>
  <c r="BW46" i="12"/>
  <c r="BV46" i="12"/>
  <c r="BU46" i="12"/>
  <c r="BT46" i="12"/>
  <c r="BS46" i="12"/>
  <c r="BR46" i="12"/>
  <c r="BQ46" i="12"/>
  <c r="BP46" i="12"/>
  <c r="BO46" i="12"/>
  <c r="BN46" i="12"/>
  <c r="BM46" i="12"/>
  <c r="BL46" i="12"/>
  <c r="BK46" i="12"/>
  <c r="BJ46" i="12"/>
  <c r="BI46" i="12"/>
  <c r="BH46" i="12"/>
  <c r="BG46" i="12"/>
  <c r="BF46" i="12"/>
  <c r="BE46" i="12"/>
  <c r="BD46" i="12"/>
  <c r="BC46" i="12"/>
  <c r="BB46" i="12"/>
  <c r="BA46" i="12"/>
  <c r="AZ46" i="12"/>
  <c r="AY46" i="12"/>
  <c r="AX46" i="12"/>
  <c r="AW46" i="12"/>
  <c r="AV46" i="12"/>
  <c r="AU46" i="12"/>
  <c r="AT46" i="12"/>
  <c r="AS46" i="12"/>
  <c r="AR46" i="12"/>
  <c r="AQ46" i="12"/>
  <c r="AP46" i="12"/>
  <c r="AO46" i="12"/>
  <c r="AN46" i="12"/>
  <c r="AM46" i="12"/>
  <c r="AL46" i="12"/>
  <c r="AK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O46" i="12"/>
  <c r="M46" i="12"/>
  <c r="L46" i="12"/>
  <c r="K46" i="12"/>
  <c r="J46" i="12"/>
  <c r="H46" i="12"/>
  <c r="G46" i="12"/>
  <c r="F46" i="12"/>
  <c r="E43" i="12"/>
  <c r="E49" i="12" s="1"/>
  <c r="E51" i="12" s="1"/>
  <c r="J33" i="12"/>
  <c r="K33" i="12" s="1"/>
  <c r="L33" i="12" s="1"/>
  <c r="M33" i="12" s="1"/>
  <c r="N33" i="12" s="1"/>
  <c r="O33" i="12" s="1"/>
  <c r="P33" i="12" s="1"/>
  <c r="Q33" i="12" s="1"/>
  <c r="R33" i="12" s="1"/>
  <c r="S33" i="12" s="1"/>
  <c r="T33" i="12" s="1"/>
  <c r="U33" i="12" s="1"/>
  <c r="V33" i="12" s="1"/>
  <c r="GF41" i="12"/>
  <c r="GE41" i="12"/>
  <c r="GD41" i="12"/>
  <c r="GC41" i="12"/>
  <c r="GB41" i="12"/>
  <c r="GA41" i="12"/>
  <c r="FZ41" i="12"/>
  <c r="FY41" i="12"/>
  <c r="FX41" i="12"/>
  <c r="FW41" i="12"/>
  <c r="FV41" i="12"/>
  <c r="FU41" i="12"/>
  <c r="FT41" i="12"/>
  <c r="FS41" i="12"/>
  <c r="FR41" i="12"/>
  <c r="FQ41" i="12"/>
  <c r="FP41" i="12"/>
  <c r="FO41" i="12"/>
  <c r="FN41" i="12"/>
  <c r="FM41" i="12"/>
  <c r="FL41" i="12"/>
  <c r="FK41" i="12"/>
  <c r="FJ41" i="12"/>
  <c r="FI41" i="12"/>
  <c r="FH41" i="12"/>
  <c r="FG41" i="12"/>
  <c r="FF41" i="12"/>
  <c r="FE41" i="12"/>
  <c r="FD41" i="12"/>
  <c r="FC41" i="12"/>
  <c r="FB41" i="12"/>
  <c r="FA41" i="12"/>
  <c r="EZ41" i="12"/>
  <c r="EY41" i="12"/>
  <c r="EX41" i="12"/>
  <c r="EW41" i="12"/>
  <c r="EV41" i="12"/>
  <c r="EU41" i="12"/>
  <c r="ET41" i="12"/>
  <c r="ES41" i="12"/>
  <c r="ER41" i="12"/>
  <c r="EQ41" i="12"/>
  <c r="EP41" i="12"/>
  <c r="EO41" i="12"/>
  <c r="EN41" i="12"/>
  <c r="EM41" i="12"/>
  <c r="EL41" i="12"/>
  <c r="EK41" i="12"/>
  <c r="EJ41" i="12"/>
  <c r="EI41" i="12"/>
  <c r="EH41" i="12"/>
  <c r="EG41" i="12"/>
  <c r="EF41" i="12"/>
  <c r="EE41" i="12"/>
  <c r="ED41" i="12"/>
  <c r="EC41" i="12"/>
  <c r="EB41" i="12"/>
  <c r="EA41" i="12"/>
  <c r="DZ41" i="12"/>
  <c r="DY41" i="12"/>
  <c r="DX41" i="12"/>
  <c r="DW41" i="12"/>
  <c r="DV41" i="12"/>
  <c r="DU41" i="12"/>
  <c r="DT41" i="12"/>
  <c r="DS41" i="12"/>
  <c r="DR41" i="12"/>
  <c r="DQ41" i="12"/>
  <c r="DP41" i="12"/>
  <c r="DO41" i="12"/>
  <c r="DN41" i="12"/>
  <c r="DM41" i="12"/>
  <c r="DL41" i="12"/>
  <c r="DK41" i="12"/>
  <c r="DJ41" i="12"/>
  <c r="DI41" i="12"/>
  <c r="DH41" i="12"/>
  <c r="DG41" i="12"/>
  <c r="DF41" i="12"/>
  <c r="DE41" i="12"/>
  <c r="DD41" i="12"/>
  <c r="DC41" i="12"/>
  <c r="DB41" i="12"/>
  <c r="DA41" i="12"/>
  <c r="CZ41" i="12"/>
  <c r="CY41" i="12"/>
  <c r="CX41" i="12"/>
  <c r="CW41" i="12"/>
  <c r="CV41" i="12"/>
  <c r="CU41" i="12"/>
  <c r="CT41" i="12"/>
  <c r="CS41" i="12"/>
  <c r="CR41" i="12"/>
  <c r="CQ41" i="12"/>
  <c r="CP41" i="12"/>
  <c r="CO41" i="12"/>
  <c r="CN41" i="12"/>
  <c r="CM41" i="12"/>
  <c r="CL41" i="12"/>
  <c r="CK41" i="12"/>
  <c r="CJ41" i="12"/>
  <c r="CI41" i="12"/>
  <c r="CH41" i="12"/>
  <c r="CG41" i="12"/>
  <c r="CF41" i="12"/>
  <c r="CE41" i="12"/>
  <c r="CD41" i="12"/>
  <c r="CC41" i="12"/>
  <c r="CB41" i="12"/>
  <c r="CA41" i="12"/>
  <c r="BZ41" i="12"/>
  <c r="BY41" i="12"/>
  <c r="BX41" i="12"/>
  <c r="BW41" i="12"/>
  <c r="BV41" i="12"/>
  <c r="BU41" i="12"/>
  <c r="BT41" i="12"/>
  <c r="BS41" i="12"/>
  <c r="BR41" i="12"/>
  <c r="BQ41" i="12"/>
  <c r="BP41" i="12"/>
  <c r="BO41" i="12"/>
  <c r="BN41" i="12"/>
  <c r="BM41" i="12"/>
  <c r="BL41" i="12"/>
  <c r="BK41" i="12"/>
  <c r="BJ41" i="12"/>
  <c r="BI41" i="12"/>
  <c r="BH41" i="12"/>
  <c r="BG41" i="12"/>
  <c r="BF41" i="12"/>
  <c r="BE41" i="12"/>
  <c r="BD41" i="12"/>
  <c r="BC41" i="12"/>
  <c r="BB41" i="12"/>
  <c r="BA41" i="12"/>
  <c r="AZ41" i="12"/>
  <c r="AY41" i="12"/>
  <c r="AX41" i="12"/>
  <c r="AW41" i="12"/>
  <c r="AV41" i="12"/>
  <c r="AU41" i="12"/>
  <c r="AT41" i="12"/>
  <c r="AS41" i="12"/>
  <c r="AR41" i="12"/>
  <c r="AQ41" i="12"/>
  <c r="AP41" i="12"/>
  <c r="AO41" i="12"/>
  <c r="AN41" i="12"/>
  <c r="AM41" i="12"/>
  <c r="AL41" i="12"/>
  <c r="AK41" i="12"/>
  <c r="AJ41" i="12"/>
  <c r="AI41" i="12"/>
  <c r="AH41" i="12"/>
  <c r="AG41" i="12"/>
  <c r="AF41" i="12"/>
  <c r="AE41" i="12"/>
  <c r="AD41" i="12"/>
  <c r="AC41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O41" i="12"/>
  <c r="M41" i="12"/>
  <c r="L41" i="12"/>
  <c r="K41" i="12"/>
  <c r="J41" i="12"/>
  <c r="H41" i="12"/>
  <c r="G41" i="12"/>
  <c r="F41" i="12"/>
  <c r="GF40" i="12"/>
  <c r="GE40" i="12"/>
  <c r="GD40" i="12"/>
  <c r="GC40" i="12"/>
  <c r="GB40" i="12"/>
  <c r="GA40" i="12"/>
  <c r="FZ40" i="12"/>
  <c r="FY40" i="12"/>
  <c r="FX40" i="12"/>
  <c r="FW40" i="12"/>
  <c r="FV40" i="12"/>
  <c r="FU40" i="12"/>
  <c r="FT40" i="12"/>
  <c r="FS40" i="12"/>
  <c r="FR40" i="12"/>
  <c r="FQ40" i="12"/>
  <c r="FP40" i="12"/>
  <c r="FO40" i="12"/>
  <c r="FN40" i="12"/>
  <c r="FM40" i="12"/>
  <c r="FL40" i="12"/>
  <c r="FK40" i="12"/>
  <c r="FJ40" i="12"/>
  <c r="FI40" i="12"/>
  <c r="FH40" i="12"/>
  <c r="FG40" i="12"/>
  <c r="FF40" i="12"/>
  <c r="FE40" i="12"/>
  <c r="FD40" i="12"/>
  <c r="FC40" i="12"/>
  <c r="FB40" i="12"/>
  <c r="FA40" i="12"/>
  <c r="EZ40" i="12"/>
  <c r="EY40" i="12"/>
  <c r="EX40" i="12"/>
  <c r="EW40" i="12"/>
  <c r="EV40" i="12"/>
  <c r="EU40" i="12"/>
  <c r="ET40" i="12"/>
  <c r="ES40" i="12"/>
  <c r="ER40" i="12"/>
  <c r="EQ40" i="12"/>
  <c r="EP40" i="12"/>
  <c r="EO40" i="12"/>
  <c r="EN40" i="12"/>
  <c r="EM40" i="12"/>
  <c r="EL40" i="12"/>
  <c r="EK40" i="12"/>
  <c r="EJ40" i="12"/>
  <c r="EI40" i="12"/>
  <c r="EH40" i="12"/>
  <c r="EG40" i="12"/>
  <c r="EF40" i="12"/>
  <c r="EE40" i="12"/>
  <c r="ED40" i="12"/>
  <c r="EC40" i="12"/>
  <c r="EB40" i="12"/>
  <c r="EA40" i="12"/>
  <c r="DZ40" i="12"/>
  <c r="DY40" i="12"/>
  <c r="DX40" i="12"/>
  <c r="DW40" i="12"/>
  <c r="DV40" i="12"/>
  <c r="DU40" i="12"/>
  <c r="DT40" i="12"/>
  <c r="DS40" i="12"/>
  <c r="DR40" i="12"/>
  <c r="DQ40" i="12"/>
  <c r="DP40" i="12"/>
  <c r="DO40" i="12"/>
  <c r="DN40" i="12"/>
  <c r="DM40" i="12"/>
  <c r="DL40" i="12"/>
  <c r="DK40" i="12"/>
  <c r="DJ40" i="12"/>
  <c r="DI40" i="12"/>
  <c r="DH40" i="12"/>
  <c r="DG40" i="12"/>
  <c r="DF40" i="12"/>
  <c r="DE40" i="12"/>
  <c r="DD40" i="12"/>
  <c r="DC40" i="12"/>
  <c r="DB40" i="12"/>
  <c r="DA40" i="12"/>
  <c r="CZ40" i="12"/>
  <c r="CY40" i="12"/>
  <c r="CX40" i="12"/>
  <c r="CW40" i="12"/>
  <c r="CV40" i="12"/>
  <c r="CU40" i="12"/>
  <c r="CT40" i="12"/>
  <c r="CS40" i="12"/>
  <c r="CR40" i="12"/>
  <c r="CQ40" i="12"/>
  <c r="CP40" i="12"/>
  <c r="CO40" i="12"/>
  <c r="CN40" i="12"/>
  <c r="CM40" i="12"/>
  <c r="CL40" i="12"/>
  <c r="CK40" i="12"/>
  <c r="CJ40" i="12"/>
  <c r="CI40" i="12"/>
  <c r="CH40" i="12"/>
  <c r="CG40" i="12"/>
  <c r="CF40" i="12"/>
  <c r="CE40" i="12"/>
  <c r="CD40" i="12"/>
  <c r="CC40" i="12"/>
  <c r="CB40" i="12"/>
  <c r="CA40" i="12"/>
  <c r="BZ40" i="12"/>
  <c r="BY40" i="12"/>
  <c r="BX40" i="12"/>
  <c r="BW40" i="12"/>
  <c r="BV40" i="12"/>
  <c r="BU40" i="12"/>
  <c r="BT40" i="12"/>
  <c r="BS40" i="12"/>
  <c r="BR40" i="12"/>
  <c r="BQ40" i="12"/>
  <c r="BP40" i="12"/>
  <c r="BO40" i="12"/>
  <c r="BN40" i="12"/>
  <c r="BM40" i="12"/>
  <c r="BL40" i="12"/>
  <c r="BK40" i="12"/>
  <c r="BJ40" i="12"/>
  <c r="BI40" i="12"/>
  <c r="BH40" i="12"/>
  <c r="BG40" i="12"/>
  <c r="BF40" i="12"/>
  <c r="BE40" i="12"/>
  <c r="BD40" i="12"/>
  <c r="BC40" i="12"/>
  <c r="BB40" i="12"/>
  <c r="BA40" i="12"/>
  <c r="AZ40" i="12"/>
  <c r="AY40" i="12"/>
  <c r="AX40" i="12"/>
  <c r="AW40" i="12"/>
  <c r="AV40" i="12"/>
  <c r="AU40" i="12"/>
  <c r="AT40" i="12"/>
  <c r="AS40" i="12"/>
  <c r="AR40" i="12"/>
  <c r="AQ40" i="12"/>
  <c r="AP40" i="12"/>
  <c r="AO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O40" i="12"/>
  <c r="M40" i="12"/>
  <c r="L40" i="12"/>
  <c r="K40" i="12"/>
  <c r="J40" i="12"/>
  <c r="H40" i="12"/>
  <c r="G40" i="12"/>
  <c r="F40" i="12"/>
  <c r="I37" i="12"/>
  <c r="F36" i="12"/>
  <c r="G36" i="12" s="1"/>
  <c r="H36" i="12" s="1"/>
  <c r="I36" i="12" s="1"/>
  <c r="J36" i="12" s="1"/>
  <c r="K36" i="12" s="1"/>
  <c r="L36" i="12" s="1"/>
  <c r="M36" i="12" s="1"/>
  <c r="N36" i="12" s="1"/>
  <c r="O36" i="12" s="1"/>
  <c r="P36" i="12" s="1"/>
  <c r="Q36" i="12" s="1"/>
  <c r="R36" i="12" s="1"/>
  <c r="S36" i="12" s="1"/>
  <c r="T36" i="12" s="1"/>
  <c r="U36" i="12" s="1"/>
  <c r="V36" i="12" s="1"/>
  <c r="W36" i="12" s="1"/>
  <c r="X36" i="12" s="1"/>
  <c r="Y36" i="12" s="1"/>
  <c r="Z36" i="12" s="1"/>
  <c r="AA36" i="12" s="1"/>
  <c r="AB36" i="12" s="1"/>
  <c r="AC36" i="12" s="1"/>
  <c r="AD36" i="12" s="1"/>
  <c r="AE36" i="12" s="1"/>
  <c r="AF36" i="12" s="1"/>
  <c r="AG36" i="12" s="1"/>
  <c r="AH36" i="12" s="1"/>
  <c r="AI36" i="12" s="1"/>
  <c r="AJ36" i="12" s="1"/>
  <c r="AK36" i="12" s="1"/>
  <c r="AL36" i="12" s="1"/>
  <c r="AM36" i="12" s="1"/>
  <c r="AM49" i="12" s="1"/>
  <c r="AM51" i="12" s="1"/>
  <c r="F35" i="12"/>
  <c r="G35" i="12" s="1"/>
  <c r="H35" i="12" s="1"/>
  <c r="I35" i="12" s="1"/>
  <c r="AE43" i="2"/>
  <c r="AE42" i="2"/>
  <c r="AT36" i="2"/>
  <c r="AS36" i="2"/>
  <c r="AR36" i="2"/>
  <c r="AQ36" i="2"/>
  <c r="AP36" i="2"/>
  <c r="AO36" i="2"/>
  <c r="AM36" i="2"/>
  <c r="AL36" i="2"/>
  <c r="AK36" i="2"/>
  <c r="AJ36" i="2"/>
  <c r="AH36" i="2"/>
  <c r="AG36" i="2"/>
  <c r="AF36" i="2"/>
  <c r="GF44" i="12"/>
  <c r="GF52" i="12" s="1"/>
  <c r="GE44" i="12"/>
  <c r="GE52" i="12" s="1"/>
  <c r="GD44" i="12"/>
  <c r="GD52" i="12" s="1"/>
  <c r="GB44" i="12"/>
  <c r="GB52" i="12" s="1"/>
  <c r="GA44" i="12"/>
  <c r="FY44" i="12"/>
  <c r="FY52" i="12" s="1"/>
  <c r="FX44" i="12"/>
  <c r="FX52" i="12" s="1"/>
  <c r="FV44" i="12"/>
  <c r="FV52" i="12" s="1"/>
  <c r="FS44" i="12"/>
  <c r="FR44" i="12"/>
  <c r="FR52" i="12" s="1"/>
  <c r="FP44" i="12"/>
  <c r="FO44" i="12"/>
  <c r="FO52" i="12" s="1"/>
  <c r="FO53" i="12" s="1"/>
  <c r="FM44" i="12"/>
  <c r="FL44" i="12"/>
  <c r="FL52" i="12" s="1"/>
  <c r="FL54" i="12" s="1"/>
  <c r="FJ44" i="12"/>
  <c r="FJ52" i="12" s="1"/>
  <c r="FG44" i="12"/>
  <c r="FF44" i="12"/>
  <c r="FF52" i="12" s="1"/>
  <c r="FD44" i="12"/>
  <c r="FC44" i="12"/>
  <c r="FC52" i="12" s="1"/>
  <c r="FC54" i="12" s="1"/>
  <c r="FA44" i="12"/>
  <c r="EZ44" i="12"/>
  <c r="EZ52" i="12" s="1"/>
  <c r="EX44" i="12"/>
  <c r="EX52" i="12" s="1"/>
  <c r="EU44" i="12"/>
  <c r="ET44" i="12"/>
  <c r="ET52" i="12" s="1"/>
  <c r="ER44" i="12"/>
  <c r="EQ44" i="12"/>
  <c r="EQ52" i="12" s="1"/>
  <c r="EQ53" i="12" s="1"/>
  <c r="EO44" i="12"/>
  <c r="EN44" i="12"/>
  <c r="EN52" i="12" s="1"/>
  <c r="EN54" i="12" s="1"/>
  <c r="EL44" i="12"/>
  <c r="EL52" i="12" s="1"/>
  <c r="EI44" i="12"/>
  <c r="EH44" i="12"/>
  <c r="EH52" i="12" s="1"/>
  <c r="EF44" i="12"/>
  <c r="EE44" i="12"/>
  <c r="EE31" i="12" s="1"/>
  <c r="EC44" i="12"/>
  <c r="EC52" i="12" s="1"/>
  <c r="EB44" i="12"/>
  <c r="EB52" i="12" s="1"/>
  <c r="DZ44" i="12"/>
  <c r="DZ52" i="12" s="1"/>
  <c r="DW44" i="12"/>
  <c r="DW52" i="12" s="1"/>
  <c r="DW54" i="12" s="1"/>
  <c r="DV44" i="12"/>
  <c r="DV52" i="12" s="1"/>
  <c r="DT44" i="12"/>
  <c r="DT52" i="12" s="1"/>
  <c r="DS44" i="12"/>
  <c r="DS52" i="12" s="1"/>
  <c r="DQ44" i="12"/>
  <c r="DP44" i="12"/>
  <c r="DP52" i="12" s="1"/>
  <c r="DP54" i="12" s="1"/>
  <c r="DN44" i="12"/>
  <c r="DN52" i="12" s="1"/>
  <c r="DK44" i="12"/>
  <c r="DK52" i="12" s="1"/>
  <c r="DJ44" i="12"/>
  <c r="DJ52" i="12" s="1"/>
  <c r="DH44" i="12"/>
  <c r="DH52" i="12" s="1"/>
  <c r="DH54" i="12" s="1"/>
  <c r="DG44" i="12"/>
  <c r="DE44" i="12"/>
  <c r="DE52" i="12" s="1"/>
  <c r="DD44" i="12"/>
  <c r="DD52" i="12" s="1"/>
  <c r="DB44" i="12"/>
  <c r="DB52" i="12" s="1"/>
  <c r="CY44" i="12"/>
  <c r="CY52" i="12" s="1"/>
  <c r="CY54" i="12" s="1"/>
  <c r="CX44" i="12"/>
  <c r="CX52" i="12" s="1"/>
  <c r="CV44" i="12"/>
  <c r="CV52" i="12" s="1"/>
  <c r="CU44" i="12"/>
  <c r="CU52" i="12" s="1"/>
  <c r="CS44" i="12"/>
  <c r="CR44" i="12"/>
  <c r="CR52" i="12" s="1"/>
  <c r="CR54" i="12" s="1"/>
  <c r="CP44" i="12"/>
  <c r="CP52" i="12" s="1"/>
  <c r="CM44" i="12"/>
  <c r="CM52" i="12" s="1"/>
  <c r="CM53" i="12" s="1"/>
  <c r="CL44" i="12"/>
  <c r="CL52" i="12" s="1"/>
  <c r="CJ44" i="12"/>
  <c r="CJ52" i="12" s="1"/>
  <c r="CJ54" i="12" s="1"/>
  <c r="CI44" i="12"/>
  <c r="CI52" i="12" s="1"/>
  <c r="CI54" i="12" s="1"/>
  <c r="CG44" i="12"/>
  <c r="CG52" i="12" s="1"/>
  <c r="CF44" i="12"/>
  <c r="CF52" i="12" s="1"/>
  <c r="CD44" i="12"/>
  <c r="CD52" i="12" s="1"/>
  <c r="CA44" i="12"/>
  <c r="BZ44" i="12"/>
  <c r="BZ52" i="12" s="1"/>
  <c r="BX44" i="12"/>
  <c r="BX52" i="12" s="1"/>
  <c r="BW44" i="12"/>
  <c r="BW52" i="12" s="1"/>
  <c r="BU44" i="12"/>
  <c r="BT44" i="12"/>
  <c r="BT52" i="12" s="1"/>
  <c r="BT54" i="12" s="1"/>
  <c r="BR44" i="12"/>
  <c r="BR52" i="12" s="1"/>
  <c r="BO44" i="12"/>
  <c r="BO52" i="12" s="1"/>
  <c r="BN44" i="12"/>
  <c r="BN52" i="12" s="1"/>
  <c r="BL44" i="12"/>
  <c r="BL52" i="12" s="1"/>
  <c r="BL54" i="12" s="1"/>
  <c r="BK44" i="12"/>
  <c r="BI44" i="12"/>
  <c r="BI52" i="12" s="1"/>
  <c r="BH44" i="12"/>
  <c r="BH52" i="12" s="1"/>
  <c r="BF44" i="12"/>
  <c r="BF52" i="12" s="1"/>
  <c r="BF53" i="12" s="1"/>
  <c r="BC44" i="12"/>
  <c r="BB44" i="12"/>
  <c r="BB52" i="12" s="1"/>
  <c r="AZ44" i="12"/>
  <c r="AZ52" i="12" s="1"/>
  <c r="AY44" i="12"/>
  <c r="AY52" i="12" s="1"/>
  <c r="AW44" i="12"/>
  <c r="AV44" i="12"/>
  <c r="AV52" i="12" s="1"/>
  <c r="AV54" i="12" s="1"/>
  <c r="AT44" i="12"/>
  <c r="AT52" i="12" s="1"/>
  <c r="AQ44" i="12"/>
  <c r="AQ52" i="12" s="1"/>
  <c r="AP44" i="12"/>
  <c r="AP52" i="12" s="1"/>
  <c r="AO44" i="12"/>
  <c r="AN44" i="12"/>
  <c r="AN52" i="12" s="1"/>
  <c r="AN53" i="12" s="1"/>
  <c r="AM44" i="12"/>
  <c r="AM31" i="12" s="1"/>
  <c r="AL44" i="12"/>
  <c r="AL52" i="12" s="1"/>
  <c r="AK44" i="12"/>
  <c r="AK52" i="12" s="1"/>
  <c r="AJ44" i="12"/>
  <c r="AJ52" i="12" s="1"/>
  <c r="AI44" i="12"/>
  <c r="AI52" i="12" s="1"/>
  <c r="AH44" i="12"/>
  <c r="AH52" i="12" s="1"/>
  <c r="AG44" i="12"/>
  <c r="AF44" i="12"/>
  <c r="AF52" i="12" s="1"/>
  <c r="AF54" i="12" s="1"/>
  <c r="AE44" i="12"/>
  <c r="AE52" i="12" s="1"/>
  <c r="AE54" i="12" s="1"/>
  <c r="AD44" i="12"/>
  <c r="AD52" i="12" s="1"/>
  <c r="AC44" i="12"/>
  <c r="AC52" i="12" s="1"/>
  <c r="AB44" i="12"/>
  <c r="AB52" i="12" s="1"/>
  <c r="AA44" i="12"/>
  <c r="AA52" i="12" s="1"/>
  <c r="Z44" i="12"/>
  <c r="Z52" i="12" s="1"/>
  <c r="Y44" i="12"/>
  <c r="X44" i="12"/>
  <c r="X52" i="12" s="1"/>
  <c r="X53" i="12" s="1"/>
  <c r="W44" i="12"/>
  <c r="W52" i="12" s="1"/>
  <c r="W54" i="12" s="1"/>
  <c r="V44" i="12"/>
  <c r="V52" i="12" s="1"/>
  <c r="U44" i="12"/>
  <c r="U52" i="12" s="1"/>
  <c r="T44" i="12"/>
  <c r="T52" i="12" s="1"/>
  <c r="S44" i="12"/>
  <c r="S52" i="12" s="1"/>
  <c r="R44" i="12"/>
  <c r="R52" i="12" s="1"/>
  <c r="Q44" i="12"/>
  <c r="Q52" i="12" s="1"/>
  <c r="Q53" i="12" s="1"/>
  <c r="P44" i="12"/>
  <c r="P52" i="12" s="1"/>
  <c r="P53" i="12" s="1"/>
  <c r="O44" i="12"/>
  <c r="O52" i="12" s="1"/>
  <c r="O54" i="12" s="1"/>
  <c r="N44" i="12"/>
  <c r="N52" i="12" s="1"/>
  <c r="M44" i="12"/>
  <c r="M52" i="12" s="1"/>
  <c r="L44" i="12"/>
  <c r="L52" i="12" s="1"/>
  <c r="K44" i="12"/>
  <c r="K52" i="12" s="1"/>
  <c r="J44" i="12"/>
  <c r="J52" i="12" s="1"/>
  <c r="I44" i="12"/>
  <c r="I52" i="12" s="1"/>
  <c r="I53" i="12" s="1"/>
  <c r="H44" i="12"/>
  <c r="G44" i="12"/>
  <c r="G52" i="12" s="1"/>
  <c r="G54" i="12" s="1"/>
  <c r="F44" i="12"/>
  <c r="F52" i="12" s="1"/>
  <c r="E44" i="12"/>
  <c r="E52" i="12" s="1"/>
  <c r="N13" i="12"/>
  <c r="I13" i="12"/>
  <c r="I41" i="12" s="1"/>
  <c r="E13" i="12"/>
  <c r="F9" i="12"/>
  <c r="G9" i="12" s="1"/>
  <c r="H9" i="12" s="1"/>
  <c r="I9" i="12" s="1"/>
  <c r="J9" i="12" s="1"/>
  <c r="K9" i="12" s="1"/>
  <c r="L9" i="12" s="1"/>
  <c r="M9" i="12" s="1"/>
  <c r="M18" i="12" s="1"/>
  <c r="AM43" i="2" s="1"/>
  <c r="I10" i="12"/>
  <c r="J7" i="12"/>
  <c r="K7" i="12" s="1"/>
  <c r="L7" i="12" s="1"/>
  <c r="M7" i="12" s="1"/>
  <c r="F8" i="12"/>
  <c r="G8" i="12" s="1"/>
  <c r="H8" i="12" s="1"/>
  <c r="I8" i="12" s="1"/>
  <c r="I28" i="12" s="1"/>
  <c r="Z129" i="9"/>
  <c r="Z130" i="9" s="1"/>
  <c r="Z131" i="9" s="1"/>
  <c r="Z132" i="9" s="1"/>
  <c r="R129" i="9"/>
  <c r="R130" i="9" s="1"/>
  <c r="R131" i="9" s="1"/>
  <c r="R132" i="9" s="1"/>
  <c r="J129" i="9"/>
  <c r="J130" i="9" s="1"/>
  <c r="J131" i="9" s="1"/>
  <c r="J132" i="9" s="1"/>
  <c r="AB127" i="9"/>
  <c r="AC127" i="9" s="1"/>
  <c r="AD127" i="9" s="1"/>
  <c r="AE127" i="9" s="1"/>
  <c r="T127" i="9"/>
  <c r="U127" i="9" s="1"/>
  <c r="V127" i="9" s="1"/>
  <c r="W127" i="9" s="1"/>
  <c r="L127" i="9"/>
  <c r="M127" i="9" s="1"/>
  <c r="N127" i="9" s="1"/>
  <c r="O127" i="9" s="1"/>
  <c r="B129" i="9"/>
  <c r="B130" i="9" s="1"/>
  <c r="B131" i="9" s="1"/>
  <c r="B132" i="9" s="1"/>
  <c r="D127" i="9"/>
  <c r="E127" i="9" s="1"/>
  <c r="F127" i="9" s="1"/>
  <c r="G127" i="9" s="1"/>
  <c r="Z219" i="9"/>
  <c r="Z220" i="9" s="1"/>
  <c r="Z221" i="9" s="1"/>
  <c r="Z222" i="9" s="1"/>
  <c r="R219" i="9"/>
  <c r="R220" i="9" s="1"/>
  <c r="R221" i="9" s="1"/>
  <c r="R222" i="9" s="1"/>
  <c r="J219" i="9"/>
  <c r="J220" i="9" s="1"/>
  <c r="J221" i="9" s="1"/>
  <c r="J222" i="9" s="1"/>
  <c r="B219" i="9"/>
  <c r="B220" i="9" s="1"/>
  <c r="B221" i="9" s="1"/>
  <c r="B222" i="9" s="1"/>
  <c r="AB217" i="9"/>
  <c r="AC217" i="9" s="1"/>
  <c r="AD217" i="9" s="1"/>
  <c r="AE217" i="9" s="1"/>
  <c r="T217" i="9"/>
  <c r="U217" i="9" s="1"/>
  <c r="V217" i="9" s="1"/>
  <c r="W217" i="9" s="1"/>
  <c r="L217" i="9"/>
  <c r="M217" i="9" s="1"/>
  <c r="N217" i="9" s="1"/>
  <c r="O217" i="9" s="1"/>
  <c r="D217" i="9"/>
  <c r="E217" i="9" s="1"/>
  <c r="F217" i="9" s="1"/>
  <c r="G217" i="9" s="1"/>
  <c r="Z181" i="9"/>
  <c r="Z182" i="9" s="1"/>
  <c r="Z183" i="9" s="1"/>
  <c r="Z184" i="9" s="1"/>
  <c r="R181" i="9"/>
  <c r="R182" i="9" s="1"/>
  <c r="R183" i="9" s="1"/>
  <c r="R184" i="9" s="1"/>
  <c r="J181" i="9"/>
  <c r="J182" i="9" s="1"/>
  <c r="J183" i="9" s="1"/>
  <c r="J184" i="9" s="1"/>
  <c r="B181" i="9"/>
  <c r="B182" i="9" s="1"/>
  <c r="B183" i="9" s="1"/>
  <c r="B184" i="9" s="1"/>
  <c r="AB179" i="9"/>
  <c r="AC179" i="9" s="1"/>
  <c r="AD179" i="9" s="1"/>
  <c r="AE179" i="9" s="1"/>
  <c r="T179" i="9"/>
  <c r="U179" i="9" s="1"/>
  <c r="V179" i="9" s="1"/>
  <c r="W179" i="9" s="1"/>
  <c r="L179" i="9"/>
  <c r="M179" i="9" s="1"/>
  <c r="N179" i="9" s="1"/>
  <c r="O179" i="9" s="1"/>
  <c r="D179" i="9"/>
  <c r="E179" i="9" s="1"/>
  <c r="F179" i="9" s="1"/>
  <c r="G179" i="9" s="1"/>
  <c r="Z152" i="9"/>
  <c r="R152" i="9"/>
  <c r="R178" i="9" s="1"/>
  <c r="R216" i="9" s="1"/>
  <c r="J152" i="9"/>
  <c r="J178" i="9" s="1"/>
  <c r="J216" i="9" s="1"/>
  <c r="B152" i="9"/>
  <c r="B178" i="9" s="1"/>
  <c r="B216" i="9" s="1"/>
  <c r="Z155" i="9"/>
  <c r="Z156" i="9" s="1"/>
  <c r="Z157" i="9" s="1"/>
  <c r="Z158" i="9" s="1"/>
  <c r="AB153" i="9"/>
  <c r="AC153" i="9" s="1"/>
  <c r="AD153" i="9" s="1"/>
  <c r="AE153" i="9" s="1"/>
  <c r="R155" i="9"/>
  <c r="R156" i="9" s="1"/>
  <c r="R157" i="9" s="1"/>
  <c r="R158" i="9" s="1"/>
  <c r="T153" i="9"/>
  <c r="U153" i="9" s="1"/>
  <c r="V153" i="9" s="1"/>
  <c r="W153" i="9" s="1"/>
  <c r="J155" i="9"/>
  <c r="J156" i="9" s="1"/>
  <c r="J157" i="9" s="1"/>
  <c r="J158" i="9" s="1"/>
  <c r="L153" i="9"/>
  <c r="M153" i="9" s="1"/>
  <c r="N153" i="9" s="1"/>
  <c r="O153" i="9" s="1"/>
  <c r="B155" i="9"/>
  <c r="B156" i="9" s="1"/>
  <c r="B157" i="9" s="1"/>
  <c r="B158" i="9" s="1"/>
  <c r="D153" i="9"/>
  <c r="E153" i="9" s="1"/>
  <c r="F153" i="9" s="1"/>
  <c r="G153" i="9" s="1"/>
  <c r="G21" i="9"/>
  <c r="F21" i="9"/>
  <c r="E23" i="9"/>
  <c r="E22" i="9"/>
  <c r="E21" i="9"/>
  <c r="E20" i="9"/>
  <c r="D20" i="9"/>
  <c r="D17" i="9"/>
  <c r="L12" i="9"/>
  <c r="L11" i="9"/>
  <c r="K13" i="9"/>
  <c r="K12" i="9"/>
  <c r="K11" i="9"/>
  <c r="K10" i="9"/>
  <c r="K7" i="9"/>
  <c r="J12" i="9"/>
  <c r="J11" i="9"/>
  <c r="H13" i="9"/>
  <c r="H12" i="9"/>
  <c r="H10" i="9"/>
  <c r="H7" i="9"/>
  <c r="G13" i="9"/>
  <c r="G12" i="9"/>
  <c r="G11" i="9"/>
  <c r="G10" i="9"/>
  <c r="F10" i="9"/>
  <c r="F7" i="9"/>
  <c r="E13" i="9"/>
  <c r="E12" i="9"/>
  <c r="E11" i="9"/>
  <c r="D10" i="9"/>
  <c r="D9" i="9"/>
  <c r="D8" i="9"/>
  <c r="D7" i="9"/>
  <c r="FX53" i="12" l="1"/>
  <c r="FX54" i="12"/>
  <c r="FY54" i="12"/>
  <c r="FY53" i="12"/>
  <c r="GB54" i="12"/>
  <c r="GB53" i="12"/>
  <c r="GD53" i="12"/>
  <c r="GD54" i="12"/>
  <c r="FV54" i="12"/>
  <c r="FV53" i="12"/>
  <c r="GA52" i="12"/>
  <c r="GE54" i="12"/>
  <c r="GE53" i="12"/>
  <c r="GF54" i="12"/>
  <c r="GF53" i="12"/>
  <c r="Z178" i="9"/>
  <c r="Z216" i="9" s="1"/>
  <c r="B205" i="9"/>
  <c r="J205" i="9"/>
  <c r="R205" i="9"/>
  <c r="AM50" i="12"/>
  <c r="AE53" i="12"/>
  <c r="DW53" i="12"/>
  <c r="FC53" i="12"/>
  <c r="AN54" i="12"/>
  <c r="R53" i="12"/>
  <c r="R54" i="12"/>
  <c r="EH54" i="12"/>
  <c r="EH53" i="12"/>
  <c r="K53" i="12"/>
  <c r="K54" i="12"/>
  <c r="S53" i="12"/>
  <c r="S54" i="12"/>
  <c r="AA53" i="12"/>
  <c r="AA54" i="12"/>
  <c r="AI53" i="12"/>
  <c r="AI54" i="12"/>
  <c r="AQ53" i="12"/>
  <c r="AQ54" i="12"/>
  <c r="AZ53" i="12"/>
  <c r="AZ54" i="12"/>
  <c r="BI53" i="12"/>
  <c r="BI54" i="12"/>
  <c r="BR54" i="12"/>
  <c r="BR53" i="12"/>
  <c r="BZ54" i="12"/>
  <c r="BZ53" i="12"/>
  <c r="FJ54" i="12"/>
  <c r="FJ53" i="12"/>
  <c r="FR54" i="12"/>
  <c r="FR53" i="12"/>
  <c r="AF53" i="12"/>
  <c r="BL53" i="12"/>
  <c r="CR53" i="12"/>
  <c r="I54" i="12"/>
  <c r="AH53" i="12"/>
  <c r="AH54" i="12"/>
  <c r="L53" i="12"/>
  <c r="L54" i="12"/>
  <c r="T53" i="12"/>
  <c r="T54" i="12"/>
  <c r="AB53" i="12"/>
  <c r="AB54" i="12"/>
  <c r="AJ53" i="12"/>
  <c r="AJ54" i="12"/>
  <c r="DB54" i="12"/>
  <c r="DB53" i="12"/>
  <c r="DJ54" i="12"/>
  <c r="DJ53" i="12"/>
  <c r="DS54" i="12"/>
  <c r="DS53" i="12"/>
  <c r="EB53" i="12"/>
  <c r="EB54" i="12"/>
  <c r="G53" i="12"/>
  <c r="CY53" i="12"/>
  <c r="P54" i="12"/>
  <c r="CM54" i="12"/>
  <c r="EQ54" i="12"/>
  <c r="AY53" i="12"/>
  <c r="AY54" i="12"/>
  <c r="EZ53" i="12"/>
  <c r="EZ54" i="12"/>
  <c r="E54" i="12"/>
  <c r="E53" i="12"/>
  <c r="M53" i="12"/>
  <c r="M54" i="12"/>
  <c r="U53" i="12"/>
  <c r="U54" i="12"/>
  <c r="AC53" i="12"/>
  <c r="AC54" i="12"/>
  <c r="AK53" i="12"/>
  <c r="AK54" i="12"/>
  <c r="AT54" i="12"/>
  <c r="AT53" i="12"/>
  <c r="BB54" i="12"/>
  <c r="BB53" i="12"/>
  <c r="DK54" i="12"/>
  <c r="DK53" i="12"/>
  <c r="DT54" i="12"/>
  <c r="DT53" i="12"/>
  <c r="EC53" i="12"/>
  <c r="EC54" i="12"/>
  <c r="EL54" i="12"/>
  <c r="EL53" i="12"/>
  <c r="ET54" i="12"/>
  <c r="ET53" i="12"/>
  <c r="BT53" i="12"/>
  <c r="FL53" i="12"/>
  <c r="Q54" i="12"/>
  <c r="AP53" i="12"/>
  <c r="AP54" i="12"/>
  <c r="DZ54" i="12"/>
  <c r="DZ53" i="12"/>
  <c r="F53" i="12"/>
  <c r="F54" i="12"/>
  <c r="N53" i="12"/>
  <c r="N54" i="12"/>
  <c r="V53" i="12"/>
  <c r="V54" i="12"/>
  <c r="AD53" i="12"/>
  <c r="AD54" i="12"/>
  <c r="AL53" i="12"/>
  <c r="AL54" i="12"/>
  <c r="CD54" i="12"/>
  <c r="CD53" i="12"/>
  <c r="CL54" i="12"/>
  <c r="CL53" i="12"/>
  <c r="CU54" i="12"/>
  <c r="CU53" i="12"/>
  <c r="DD53" i="12"/>
  <c r="DD54" i="12"/>
  <c r="O53" i="12"/>
  <c r="X54" i="12"/>
  <c r="BF54" i="12"/>
  <c r="J53" i="12"/>
  <c r="J54" i="12"/>
  <c r="BH53" i="12"/>
  <c r="BH54" i="12"/>
  <c r="CV54" i="12"/>
  <c r="CV53" i="12"/>
  <c r="DE53" i="12"/>
  <c r="DE54" i="12"/>
  <c r="DN54" i="12"/>
  <c r="DN53" i="12"/>
  <c r="DV54" i="12"/>
  <c r="DV53" i="12"/>
  <c r="E50" i="12"/>
  <c r="AV53" i="12"/>
  <c r="DH53" i="12"/>
  <c r="EN53" i="12"/>
  <c r="FO54" i="12"/>
  <c r="Z53" i="12"/>
  <c r="Z54" i="12"/>
  <c r="BN54" i="12"/>
  <c r="BN53" i="12"/>
  <c r="BW54" i="12"/>
  <c r="BW53" i="12"/>
  <c r="CF53" i="12"/>
  <c r="CF54" i="12"/>
  <c r="EX54" i="12"/>
  <c r="EX53" i="12"/>
  <c r="FF54" i="12"/>
  <c r="FF53" i="12"/>
  <c r="W53" i="12"/>
  <c r="CI53" i="12"/>
  <c r="BO54" i="12"/>
  <c r="BO53" i="12"/>
  <c r="BX54" i="12"/>
  <c r="BX53" i="12"/>
  <c r="CG53" i="12"/>
  <c r="CG54" i="12"/>
  <c r="CP54" i="12"/>
  <c r="CP53" i="12"/>
  <c r="CX54" i="12"/>
  <c r="CX53" i="12"/>
  <c r="CJ53" i="12"/>
  <c r="DP53" i="12"/>
  <c r="DG31" i="12"/>
  <c r="J35" i="12"/>
  <c r="J37" i="12"/>
  <c r="DW31" i="12"/>
  <c r="AR39" i="12"/>
  <c r="AV31" i="12"/>
  <c r="AJ39" i="12"/>
  <c r="CA31" i="12"/>
  <c r="FS31" i="12"/>
  <c r="CS39" i="12"/>
  <c r="AE31" i="12"/>
  <c r="AB39" i="12"/>
  <c r="BK31" i="12"/>
  <c r="T39" i="12"/>
  <c r="BC31" i="12"/>
  <c r="EU31" i="12"/>
  <c r="AL31" i="12"/>
  <c r="BR31" i="12"/>
  <c r="CP31" i="12"/>
  <c r="CX31" i="12"/>
  <c r="DN31" i="12"/>
  <c r="ET31" i="12"/>
  <c r="Y49" i="12"/>
  <c r="EU52" i="12"/>
  <c r="O49" i="12"/>
  <c r="AA49" i="12"/>
  <c r="L49" i="12"/>
  <c r="AJ49" i="12"/>
  <c r="P49" i="12"/>
  <c r="AB49" i="12"/>
  <c r="F49" i="12"/>
  <c r="R49" i="12"/>
  <c r="AD49" i="12"/>
  <c r="AT31" i="12"/>
  <c r="AK49" i="12"/>
  <c r="DB31" i="12"/>
  <c r="DJ31" i="12"/>
  <c r="G49" i="12"/>
  <c r="S49" i="12"/>
  <c r="AE49" i="12"/>
  <c r="M49" i="12"/>
  <c r="K31" i="12"/>
  <c r="T31" i="12"/>
  <c r="AB31" i="12"/>
  <c r="AJ31" i="12"/>
  <c r="I49" i="12"/>
  <c r="U49" i="12"/>
  <c r="AG49" i="12"/>
  <c r="X49" i="12"/>
  <c r="J49" i="12"/>
  <c r="V49" i="12"/>
  <c r="AH49" i="12"/>
  <c r="DZ31" i="12"/>
  <c r="EI52" i="12"/>
  <c r="EI31" i="12"/>
  <c r="ER31" i="12"/>
  <c r="ER52" i="12"/>
  <c r="FA52" i="12"/>
  <c r="FA31" i="12"/>
  <c r="L31" i="12"/>
  <c r="U31" i="12"/>
  <c r="AC31" i="12"/>
  <c r="AK31" i="12"/>
  <c r="BH31" i="12"/>
  <c r="BT31" i="12"/>
  <c r="CF31" i="12"/>
  <c r="CR31" i="12"/>
  <c r="EX31" i="12"/>
  <c r="CS31" i="12"/>
  <c r="CS52" i="12"/>
  <c r="AN36" i="12"/>
  <c r="AN49" i="12" s="1"/>
  <c r="AM47" i="12"/>
  <c r="M31" i="12"/>
  <c r="V31" i="12"/>
  <c r="AD31" i="12"/>
  <c r="AY31" i="12"/>
  <c r="BI31" i="12"/>
  <c r="CG31" i="12"/>
  <c r="DD31" i="12"/>
  <c r="DP31" i="12"/>
  <c r="EB31" i="12"/>
  <c r="EZ31" i="12"/>
  <c r="AM52" i="12"/>
  <c r="V39" i="12"/>
  <c r="AD39" i="12"/>
  <c r="AL39" i="12"/>
  <c r="AT39" i="12"/>
  <c r="BB39" i="12"/>
  <c r="O31" i="12"/>
  <c r="W31" i="12"/>
  <c r="AN31" i="12"/>
  <c r="AZ31" i="12"/>
  <c r="BW31" i="12"/>
  <c r="CU31" i="12"/>
  <c r="DE31" i="12"/>
  <c r="FY31" i="12"/>
  <c r="DV31" i="12"/>
  <c r="EL31" i="12"/>
  <c r="FJ31" i="12"/>
  <c r="FR31" i="12"/>
  <c r="DG52" i="12"/>
  <c r="FS52" i="12"/>
  <c r="BU31" i="12"/>
  <c r="BU52" i="12"/>
  <c r="FD31" i="12"/>
  <c r="FD52" i="12"/>
  <c r="FM31" i="12"/>
  <c r="FM52" i="12"/>
  <c r="F31" i="12"/>
  <c r="P31" i="12"/>
  <c r="X31" i="12"/>
  <c r="AF31" i="12"/>
  <c r="AP31" i="12"/>
  <c r="BL31" i="12"/>
  <c r="BX31" i="12"/>
  <c r="CJ31" i="12"/>
  <c r="CV31" i="12"/>
  <c r="DS31" i="12"/>
  <c r="EH31" i="12"/>
  <c r="FF31" i="12"/>
  <c r="GB31" i="12"/>
  <c r="BC52" i="12"/>
  <c r="GE31" i="12"/>
  <c r="G31" i="12"/>
  <c r="AQ31" i="12"/>
  <c r="BB31" i="12"/>
  <c r="BN31" i="12"/>
  <c r="BZ31" i="12"/>
  <c r="CL31" i="12"/>
  <c r="DH31" i="12"/>
  <c r="DT31" i="12"/>
  <c r="G28" i="12"/>
  <c r="BK52" i="12"/>
  <c r="H31" i="12"/>
  <c r="H52" i="12"/>
  <c r="AW31" i="12"/>
  <c r="AW52" i="12"/>
  <c r="EF31" i="12"/>
  <c r="EF52" i="12"/>
  <c r="EO31" i="12"/>
  <c r="EO52" i="12"/>
  <c r="FX31" i="12"/>
  <c r="GF31" i="12"/>
  <c r="R31" i="12"/>
  <c r="Z31" i="12"/>
  <c r="AH31" i="12"/>
  <c r="BO31" i="12"/>
  <c r="CM31" i="12"/>
  <c r="EN31" i="12"/>
  <c r="FL31" i="12"/>
  <c r="EE52" i="12"/>
  <c r="DQ31" i="12"/>
  <c r="DQ52" i="12"/>
  <c r="Y31" i="12"/>
  <c r="Y52" i="12"/>
  <c r="AG31" i="12"/>
  <c r="AG52" i="12"/>
  <c r="AO31" i="12"/>
  <c r="AO52" i="12"/>
  <c r="FG52" i="12"/>
  <c r="FG31" i="12"/>
  <c r="FP31" i="12"/>
  <c r="FP52" i="12"/>
  <c r="W33" i="12"/>
  <c r="J31" i="12"/>
  <c r="S31" i="12"/>
  <c r="AA31" i="12"/>
  <c r="AI31" i="12"/>
  <c r="BF31" i="12"/>
  <c r="CD31" i="12"/>
  <c r="DK31" i="12"/>
  <c r="EQ31" i="12"/>
  <c r="FO31" i="12"/>
  <c r="FV31" i="12"/>
  <c r="GD31" i="12"/>
  <c r="CA52" i="12"/>
  <c r="EC31" i="12"/>
  <c r="CI31" i="12"/>
  <c r="CY31" i="12"/>
  <c r="FC31" i="12"/>
  <c r="GA31" i="12"/>
  <c r="H28" i="12"/>
  <c r="O47" i="12"/>
  <c r="AA47" i="12"/>
  <c r="M47" i="12"/>
  <c r="P47" i="12"/>
  <c r="AB47" i="12"/>
  <c r="Q31" i="12"/>
  <c r="AK47" i="12"/>
  <c r="F47" i="12"/>
  <c r="R47" i="12"/>
  <c r="AD47" i="12"/>
  <c r="EG39" i="12"/>
  <c r="G47" i="12"/>
  <c r="S47" i="12"/>
  <c r="AE47" i="12"/>
  <c r="I47" i="12"/>
  <c r="U47" i="12"/>
  <c r="AG47" i="12"/>
  <c r="J47" i="12"/>
  <c r="V47" i="12"/>
  <c r="AH47" i="12"/>
  <c r="Y47" i="12"/>
  <c r="F28" i="12"/>
  <c r="L47" i="12"/>
  <c r="X47" i="12"/>
  <c r="AJ47" i="12"/>
  <c r="AZ39" i="12"/>
  <c r="BH39" i="12"/>
  <c r="BP39" i="12"/>
  <c r="BX39" i="12"/>
  <c r="CF39" i="12"/>
  <c r="CN39" i="12"/>
  <c r="CV39" i="12"/>
  <c r="DD39" i="12"/>
  <c r="DL39" i="12"/>
  <c r="DT39" i="12"/>
  <c r="EB39" i="12"/>
  <c r="EJ39" i="12"/>
  <c r="ER39" i="12"/>
  <c r="EZ39" i="12"/>
  <c r="FH39" i="12"/>
  <c r="FP39" i="12"/>
  <c r="FX39" i="12"/>
  <c r="GF39" i="12"/>
  <c r="U39" i="12"/>
  <c r="BA39" i="12"/>
  <c r="CW39" i="12"/>
  <c r="DM39" i="12"/>
  <c r="ES39" i="12"/>
  <c r="FY39" i="12"/>
  <c r="Q39" i="12"/>
  <c r="Y39" i="12"/>
  <c r="AG39" i="12"/>
  <c r="AO39" i="12"/>
  <c r="O39" i="12"/>
  <c r="W39" i="12"/>
  <c r="AE39" i="12"/>
  <c r="AM39" i="12"/>
  <c r="AU39" i="12"/>
  <c r="BC39" i="12"/>
  <c r="BK39" i="12"/>
  <c r="BS39" i="12"/>
  <c r="CA39" i="12"/>
  <c r="CI39" i="12"/>
  <c r="CQ39" i="12"/>
  <c r="CY39" i="12"/>
  <c r="DG39" i="12"/>
  <c r="DO39" i="12"/>
  <c r="DW39" i="12"/>
  <c r="EE39" i="12"/>
  <c r="EM39" i="12"/>
  <c r="EU39" i="12"/>
  <c r="FC39" i="12"/>
  <c r="FK39" i="12"/>
  <c r="FS39" i="12"/>
  <c r="GA39" i="12"/>
  <c r="BJ39" i="12"/>
  <c r="BR39" i="12"/>
  <c r="BZ39" i="12"/>
  <c r="CH39" i="12"/>
  <c r="CP39" i="12"/>
  <c r="CX39" i="12"/>
  <c r="DF39" i="12"/>
  <c r="DN39" i="12"/>
  <c r="DV39" i="12"/>
  <c r="ED39" i="12"/>
  <c r="EL39" i="12"/>
  <c r="ET39" i="12"/>
  <c r="AW39" i="12"/>
  <c r="BE39" i="12"/>
  <c r="BM39" i="12"/>
  <c r="BU39" i="12"/>
  <c r="CC39" i="12"/>
  <c r="CK39" i="12"/>
  <c r="DA39" i="12"/>
  <c r="DI39" i="12"/>
  <c r="DQ39" i="12"/>
  <c r="DY39" i="12"/>
  <c r="EO39" i="12"/>
  <c r="EW39" i="12"/>
  <c r="FE39" i="12"/>
  <c r="FM39" i="12"/>
  <c r="FU39" i="12"/>
  <c r="GC39" i="12"/>
  <c r="F39" i="12"/>
  <c r="S39" i="12"/>
  <c r="AA39" i="12"/>
  <c r="AI39" i="12"/>
  <c r="AQ39" i="12"/>
  <c r="AY39" i="12"/>
  <c r="BG39" i="12"/>
  <c r="BO39" i="12"/>
  <c r="BW39" i="12"/>
  <c r="CE39" i="12"/>
  <c r="CM39" i="12"/>
  <c r="CU39" i="12"/>
  <c r="DC39" i="12"/>
  <c r="DK39" i="12"/>
  <c r="DS39" i="12"/>
  <c r="EA39" i="12"/>
  <c r="EI39" i="12"/>
  <c r="EQ39" i="12"/>
  <c r="EY39" i="12"/>
  <c r="FG39" i="12"/>
  <c r="FO39" i="12"/>
  <c r="FW39" i="12"/>
  <c r="GE39" i="12"/>
  <c r="AC39" i="12"/>
  <c r="AK39" i="12"/>
  <c r="AS39" i="12"/>
  <c r="BI39" i="12"/>
  <c r="BQ39" i="12"/>
  <c r="BY39" i="12"/>
  <c r="CG39" i="12"/>
  <c r="CO39" i="12"/>
  <c r="DE39" i="12"/>
  <c r="DU39" i="12"/>
  <c r="EC39" i="12"/>
  <c r="EK39" i="12"/>
  <c r="FA39" i="12"/>
  <c r="FI39" i="12"/>
  <c r="FQ39" i="12"/>
  <c r="G39" i="12"/>
  <c r="K39" i="12"/>
  <c r="R39" i="12"/>
  <c r="Z39" i="12"/>
  <c r="AH39" i="12"/>
  <c r="AP39" i="12"/>
  <c r="AX39" i="12"/>
  <c r="BF39" i="12"/>
  <c r="BN39" i="12"/>
  <c r="BV39" i="12"/>
  <c r="CD39" i="12"/>
  <c r="CL39" i="12"/>
  <c r="CT39" i="12"/>
  <c r="DB39" i="12"/>
  <c r="DJ39" i="12"/>
  <c r="DR39" i="12"/>
  <c r="DZ39" i="12"/>
  <c r="EH39" i="12"/>
  <c r="EP39" i="12"/>
  <c r="EX39" i="12"/>
  <c r="FF39" i="12"/>
  <c r="FN39" i="12"/>
  <c r="FV39" i="12"/>
  <c r="GD39" i="12"/>
  <c r="J39" i="12"/>
  <c r="M39" i="12"/>
  <c r="L39" i="12"/>
  <c r="E42" i="12"/>
  <c r="F63" i="12" s="1"/>
  <c r="M43" i="12"/>
  <c r="M42" i="12" s="1"/>
  <c r="O63" i="12" s="1"/>
  <c r="AN36" i="2"/>
  <c r="N46" i="12"/>
  <c r="N41" i="12"/>
  <c r="N40" i="12"/>
  <c r="FB39" i="12"/>
  <c r="FJ39" i="12"/>
  <c r="FR39" i="12"/>
  <c r="FZ39" i="12"/>
  <c r="H39" i="12"/>
  <c r="P39" i="12"/>
  <c r="X39" i="12"/>
  <c r="AF39" i="12"/>
  <c r="AN39" i="12"/>
  <c r="AV39" i="12"/>
  <c r="BD39" i="12"/>
  <c r="BL39" i="12"/>
  <c r="BT39" i="12"/>
  <c r="CB39" i="12"/>
  <c r="CJ39" i="12"/>
  <c r="CR39" i="12"/>
  <c r="CZ39" i="12"/>
  <c r="DH39" i="12"/>
  <c r="DP39" i="12"/>
  <c r="DX39" i="12"/>
  <c r="EF39" i="12"/>
  <c r="EN39" i="12"/>
  <c r="EV39" i="12"/>
  <c r="FD39" i="12"/>
  <c r="FL39" i="12"/>
  <c r="FT39" i="12"/>
  <c r="GB39" i="12"/>
  <c r="AE36" i="2"/>
  <c r="E46" i="12"/>
  <c r="E40" i="12"/>
  <c r="AI36" i="2"/>
  <c r="I46" i="12"/>
  <c r="E41" i="12"/>
  <c r="I40" i="12"/>
  <c r="K37" i="12"/>
  <c r="L37" i="12" s="1"/>
  <c r="M37" i="12" s="1"/>
  <c r="N37" i="12" s="1"/>
  <c r="O37" i="12" s="1"/>
  <c r="P37" i="12" s="1"/>
  <c r="Q37" i="12" s="1"/>
  <c r="R37" i="12" s="1"/>
  <c r="S37" i="12" s="1"/>
  <c r="T37" i="12" s="1"/>
  <c r="U37" i="12" s="1"/>
  <c r="V37" i="12" s="1"/>
  <c r="E15" i="12"/>
  <c r="F12" i="12" s="1"/>
  <c r="F17" i="12" s="1"/>
  <c r="F18" i="12"/>
  <c r="G18" i="12"/>
  <c r="D13" i="12"/>
  <c r="C25" i="13" s="1"/>
  <c r="I18" i="12"/>
  <c r="I43" i="12" s="1"/>
  <c r="J18" i="12"/>
  <c r="L18" i="12"/>
  <c r="N7" i="12"/>
  <c r="O7" i="12" s="1"/>
  <c r="P7" i="12" s="1"/>
  <c r="Q7" i="12" s="1"/>
  <c r="R7" i="12" s="1"/>
  <c r="S7" i="12" s="1"/>
  <c r="T7" i="12" s="1"/>
  <c r="U7" i="12" s="1"/>
  <c r="J10" i="12"/>
  <c r="K10" i="12" s="1"/>
  <c r="L10" i="12" s="1"/>
  <c r="M10" i="12" s="1"/>
  <c r="J8" i="12"/>
  <c r="N9" i="12"/>
  <c r="K35" i="12" l="1"/>
  <c r="GA54" i="12"/>
  <c r="GA53" i="12"/>
  <c r="E84" i="13"/>
  <c r="FQ14" i="12" s="1" a="1"/>
  <c r="FQ14" i="12" s="1"/>
  <c r="FQ44" i="12" s="1"/>
  <c r="E76" i="13"/>
  <c r="ES14" i="12" s="1" a="1"/>
  <c r="ES14" i="12" s="1"/>
  <c r="ES44" i="12" s="1"/>
  <c r="E68" i="13"/>
  <c r="DU14" i="12" s="1" a="1"/>
  <c r="DU14" i="12" s="1"/>
  <c r="DU44" i="12" s="1"/>
  <c r="E60" i="13"/>
  <c r="CW14" i="12" s="1" a="1"/>
  <c r="CW14" i="12" s="1"/>
  <c r="CW44" i="12" s="1"/>
  <c r="E52" i="13"/>
  <c r="BY14" i="12" s="1" a="1"/>
  <c r="BY14" i="12" s="1"/>
  <c r="BY44" i="12" s="1"/>
  <c r="E44" i="13"/>
  <c r="BA14" i="12" s="1" a="1"/>
  <c r="BA14" i="12" s="1"/>
  <c r="BA44" i="12" s="1"/>
  <c r="E83" i="13"/>
  <c r="FN14" i="12" s="1" a="1"/>
  <c r="FN14" i="12" s="1"/>
  <c r="FN44" i="12" s="1"/>
  <c r="E75" i="13"/>
  <c r="EP14" i="12" s="1" a="1"/>
  <c r="EP14" i="12" s="1"/>
  <c r="EP44" i="12" s="1"/>
  <c r="E67" i="13"/>
  <c r="DR14" i="12" s="1" a="1"/>
  <c r="DR14" i="12" s="1"/>
  <c r="DR44" i="12" s="1"/>
  <c r="E59" i="13"/>
  <c r="CT14" i="12" s="1" a="1"/>
  <c r="CT14" i="12" s="1"/>
  <c r="CT44" i="12" s="1"/>
  <c r="E51" i="13"/>
  <c r="BV14" i="12" s="1" a="1"/>
  <c r="BV14" i="12" s="1"/>
  <c r="BV44" i="12" s="1"/>
  <c r="E43" i="13"/>
  <c r="AX14" i="12" s="1" a="1"/>
  <c r="AX14" i="12" s="1"/>
  <c r="AX44" i="12" s="1"/>
  <c r="E82" i="13"/>
  <c r="FK14" i="12" s="1" a="1"/>
  <c r="FK14" i="12" s="1"/>
  <c r="FK44" i="12" s="1"/>
  <c r="E74" i="13"/>
  <c r="EM14" i="12" s="1" a="1"/>
  <c r="EM14" i="12" s="1"/>
  <c r="EM44" i="12" s="1"/>
  <c r="E66" i="13"/>
  <c r="DO14" i="12" s="1" a="1"/>
  <c r="DO14" i="12" s="1"/>
  <c r="DO44" i="12" s="1"/>
  <c r="E58" i="13"/>
  <c r="CQ14" i="12" s="1" a="1"/>
  <c r="CQ14" i="12" s="1"/>
  <c r="CQ44" i="12" s="1"/>
  <c r="E50" i="13"/>
  <c r="BS14" i="12" s="1" a="1"/>
  <c r="BS14" i="12" s="1"/>
  <c r="BS44" i="12" s="1"/>
  <c r="E42" i="13"/>
  <c r="AU14" i="12" s="1" a="1"/>
  <c r="AU14" i="12" s="1"/>
  <c r="AU44" i="12" s="1"/>
  <c r="E81" i="13"/>
  <c r="FH14" i="12" s="1" a="1"/>
  <c r="FH14" i="12" s="1"/>
  <c r="FH44" i="12" s="1"/>
  <c r="E73" i="13"/>
  <c r="EJ14" i="12" s="1" a="1"/>
  <c r="EJ14" i="12" s="1"/>
  <c r="EJ44" i="12" s="1"/>
  <c r="E65" i="13"/>
  <c r="DL14" i="12" s="1" a="1"/>
  <c r="DL14" i="12" s="1"/>
  <c r="DL44" i="12" s="1"/>
  <c r="E57" i="13"/>
  <c r="CN14" i="12" s="1" a="1"/>
  <c r="CN14" i="12" s="1"/>
  <c r="CN44" i="12" s="1"/>
  <c r="E49" i="13"/>
  <c r="BP14" i="12" s="1" a="1"/>
  <c r="BP14" i="12" s="1"/>
  <c r="BP44" i="12" s="1"/>
  <c r="E88" i="13"/>
  <c r="GC14" i="12" s="1" a="1"/>
  <c r="GC14" i="12" s="1"/>
  <c r="GC44" i="12" s="1"/>
  <c r="GC52" i="12" s="1"/>
  <c r="E80" i="13"/>
  <c r="FE14" i="12" s="1" a="1"/>
  <c r="FE14" i="12" s="1"/>
  <c r="FE44" i="12" s="1"/>
  <c r="E72" i="13"/>
  <c r="EG14" i="12" s="1" a="1"/>
  <c r="EG14" i="12" s="1"/>
  <c r="EG44" i="12" s="1"/>
  <c r="E64" i="13"/>
  <c r="DI14" i="12" s="1" a="1"/>
  <c r="DI14" i="12" s="1"/>
  <c r="DI44" i="12" s="1"/>
  <c r="E56" i="13"/>
  <c r="CK14" i="12" s="1" a="1"/>
  <c r="CK14" i="12" s="1"/>
  <c r="CK44" i="12" s="1"/>
  <c r="E48" i="13"/>
  <c r="BM14" i="12" s="1" a="1"/>
  <c r="BM14" i="12" s="1"/>
  <c r="BM44" i="12" s="1"/>
  <c r="E87" i="13"/>
  <c r="FZ14" i="12" s="1" a="1"/>
  <c r="FZ14" i="12" s="1"/>
  <c r="FZ44" i="12" s="1"/>
  <c r="FZ52" i="12" s="1"/>
  <c r="E79" i="13"/>
  <c r="FB14" i="12" s="1" a="1"/>
  <c r="FB14" i="12" s="1"/>
  <c r="FB44" i="12" s="1"/>
  <c r="E71" i="13"/>
  <c r="ED14" i="12" s="1" a="1"/>
  <c r="ED14" i="12" s="1"/>
  <c r="ED44" i="12" s="1"/>
  <c r="E63" i="13"/>
  <c r="DF14" i="12" s="1" a="1"/>
  <c r="DF14" i="12" s="1"/>
  <c r="DF44" i="12" s="1"/>
  <c r="E55" i="13"/>
  <c r="CH14" i="12" s="1" a="1"/>
  <c r="CH14" i="12" s="1"/>
  <c r="CH44" i="12" s="1"/>
  <c r="E47" i="13"/>
  <c r="BJ14" i="12" s="1" a="1"/>
  <c r="BJ14" i="12" s="1"/>
  <c r="BJ44" i="12" s="1"/>
  <c r="E86" i="13"/>
  <c r="FW14" i="12" s="1" a="1"/>
  <c r="FW14" i="12" s="1"/>
  <c r="FW44" i="12" s="1"/>
  <c r="FW52" i="12" s="1"/>
  <c r="E78" i="13"/>
  <c r="EY14" i="12" s="1" a="1"/>
  <c r="EY14" i="12" s="1"/>
  <c r="EY44" i="12" s="1"/>
  <c r="E70" i="13"/>
  <c r="EA14" i="12" s="1" a="1"/>
  <c r="EA14" i="12" s="1"/>
  <c r="EA44" i="12" s="1"/>
  <c r="E62" i="13"/>
  <c r="DC14" i="12" s="1" a="1"/>
  <c r="DC14" i="12" s="1"/>
  <c r="DC44" i="12" s="1"/>
  <c r="E54" i="13"/>
  <c r="CE14" i="12" s="1" a="1"/>
  <c r="CE14" i="12" s="1"/>
  <c r="CE44" i="12" s="1"/>
  <c r="E46" i="13"/>
  <c r="BG14" i="12" s="1" a="1"/>
  <c r="BG14" i="12" s="1"/>
  <c r="BG44" i="12" s="1"/>
  <c r="E85" i="13"/>
  <c r="FT14" i="12" s="1" a="1"/>
  <c r="FT14" i="12" s="1"/>
  <c r="FT44" i="12" s="1"/>
  <c r="E77" i="13"/>
  <c r="EV14" i="12" s="1" a="1"/>
  <c r="EV14" i="12" s="1"/>
  <c r="EV44" i="12" s="1"/>
  <c r="E69" i="13"/>
  <c r="DX14" i="12" s="1" a="1"/>
  <c r="DX14" i="12" s="1"/>
  <c r="DX44" i="12" s="1"/>
  <c r="E61" i="13"/>
  <c r="CZ14" i="12" s="1" a="1"/>
  <c r="CZ14" i="12" s="1"/>
  <c r="CZ44" i="12" s="1"/>
  <c r="E53" i="13"/>
  <c r="CB14" i="12" s="1" a="1"/>
  <c r="CB14" i="12" s="1"/>
  <c r="CB44" i="12" s="1"/>
  <c r="E45" i="13"/>
  <c r="BD14" i="12" s="1" a="1"/>
  <c r="BD14" i="12" s="1"/>
  <c r="BD44" i="12" s="1"/>
  <c r="Z205" i="9"/>
  <c r="AF42" i="2"/>
  <c r="E63" i="12"/>
  <c r="E66" i="12" s="1"/>
  <c r="I39" i="12"/>
  <c r="I42" i="12"/>
  <c r="K63" i="12" s="1"/>
  <c r="FS54" i="12"/>
  <c r="FS53" i="12"/>
  <c r="R48" i="12"/>
  <c r="R51" i="12"/>
  <c r="U66" i="12" s="1"/>
  <c r="R50" i="12"/>
  <c r="U65" i="12" s="1"/>
  <c r="CA54" i="12"/>
  <c r="CA53" i="12"/>
  <c r="AW53" i="12"/>
  <c r="AW54" i="12"/>
  <c r="DG54" i="12"/>
  <c r="DG53" i="12"/>
  <c r="CS54" i="12"/>
  <c r="CS53" i="12"/>
  <c r="I48" i="12"/>
  <c r="I51" i="12"/>
  <c r="I50" i="12"/>
  <c r="S48" i="12"/>
  <c r="S51" i="12"/>
  <c r="V66" i="12" s="1"/>
  <c r="S50" i="12"/>
  <c r="V65" i="12" s="1"/>
  <c r="F48" i="12"/>
  <c r="F50" i="12"/>
  <c r="F51" i="12"/>
  <c r="EU54" i="12"/>
  <c r="EU53" i="12"/>
  <c r="AG51" i="12"/>
  <c r="AG50" i="12"/>
  <c r="AE48" i="12"/>
  <c r="AE51" i="12"/>
  <c r="AH66" i="12" s="1"/>
  <c r="AE50" i="12"/>
  <c r="AH65" i="12" s="1"/>
  <c r="DQ54" i="12"/>
  <c r="DQ53" i="12"/>
  <c r="FM54" i="12"/>
  <c r="FM53" i="12"/>
  <c r="G48" i="12"/>
  <c r="G50" i="12"/>
  <c r="H65" i="12" s="1"/>
  <c r="G51" i="12"/>
  <c r="H66" i="12" s="1"/>
  <c r="AB48" i="12"/>
  <c r="AB51" i="12"/>
  <c r="AE66" i="12" s="1"/>
  <c r="AB50" i="12"/>
  <c r="AE65" i="12" s="1"/>
  <c r="Y51" i="12"/>
  <c r="Y50" i="12"/>
  <c r="FG54" i="12"/>
  <c r="FG53" i="12"/>
  <c r="EI54" i="12"/>
  <c r="EI53" i="12"/>
  <c r="H54" i="12"/>
  <c r="H53" i="12"/>
  <c r="BC54" i="12"/>
  <c r="BC53" i="12"/>
  <c r="FA53" i="12"/>
  <c r="FA54" i="12"/>
  <c r="AH48" i="12"/>
  <c r="AH51" i="12"/>
  <c r="AK66" i="12" s="1"/>
  <c r="AH50" i="12"/>
  <c r="AK65" i="12" s="1"/>
  <c r="P48" i="12"/>
  <c r="P51" i="12"/>
  <c r="S66" i="12" s="1"/>
  <c r="P50" i="12"/>
  <c r="S65" i="12" s="1"/>
  <c r="F65" i="12"/>
  <c r="EF54" i="12"/>
  <c r="EF53" i="12"/>
  <c r="AM48" i="12"/>
  <c r="AM54" i="12"/>
  <c r="AP66" i="12" s="1"/>
  <c r="AM53" i="12"/>
  <c r="AP65" i="12" s="1"/>
  <c r="AD48" i="12"/>
  <c r="AD51" i="12"/>
  <c r="AG66" i="12" s="1"/>
  <c r="AD50" i="12"/>
  <c r="AG65" i="12" s="1"/>
  <c r="Y53" i="12"/>
  <c r="Y54" i="12"/>
  <c r="O48" i="12"/>
  <c r="O50" i="12"/>
  <c r="R65" i="12" s="1"/>
  <c r="O51" i="12"/>
  <c r="R66" i="12" s="1"/>
  <c r="FP53" i="12"/>
  <c r="FP54" i="12"/>
  <c r="AO53" i="12"/>
  <c r="AO54" i="12"/>
  <c r="EE54" i="12"/>
  <c r="EE53" i="12"/>
  <c r="FD54" i="12"/>
  <c r="FD53" i="12"/>
  <c r="ER53" i="12"/>
  <c r="ER54" i="12"/>
  <c r="V48" i="12"/>
  <c r="V51" i="12"/>
  <c r="Y66" i="12" s="1"/>
  <c r="V50" i="12"/>
  <c r="Y65" i="12" s="1"/>
  <c r="AA48" i="12"/>
  <c r="AA51" i="12"/>
  <c r="AD66" i="12" s="1"/>
  <c r="AA50" i="12"/>
  <c r="AD65" i="12" s="1"/>
  <c r="EO54" i="12"/>
  <c r="EO53" i="12"/>
  <c r="BK54" i="12"/>
  <c r="BK53" i="12"/>
  <c r="J48" i="12"/>
  <c r="J51" i="12"/>
  <c r="L66" i="12" s="1"/>
  <c r="J50" i="12"/>
  <c r="L65" i="12" s="1"/>
  <c r="AK48" i="12"/>
  <c r="AK51" i="12"/>
  <c r="AN66" i="12" s="1"/>
  <c r="AK50" i="12"/>
  <c r="AN65" i="12" s="1"/>
  <c r="AJ48" i="12"/>
  <c r="AJ51" i="12"/>
  <c r="AM66" i="12" s="1"/>
  <c r="AJ50" i="12"/>
  <c r="AM65" i="12" s="1"/>
  <c r="M48" i="12"/>
  <c r="M51" i="12"/>
  <c r="O66" i="12" s="1"/>
  <c r="M50" i="12"/>
  <c r="O65" i="12" s="1"/>
  <c r="U48" i="12"/>
  <c r="U51" i="12"/>
  <c r="U50" i="12"/>
  <c r="AG53" i="12"/>
  <c r="AG54" i="12"/>
  <c r="BU54" i="12"/>
  <c r="BU53" i="12"/>
  <c r="AN48" i="12"/>
  <c r="AN51" i="12"/>
  <c r="AQ66" i="12" s="1"/>
  <c r="AN50" i="12"/>
  <c r="AQ65" i="12" s="1"/>
  <c r="X48" i="12"/>
  <c r="X51" i="12"/>
  <c r="AA66" i="12" s="1"/>
  <c r="X50" i="12"/>
  <c r="AA65" i="12" s="1"/>
  <c r="L48" i="12"/>
  <c r="L51" i="12"/>
  <c r="N66" i="12" s="1"/>
  <c r="L50" i="12"/>
  <c r="N65" i="12" s="1"/>
  <c r="F66" i="12"/>
  <c r="I31" i="12"/>
  <c r="J63" i="12"/>
  <c r="N31" i="12"/>
  <c r="P63" i="12"/>
  <c r="FI44" i="12"/>
  <c r="DA44" i="12"/>
  <c r="DM44" i="12"/>
  <c r="E41" i="13"/>
  <c r="EK44" i="12"/>
  <c r="CC44" i="12"/>
  <c r="FU44" i="12"/>
  <c r="EW44" i="12"/>
  <c r="CO44" i="12"/>
  <c r="DY44" i="12"/>
  <c r="W37" i="12"/>
  <c r="AG48" i="12"/>
  <c r="Y48" i="12"/>
  <c r="X33" i="12"/>
  <c r="AO36" i="12"/>
  <c r="AP36" i="12" s="1"/>
  <c r="AP49" i="12" s="1"/>
  <c r="AN47" i="12"/>
  <c r="E31" i="12"/>
  <c r="D46" i="12"/>
  <c r="K8" i="12"/>
  <c r="J28" i="12"/>
  <c r="D41" i="12"/>
  <c r="M38" i="12"/>
  <c r="AL43" i="2"/>
  <c r="L43" i="12"/>
  <c r="L42" i="12" s="1"/>
  <c r="N39" i="12"/>
  <c r="AJ43" i="2"/>
  <c r="J43" i="12"/>
  <c r="J42" i="12" s="1"/>
  <c r="D40" i="12"/>
  <c r="E39" i="12"/>
  <c r="E58" i="12" s="1"/>
  <c r="AG43" i="2"/>
  <c r="G43" i="12"/>
  <c r="G42" i="12" s="1"/>
  <c r="AF43" i="2"/>
  <c r="F43" i="12"/>
  <c r="AI43" i="2"/>
  <c r="F15" i="12"/>
  <c r="G12" i="12" s="1"/>
  <c r="G17" i="12" s="1"/>
  <c r="V7" i="12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AG7" i="12" s="1"/>
  <c r="U10" i="12"/>
  <c r="N10" i="12"/>
  <c r="O10" i="12" s="1"/>
  <c r="P10" i="12" s="1"/>
  <c r="Q10" i="12" s="1"/>
  <c r="R10" i="12" s="1"/>
  <c r="S10" i="12" s="1"/>
  <c r="T10" i="12" s="1"/>
  <c r="O9" i="12"/>
  <c r="E89" i="13" l="1"/>
  <c r="E90" i="13" s="1"/>
  <c r="L35" i="12"/>
  <c r="FZ54" i="12"/>
  <c r="FZ53" i="12"/>
  <c r="FU52" i="12"/>
  <c r="FW54" i="12"/>
  <c r="FW53" i="12"/>
  <c r="GC53" i="12"/>
  <c r="GC54" i="12"/>
  <c r="E65" i="12"/>
  <c r="E64" i="12" s="1"/>
  <c r="BJ52" i="12"/>
  <c r="BJ31" i="12"/>
  <c r="H75" i="13"/>
  <c r="H60" i="13"/>
  <c r="H86" i="13"/>
  <c r="DF52" i="12"/>
  <c r="DF31" i="12"/>
  <c r="H76" i="13"/>
  <c r="BV52" i="12"/>
  <c r="BV31" i="12"/>
  <c r="H79" i="13"/>
  <c r="H56" i="13"/>
  <c r="H41" i="13"/>
  <c r="AR14" i="12" a="1"/>
  <c r="AR14" i="12" s="1"/>
  <c r="AR44" i="12" s="1"/>
  <c r="H65" i="13"/>
  <c r="FW31" i="12"/>
  <c r="ED52" i="12"/>
  <c r="ED31" i="12"/>
  <c r="CK31" i="12"/>
  <c r="CK52" i="12"/>
  <c r="H84" i="13"/>
  <c r="H69" i="13"/>
  <c r="FK52" i="12"/>
  <c r="FK31" i="12"/>
  <c r="CT52" i="12"/>
  <c r="CT31" i="12"/>
  <c r="H87" i="13"/>
  <c r="H64" i="13"/>
  <c r="EV31" i="12"/>
  <c r="EV52" i="12"/>
  <c r="CQ31" i="12"/>
  <c r="CQ52" i="12"/>
  <c r="FT52" i="12"/>
  <c r="FT31" i="12"/>
  <c r="H83" i="13"/>
  <c r="FQ52" i="12"/>
  <c r="FQ31" i="12"/>
  <c r="BM31" i="12"/>
  <c r="BM52" i="12"/>
  <c r="BD52" i="12"/>
  <c r="BD31" i="12"/>
  <c r="H73" i="13"/>
  <c r="H58" i="13"/>
  <c r="FB52" i="12"/>
  <c r="FB31" i="12"/>
  <c r="DI31" i="12"/>
  <c r="DI52" i="12"/>
  <c r="BP52" i="12"/>
  <c r="BP31" i="12"/>
  <c r="H77" i="13"/>
  <c r="H54" i="13"/>
  <c r="DR52" i="12"/>
  <c r="DR31" i="12"/>
  <c r="BA52" i="12"/>
  <c r="BA31" i="12"/>
  <c r="H72" i="13"/>
  <c r="DC52" i="12"/>
  <c r="DC31" i="12"/>
  <c r="ES52" i="12"/>
  <c r="ES31" i="12"/>
  <c r="EA52" i="12"/>
  <c r="EA31" i="12"/>
  <c r="DO31" i="12"/>
  <c r="DO52" i="12"/>
  <c r="H71" i="13"/>
  <c r="EM31" i="12"/>
  <c r="EM52" i="12"/>
  <c r="CB52" i="12"/>
  <c r="CB31" i="12"/>
  <c r="H81" i="13"/>
  <c r="H66" i="13"/>
  <c r="FZ31" i="12"/>
  <c r="EG31" i="12"/>
  <c r="EG52" i="12"/>
  <c r="CN52" i="12"/>
  <c r="CN31" i="12"/>
  <c r="H85" i="13"/>
  <c r="H62" i="13"/>
  <c r="EP52" i="12"/>
  <c r="EP31" i="12"/>
  <c r="BY52" i="12"/>
  <c r="BY31" i="12"/>
  <c r="H80" i="13"/>
  <c r="FH52" i="12"/>
  <c r="FH31" i="12"/>
  <c r="H63" i="13"/>
  <c r="H57" i="13"/>
  <c r="H61" i="13"/>
  <c r="CZ52" i="12"/>
  <c r="CZ31" i="12"/>
  <c r="BG52" i="12"/>
  <c r="BG31" i="12"/>
  <c r="H74" i="13"/>
  <c r="H59" i="13"/>
  <c r="FE31" i="12"/>
  <c r="FE52" i="12"/>
  <c r="DL52" i="12"/>
  <c r="DL31" i="12"/>
  <c r="AU31" i="12"/>
  <c r="AU52" i="12"/>
  <c r="H70" i="13"/>
  <c r="FN52" i="12"/>
  <c r="FN31" i="12"/>
  <c r="CW52" i="12"/>
  <c r="CW31" i="12"/>
  <c r="H88" i="13"/>
  <c r="CH52" i="12"/>
  <c r="CH31" i="12"/>
  <c r="H68" i="13"/>
  <c r="H53" i="13"/>
  <c r="AX52" i="12"/>
  <c r="AX31" i="12"/>
  <c r="EY52" i="12"/>
  <c r="EY31" i="12"/>
  <c r="DX52" i="12"/>
  <c r="DX31" i="12"/>
  <c r="CE52" i="12"/>
  <c r="CE31" i="12"/>
  <c r="H82" i="13"/>
  <c r="H67" i="13"/>
  <c r="GC31" i="12"/>
  <c r="EJ52" i="12"/>
  <c r="EJ31" i="12"/>
  <c r="BS52" i="12"/>
  <c r="BS31" i="12"/>
  <c r="H78" i="13"/>
  <c r="H55" i="13"/>
  <c r="DU52" i="12"/>
  <c r="DU31" i="12"/>
  <c r="AB65" i="12"/>
  <c r="I38" i="12"/>
  <c r="AM64" i="12"/>
  <c r="Y64" i="12"/>
  <c r="AE64" i="12"/>
  <c r="V64" i="12"/>
  <c r="U64" i="12"/>
  <c r="G65" i="12"/>
  <c r="X65" i="12"/>
  <c r="X66" i="12"/>
  <c r="K65" i="12"/>
  <c r="K66" i="12"/>
  <c r="R64" i="12"/>
  <c r="AK64" i="12"/>
  <c r="AG64" i="12"/>
  <c r="AA64" i="12"/>
  <c r="AN64" i="12"/>
  <c r="AD64" i="12"/>
  <c r="P66" i="12"/>
  <c r="P65" i="12"/>
  <c r="AB66" i="12"/>
  <c r="AJ65" i="12"/>
  <c r="AJ66" i="12"/>
  <c r="AP48" i="12"/>
  <c r="AP51" i="12"/>
  <c r="AS66" i="12" s="1"/>
  <c r="AP50" i="12"/>
  <c r="AS65" i="12" s="1"/>
  <c r="J66" i="12"/>
  <c r="J65" i="12"/>
  <c r="G66" i="12"/>
  <c r="AQ64" i="12"/>
  <c r="O64" i="12"/>
  <c r="F64" i="12"/>
  <c r="N64" i="12"/>
  <c r="L64" i="12"/>
  <c r="AP64" i="12"/>
  <c r="S64" i="12"/>
  <c r="H64" i="12"/>
  <c r="AH64" i="12"/>
  <c r="J38" i="12"/>
  <c r="L63" i="12"/>
  <c r="G38" i="12"/>
  <c r="H63" i="12"/>
  <c r="L38" i="12"/>
  <c r="N63" i="12"/>
  <c r="H49" i="13"/>
  <c r="H45" i="13"/>
  <c r="H51" i="13"/>
  <c r="H50" i="13"/>
  <c r="H52" i="13"/>
  <c r="H42" i="13"/>
  <c r="H44" i="13"/>
  <c r="H47" i="13"/>
  <c r="H43" i="13"/>
  <c r="H46" i="13"/>
  <c r="H48" i="13"/>
  <c r="D39" i="12"/>
  <c r="DM31" i="12"/>
  <c r="DM52" i="12"/>
  <c r="AQ36" i="12"/>
  <c r="AQ49" i="12" s="1"/>
  <c r="AP47" i="12"/>
  <c r="Y33" i="12"/>
  <c r="FI31" i="12"/>
  <c r="FI52" i="12"/>
  <c r="CC31" i="12"/>
  <c r="CC52" i="12"/>
  <c r="FU31" i="12"/>
  <c r="EK31" i="12"/>
  <c r="EK52" i="12"/>
  <c r="CO31" i="12"/>
  <c r="CO52" i="12"/>
  <c r="DA31" i="12"/>
  <c r="DA52" i="12"/>
  <c r="DY31" i="12"/>
  <c r="DY52" i="12"/>
  <c r="EW31" i="12"/>
  <c r="EW52" i="12"/>
  <c r="X37" i="12"/>
  <c r="L8" i="12"/>
  <c r="K28" i="12"/>
  <c r="E38" i="12"/>
  <c r="F58" i="12"/>
  <c r="G58" i="12" s="1"/>
  <c r="H58" i="12" s="1"/>
  <c r="I58" i="12" s="1"/>
  <c r="J58" i="12" s="1"/>
  <c r="K58" i="12" s="1"/>
  <c r="L58" i="12" s="1"/>
  <c r="M58" i="12" s="1"/>
  <c r="N58" i="12" s="1"/>
  <c r="O58" i="12" s="1"/>
  <c r="P58" i="12" s="1"/>
  <c r="Q58" i="12" s="1"/>
  <c r="R58" i="12" s="1"/>
  <c r="S58" i="12" s="1"/>
  <c r="T58" i="12" s="1"/>
  <c r="U58" i="12" s="1"/>
  <c r="V58" i="12" s="1"/>
  <c r="W58" i="12" s="1"/>
  <c r="X58" i="12" s="1"/>
  <c r="Y58" i="12" s="1"/>
  <c r="Z58" i="12" s="1"/>
  <c r="AA58" i="12" s="1"/>
  <c r="AB58" i="12" s="1"/>
  <c r="AC58" i="12" s="1"/>
  <c r="AD58" i="12" s="1"/>
  <c r="AE58" i="12" s="1"/>
  <c r="AF58" i="12" s="1"/>
  <c r="AG58" i="12" s="1"/>
  <c r="AH58" i="12" s="1"/>
  <c r="AI58" i="12" s="1"/>
  <c r="AJ58" i="12" s="1"/>
  <c r="AK58" i="12" s="1"/>
  <c r="AL58" i="12" s="1"/>
  <c r="AM58" i="12" s="1"/>
  <c r="AN58" i="12" s="1"/>
  <c r="AO58" i="12" s="1"/>
  <c r="AP58" i="12" s="1"/>
  <c r="AQ58" i="12" s="1"/>
  <c r="F42" i="12"/>
  <c r="G63" i="12" s="1"/>
  <c r="BQ44" i="12"/>
  <c r="G15" i="12"/>
  <c r="H12" i="12" s="1"/>
  <c r="H17" i="12" s="1"/>
  <c r="AG42" i="2"/>
  <c r="BE44" i="12"/>
  <c r="AS44" i="12"/>
  <c r="X45" i="12"/>
  <c r="P9" i="12"/>
  <c r="P18" i="12" s="1"/>
  <c r="P43" i="12" s="1"/>
  <c r="P42" i="12" s="1"/>
  <c r="O18" i="12"/>
  <c r="O43" i="12" s="1"/>
  <c r="O42" i="12" s="1"/>
  <c r="V10" i="12"/>
  <c r="W10" i="12" s="1"/>
  <c r="X10" i="12" s="1"/>
  <c r="Y10" i="12" s="1"/>
  <c r="Z10" i="12" s="1"/>
  <c r="AA10" i="12" s="1"/>
  <c r="AB10" i="12" s="1"/>
  <c r="AC10" i="12" s="1"/>
  <c r="AD10" i="12" s="1"/>
  <c r="AE10" i="12" s="1"/>
  <c r="AF10" i="12" s="1"/>
  <c r="AH7" i="12"/>
  <c r="AI7" i="12" s="1"/>
  <c r="AJ7" i="12" s="1"/>
  <c r="AK7" i="12" s="1"/>
  <c r="AL7" i="12" s="1"/>
  <c r="AM7" i="12" s="1"/>
  <c r="AN7" i="12" s="1"/>
  <c r="AO7" i="12" s="1"/>
  <c r="AP7" i="12" s="1"/>
  <c r="AQ7" i="12" s="1"/>
  <c r="AR7" i="12" s="1"/>
  <c r="AS7" i="12" s="1"/>
  <c r="AG10" i="12"/>
  <c r="M35" i="12" l="1"/>
  <c r="FU53" i="12"/>
  <c r="FU54" i="12"/>
  <c r="AX53" i="12"/>
  <c r="AX54" i="12"/>
  <c r="AU54" i="12"/>
  <c r="AU53" i="12"/>
  <c r="DO53" i="12"/>
  <c r="DO54" i="12"/>
  <c r="BP53" i="12"/>
  <c r="BP54" i="12"/>
  <c r="BD54" i="12"/>
  <c r="BD53" i="12"/>
  <c r="FT54" i="12"/>
  <c r="FT53" i="12"/>
  <c r="CT53" i="12"/>
  <c r="CT54" i="12"/>
  <c r="ED54" i="12"/>
  <c r="ED53" i="12"/>
  <c r="DU54" i="12"/>
  <c r="DU53" i="12"/>
  <c r="EP54" i="12"/>
  <c r="EP53" i="12"/>
  <c r="DC53" i="12"/>
  <c r="DC54" i="12"/>
  <c r="CH54" i="12"/>
  <c r="CH53" i="12"/>
  <c r="CQ54" i="12"/>
  <c r="CQ53" i="12"/>
  <c r="EJ54" i="12"/>
  <c r="EJ53" i="12"/>
  <c r="AR52" i="12"/>
  <c r="AR58" i="12" s="1"/>
  <c r="AR31" i="12"/>
  <c r="DX54" i="12"/>
  <c r="DX53" i="12"/>
  <c r="FN54" i="12"/>
  <c r="FN53" i="12"/>
  <c r="BG53" i="12"/>
  <c r="BG54" i="12"/>
  <c r="DI54" i="12"/>
  <c r="DI53" i="12"/>
  <c r="FH54" i="12"/>
  <c r="FH53" i="12"/>
  <c r="BA53" i="12"/>
  <c r="BA54" i="12"/>
  <c r="BM53" i="12"/>
  <c r="BM54" i="12"/>
  <c r="FK53" i="12"/>
  <c r="FK54" i="12"/>
  <c r="BV54" i="12"/>
  <c r="BV53" i="12"/>
  <c r="EM53" i="12"/>
  <c r="EM54" i="12"/>
  <c r="BS54" i="12"/>
  <c r="BS53" i="12"/>
  <c r="EY54" i="12"/>
  <c r="EY53" i="12"/>
  <c r="DL53" i="12"/>
  <c r="DL54" i="12"/>
  <c r="CZ54" i="12"/>
  <c r="CZ53" i="12"/>
  <c r="CN53" i="12"/>
  <c r="CN54" i="12"/>
  <c r="EA53" i="12"/>
  <c r="EA54" i="12"/>
  <c r="EV54" i="12"/>
  <c r="EV53" i="12"/>
  <c r="BY54" i="12"/>
  <c r="BY53" i="12"/>
  <c r="ES54" i="12"/>
  <c r="ES53" i="12"/>
  <c r="FQ53" i="12"/>
  <c r="FQ54" i="12"/>
  <c r="CK54" i="12"/>
  <c r="CK53" i="12"/>
  <c r="DF53" i="12"/>
  <c r="DF54" i="12"/>
  <c r="CE53" i="12"/>
  <c r="CE54" i="12"/>
  <c r="CW54" i="12"/>
  <c r="CW53" i="12"/>
  <c r="FE53" i="12"/>
  <c r="FE54" i="12"/>
  <c r="EG54" i="12"/>
  <c r="EG53" i="12"/>
  <c r="CB53" i="12"/>
  <c r="CB54" i="12"/>
  <c r="DR54" i="12"/>
  <c r="DR53" i="12"/>
  <c r="FB54" i="12"/>
  <c r="FB53" i="12"/>
  <c r="BJ54" i="12"/>
  <c r="BJ53" i="12"/>
  <c r="J64" i="12"/>
  <c r="P64" i="12"/>
  <c r="AB64" i="12"/>
  <c r="X64" i="12"/>
  <c r="K64" i="12"/>
  <c r="AJ64" i="12"/>
  <c r="FI53" i="12"/>
  <c r="FI54" i="12"/>
  <c r="AS64" i="12"/>
  <c r="G64" i="12"/>
  <c r="CC54" i="12"/>
  <c r="CC53" i="12"/>
  <c r="EW54" i="12"/>
  <c r="EW53" i="12"/>
  <c r="CO53" i="12"/>
  <c r="CO54" i="12"/>
  <c r="EK54" i="12"/>
  <c r="EK53" i="12"/>
  <c r="DY53" i="12"/>
  <c r="DY54" i="12"/>
  <c r="AQ48" i="12"/>
  <c r="AQ51" i="12"/>
  <c r="AT66" i="12" s="1"/>
  <c r="AQ50" i="12"/>
  <c r="AT65" i="12" s="1"/>
  <c r="DA53" i="12"/>
  <c r="DA54" i="12"/>
  <c r="DM53" i="12"/>
  <c r="DM54" i="12"/>
  <c r="O38" i="12"/>
  <c r="R63" i="12"/>
  <c r="P38" i="12"/>
  <c r="S63" i="12"/>
  <c r="F38" i="12"/>
  <c r="BQ31" i="12"/>
  <c r="BQ52" i="12"/>
  <c r="Z33" i="12"/>
  <c r="Y45" i="12"/>
  <c r="BE31" i="12"/>
  <c r="BE52" i="12"/>
  <c r="S45" i="12"/>
  <c r="AR36" i="12"/>
  <c r="AS36" i="12" s="1"/>
  <c r="AS49" i="12" s="1"/>
  <c r="AQ47" i="12"/>
  <c r="Y37" i="12"/>
  <c r="AS31" i="12"/>
  <c r="AS52" i="12"/>
  <c r="M8" i="12"/>
  <c r="L28" i="12"/>
  <c r="D44" i="12"/>
  <c r="H15" i="12"/>
  <c r="I12" i="12" s="1"/>
  <c r="AH42" i="2"/>
  <c r="D14" i="12"/>
  <c r="Q9" i="12"/>
  <c r="AH10" i="12"/>
  <c r="AI10" i="12" s="1"/>
  <c r="AJ10" i="12" s="1"/>
  <c r="AK10" i="12" s="1"/>
  <c r="AL10" i="12" s="1"/>
  <c r="AM10" i="12" s="1"/>
  <c r="AN10" i="12" s="1"/>
  <c r="AO10" i="12" s="1"/>
  <c r="AP10" i="12" s="1"/>
  <c r="AQ10" i="12" s="1"/>
  <c r="AR10" i="12" s="1"/>
  <c r="AT7" i="12"/>
  <c r="AU7" i="12" s="1"/>
  <c r="AV7" i="12" s="1"/>
  <c r="AW7" i="12" s="1"/>
  <c r="AX7" i="12" s="1"/>
  <c r="AY7" i="12" s="1"/>
  <c r="AZ7" i="12" s="1"/>
  <c r="BA7" i="12" s="1"/>
  <c r="BB7" i="12" s="1"/>
  <c r="BC7" i="12" s="1"/>
  <c r="BD7" i="12" s="1"/>
  <c r="BE7" i="12" s="1"/>
  <c r="AS10" i="12"/>
  <c r="C104" i="1"/>
  <c r="D24" i="3" s="1"/>
  <c r="C102" i="1"/>
  <c r="E22" i="3" s="1"/>
  <c r="C101" i="1"/>
  <c r="D21" i="3" s="1"/>
  <c r="C100" i="1"/>
  <c r="E20" i="3" s="1"/>
  <c r="C99" i="1"/>
  <c r="E19" i="3" s="1"/>
  <c r="D99" i="1"/>
  <c r="E99" i="1"/>
  <c r="F99" i="1"/>
  <c r="G99" i="1"/>
  <c r="G98" i="1"/>
  <c r="H18" i="3" s="1"/>
  <c r="F98" i="1"/>
  <c r="G18" i="3" s="1"/>
  <c r="E98" i="1"/>
  <c r="F18" i="3" s="1"/>
  <c r="D98" i="1"/>
  <c r="E18" i="3" s="1"/>
  <c r="C98" i="1"/>
  <c r="D18" i="3" s="1"/>
  <c r="G23" i="9"/>
  <c r="F23" i="9"/>
  <c r="G22" i="9"/>
  <c r="F22" i="9"/>
  <c r="F17" i="9"/>
  <c r="J17" i="12" l="1"/>
  <c r="AJ42" i="2" s="1"/>
  <c r="I17" i="12"/>
  <c r="AI42" i="2" s="1"/>
  <c r="N35" i="12"/>
  <c r="AR54" i="12"/>
  <c r="AR53" i="12"/>
  <c r="AT64" i="12"/>
  <c r="AS51" i="12"/>
  <c r="AS50" i="12"/>
  <c r="AS58" i="12"/>
  <c r="AT58" i="12" s="1"/>
  <c r="AU58" i="12" s="1"/>
  <c r="AV58" i="12" s="1"/>
  <c r="AW58" i="12" s="1"/>
  <c r="AX58" i="12" s="1"/>
  <c r="AY58" i="12" s="1"/>
  <c r="AZ58" i="12" s="1"/>
  <c r="BA58" i="12" s="1"/>
  <c r="BB58" i="12" s="1"/>
  <c r="BC58" i="12" s="1"/>
  <c r="BD58" i="12" s="1"/>
  <c r="BE58" i="12" s="1"/>
  <c r="BF58" i="12" s="1"/>
  <c r="BG58" i="12" s="1"/>
  <c r="BH58" i="12" s="1"/>
  <c r="BI58" i="12" s="1"/>
  <c r="BJ58" i="12" s="1"/>
  <c r="BK58" i="12" s="1"/>
  <c r="BL58" i="12" s="1"/>
  <c r="BM58" i="12" s="1"/>
  <c r="BN58" i="12" s="1"/>
  <c r="BO58" i="12" s="1"/>
  <c r="BP58" i="12" s="1"/>
  <c r="BQ58" i="12" s="1"/>
  <c r="BR58" i="12" s="1"/>
  <c r="BS58" i="12" s="1"/>
  <c r="BT58" i="12" s="1"/>
  <c r="BU58" i="12" s="1"/>
  <c r="BV58" i="12" s="1"/>
  <c r="BW58" i="12" s="1"/>
  <c r="BX58" i="12" s="1"/>
  <c r="BY58" i="12" s="1"/>
  <c r="BZ58" i="12" s="1"/>
  <c r="CA58" i="12" s="1"/>
  <c r="CB58" i="12" s="1"/>
  <c r="CC58" i="12" s="1"/>
  <c r="CD58" i="12" s="1"/>
  <c r="CE58" i="12" s="1"/>
  <c r="CF58" i="12" s="1"/>
  <c r="CG58" i="12" s="1"/>
  <c r="CH58" i="12" s="1"/>
  <c r="CI58" i="12" s="1"/>
  <c r="CJ58" i="12" s="1"/>
  <c r="CK58" i="12" s="1"/>
  <c r="CL58" i="12" s="1"/>
  <c r="CM58" i="12" s="1"/>
  <c r="CN58" i="12" s="1"/>
  <c r="CO58" i="12" s="1"/>
  <c r="CP58" i="12" s="1"/>
  <c r="CQ58" i="12" s="1"/>
  <c r="CR58" i="12" s="1"/>
  <c r="CS58" i="12" s="1"/>
  <c r="CT58" i="12" s="1"/>
  <c r="CU58" i="12" s="1"/>
  <c r="CV58" i="12" s="1"/>
  <c r="CW58" i="12" s="1"/>
  <c r="CX58" i="12" s="1"/>
  <c r="CY58" i="12" s="1"/>
  <c r="CZ58" i="12" s="1"/>
  <c r="DA58" i="12" s="1"/>
  <c r="DB58" i="12" s="1"/>
  <c r="DC58" i="12" s="1"/>
  <c r="DD58" i="12" s="1"/>
  <c r="DE58" i="12" s="1"/>
  <c r="DF58" i="12" s="1"/>
  <c r="DG58" i="12" s="1"/>
  <c r="DH58" i="12" s="1"/>
  <c r="DI58" i="12" s="1"/>
  <c r="DJ58" i="12" s="1"/>
  <c r="DK58" i="12" s="1"/>
  <c r="DL58" i="12" s="1"/>
  <c r="DM58" i="12" s="1"/>
  <c r="DN58" i="12" s="1"/>
  <c r="DO58" i="12" s="1"/>
  <c r="DP58" i="12" s="1"/>
  <c r="DQ58" i="12" s="1"/>
  <c r="DR58" i="12" s="1"/>
  <c r="DS58" i="12" s="1"/>
  <c r="DT58" i="12" s="1"/>
  <c r="DU58" i="12" s="1"/>
  <c r="DV58" i="12" s="1"/>
  <c r="DW58" i="12" s="1"/>
  <c r="DX58" i="12" s="1"/>
  <c r="DY58" i="12" s="1"/>
  <c r="DZ58" i="12" s="1"/>
  <c r="EA58" i="12" s="1"/>
  <c r="EB58" i="12" s="1"/>
  <c r="EC58" i="12" s="1"/>
  <c r="ED58" i="12" s="1"/>
  <c r="EE58" i="12" s="1"/>
  <c r="EF58" i="12" s="1"/>
  <c r="EG58" i="12" s="1"/>
  <c r="EH58" i="12" s="1"/>
  <c r="EI58" i="12" s="1"/>
  <c r="EJ58" i="12" s="1"/>
  <c r="EK58" i="12" s="1"/>
  <c r="EL58" i="12" s="1"/>
  <c r="EM58" i="12" s="1"/>
  <c r="EN58" i="12" s="1"/>
  <c r="EO58" i="12" s="1"/>
  <c r="EP58" i="12" s="1"/>
  <c r="EQ58" i="12" s="1"/>
  <c r="ER58" i="12" s="1"/>
  <c r="ES58" i="12" s="1"/>
  <c r="ET58" i="12" s="1"/>
  <c r="EU58" i="12" s="1"/>
  <c r="EV58" i="12" s="1"/>
  <c r="EW58" i="12" s="1"/>
  <c r="EX58" i="12" s="1"/>
  <c r="EY58" i="12" s="1"/>
  <c r="EZ58" i="12" s="1"/>
  <c r="FA58" i="12" s="1"/>
  <c r="FB58" i="12" s="1"/>
  <c r="FC58" i="12" s="1"/>
  <c r="FD58" i="12" s="1"/>
  <c r="FE58" i="12" s="1"/>
  <c r="FF58" i="12" s="1"/>
  <c r="FG58" i="12" s="1"/>
  <c r="FH58" i="12" s="1"/>
  <c r="FI58" i="12" s="1"/>
  <c r="FJ58" i="12" s="1"/>
  <c r="FK58" i="12" s="1"/>
  <c r="FL58" i="12" s="1"/>
  <c r="FM58" i="12" s="1"/>
  <c r="FN58" i="12" s="1"/>
  <c r="FO58" i="12" s="1"/>
  <c r="FP58" i="12" s="1"/>
  <c r="FQ58" i="12" s="1"/>
  <c r="FR58" i="12" s="1"/>
  <c r="FS58" i="12" s="1"/>
  <c r="FT58" i="12" s="1"/>
  <c r="FU58" i="12" s="1"/>
  <c r="FV58" i="12" s="1"/>
  <c r="FW58" i="12" s="1"/>
  <c r="FX58" i="12" s="1"/>
  <c r="FY58" i="12" s="1"/>
  <c r="FZ58" i="12" s="1"/>
  <c r="GA58" i="12" s="1"/>
  <c r="GB58" i="12" s="1"/>
  <c r="GC58" i="12" s="1"/>
  <c r="GD58" i="12" s="1"/>
  <c r="GE58" i="12" s="1"/>
  <c r="GF58" i="12" s="1"/>
  <c r="AS53" i="12"/>
  <c r="AS54" i="12"/>
  <c r="BE54" i="12"/>
  <c r="BE53" i="12"/>
  <c r="BQ53" i="12"/>
  <c r="BQ54" i="12"/>
  <c r="Z37" i="12"/>
  <c r="AS48" i="12"/>
  <c r="AA33" i="12"/>
  <c r="AT36" i="12"/>
  <c r="AT49" i="12" s="1"/>
  <c r="AS47" i="12"/>
  <c r="D52" i="12"/>
  <c r="E48" i="12"/>
  <c r="M28" i="12"/>
  <c r="N8" i="12"/>
  <c r="J45" i="12"/>
  <c r="J55" i="12" s="1"/>
  <c r="J30" i="12" s="1"/>
  <c r="I45" i="12"/>
  <c r="I55" i="12" s="1"/>
  <c r="I30" i="12" s="1"/>
  <c r="L45" i="12"/>
  <c r="L55" i="12" s="1"/>
  <c r="L30" i="12" s="1"/>
  <c r="P45" i="12"/>
  <c r="P55" i="12" s="1"/>
  <c r="P30" i="12" s="1"/>
  <c r="O45" i="12"/>
  <c r="O55" i="12" s="1"/>
  <c r="O30" i="12" s="1"/>
  <c r="R45" i="12"/>
  <c r="F45" i="12"/>
  <c r="F55" i="12" s="1"/>
  <c r="F30" i="12" s="1"/>
  <c r="M45" i="12"/>
  <c r="M55" i="12" s="1"/>
  <c r="M30" i="12" s="1"/>
  <c r="G45" i="12"/>
  <c r="G55" i="12" s="1"/>
  <c r="G30" i="12" s="1"/>
  <c r="I15" i="12"/>
  <c r="J12" i="12" s="1"/>
  <c r="J15" i="12" s="1"/>
  <c r="K12" i="12" s="1"/>
  <c r="K17" i="12" s="1"/>
  <c r="R9" i="12"/>
  <c r="AT10" i="12"/>
  <c r="AU10" i="12" s="1"/>
  <c r="AV10" i="12" s="1"/>
  <c r="AW10" i="12" s="1"/>
  <c r="AX10" i="12" s="1"/>
  <c r="AY10" i="12" s="1"/>
  <c r="AZ10" i="12" s="1"/>
  <c r="BA10" i="12" s="1"/>
  <c r="BB10" i="12" s="1"/>
  <c r="BC10" i="12" s="1"/>
  <c r="BD10" i="12" s="1"/>
  <c r="BF7" i="12"/>
  <c r="BG7" i="12" s="1"/>
  <c r="BH7" i="12" s="1"/>
  <c r="BI7" i="12" s="1"/>
  <c r="BJ7" i="12" s="1"/>
  <c r="BK7" i="12" s="1"/>
  <c r="BL7" i="12" s="1"/>
  <c r="BM7" i="12" s="1"/>
  <c r="BN7" i="12" s="1"/>
  <c r="BO7" i="12" s="1"/>
  <c r="BP7" i="12" s="1"/>
  <c r="BQ7" i="12" s="1"/>
  <c r="BE10" i="12"/>
  <c r="D19" i="3"/>
  <c r="E21" i="3"/>
  <c r="D20" i="3"/>
  <c r="D22" i="3"/>
  <c r="E24" i="3"/>
  <c r="O35" i="12" l="1"/>
  <c r="D54" i="12"/>
  <c r="D53" i="12"/>
  <c r="AV65" i="12"/>
  <c r="AV66" i="12"/>
  <c r="AT48" i="12"/>
  <c r="AT51" i="12"/>
  <c r="AW66" i="12" s="1"/>
  <c r="AT50" i="12"/>
  <c r="AW65" i="12" s="1"/>
  <c r="AA37" i="12"/>
  <c r="AU36" i="12"/>
  <c r="AV36" i="12" s="1"/>
  <c r="AV49" i="12" s="1"/>
  <c r="AT47" i="12"/>
  <c r="E45" i="12"/>
  <c r="E55" i="12" s="1"/>
  <c r="E57" i="12" s="1"/>
  <c r="F56" i="12" s="1"/>
  <c r="F57" i="12" s="1"/>
  <c r="AB33" i="12"/>
  <c r="AA45" i="12"/>
  <c r="V45" i="12"/>
  <c r="O8" i="12"/>
  <c r="N28" i="12"/>
  <c r="K15" i="12"/>
  <c r="L12" i="12" s="1"/>
  <c r="L17" i="12" s="1"/>
  <c r="AK42" i="2"/>
  <c r="R18" i="12"/>
  <c r="R43" i="12" s="1"/>
  <c r="R42" i="12" s="1"/>
  <c r="S9" i="12"/>
  <c r="T9" i="12" s="1"/>
  <c r="U9" i="12" s="1"/>
  <c r="BF10" i="12"/>
  <c r="BG10" i="12" s="1"/>
  <c r="BH10" i="12" s="1"/>
  <c r="BI10" i="12" s="1"/>
  <c r="BJ10" i="12" s="1"/>
  <c r="BK10" i="12" s="1"/>
  <c r="BL10" i="12" s="1"/>
  <c r="BM10" i="12" s="1"/>
  <c r="BN10" i="12" s="1"/>
  <c r="BO10" i="12" s="1"/>
  <c r="BP10" i="12" s="1"/>
  <c r="BR7" i="12"/>
  <c r="BS7" i="12" s="1"/>
  <c r="BT7" i="12" s="1"/>
  <c r="BU7" i="12" s="1"/>
  <c r="BV7" i="12" s="1"/>
  <c r="BW7" i="12" s="1"/>
  <c r="BX7" i="12" s="1"/>
  <c r="BY7" i="12" s="1"/>
  <c r="BZ7" i="12" s="1"/>
  <c r="CA7" i="12" s="1"/>
  <c r="CB7" i="12" s="1"/>
  <c r="CC7" i="12" s="1"/>
  <c r="BQ10" i="12"/>
  <c r="H107" i="8"/>
  <c r="I174" i="8"/>
  <c r="P35" i="12" l="1"/>
  <c r="AW64" i="12"/>
  <c r="AV64" i="12"/>
  <c r="AV48" i="12"/>
  <c r="AV51" i="12"/>
  <c r="AY66" i="12" s="1"/>
  <c r="AV50" i="12"/>
  <c r="AY65" i="12" s="1"/>
  <c r="R38" i="12"/>
  <c r="R55" i="12" s="1"/>
  <c r="R30" i="12" s="1"/>
  <c r="U63" i="12"/>
  <c r="E30" i="12"/>
  <c r="E26" i="12" s="1"/>
  <c r="F29" i="12" s="1"/>
  <c r="F27" i="12" s="1"/>
  <c r="AW36" i="12"/>
  <c r="AW49" i="12" s="1"/>
  <c r="AV47" i="12"/>
  <c r="AC33" i="12"/>
  <c r="AB37" i="12"/>
  <c r="P8" i="12"/>
  <c r="O28" i="12"/>
  <c r="G56" i="12"/>
  <c r="G57" i="12" s="1"/>
  <c r="L15" i="12"/>
  <c r="M12" i="12" s="1"/>
  <c r="M17" i="12" s="1"/>
  <c r="AL42" i="2"/>
  <c r="S18" i="12"/>
  <c r="S43" i="12" s="1"/>
  <c r="S42" i="12" s="1"/>
  <c r="V9" i="12"/>
  <c r="U18" i="12"/>
  <c r="U43" i="12" s="1"/>
  <c r="BR10" i="12"/>
  <c r="BS10" i="12" s="1"/>
  <c r="BT10" i="12" s="1"/>
  <c r="BU10" i="12" s="1"/>
  <c r="BV10" i="12" s="1"/>
  <c r="BW10" i="12" s="1"/>
  <c r="BX10" i="12" s="1"/>
  <c r="BY10" i="12" s="1"/>
  <c r="BZ10" i="12" s="1"/>
  <c r="CA10" i="12" s="1"/>
  <c r="CB10" i="12" s="1"/>
  <c r="CD7" i="12"/>
  <c r="CE7" i="12" s="1"/>
  <c r="CF7" i="12" s="1"/>
  <c r="CG7" i="12" s="1"/>
  <c r="CH7" i="12" s="1"/>
  <c r="CI7" i="12" s="1"/>
  <c r="CJ7" i="12" s="1"/>
  <c r="CK7" i="12" s="1"/>
  <c r="CL7" i="12" s="1"/>
  <c r="CM7" i="12" s="1"/>
  <c r="CN7" i="12" s="1"/>
  <c r="CO7" i="12" s="1"/>
  <c r="CC10" i="12"/>
  <c r="Q35" i="12" l="1"/>
  <c r="AY64" i="12"/>
  <c r="U42" i="12"/>
  <c r="X63" i="12" s="1"/>
  <c r="AW48" i="12"/>
  <c r="AW51" i="12"/>
  <c r="AZ66" i="12" s="1"/>
  <c r="AW50" i="12"/>
  <c r="AZ65" i="12" s="1"/>
  <c r="S38" i="12"/>
  <c r="S55" i="12" s="1"/>
  <c r="S30" i="12" s="1"/>
  <c r="V63" i="12"/>
  <c r="F26" i="12"/>
  <c r="G29" i="12" s="1"/>
  <c r="AD33" i="12"/>
  <c r="AC37" i="12"/>
  <c r="AX36" i="12"/>
  <c r="AY36" i="12" s="1"/>
  <c r="AY49" i="12" s="1"/>
  <c r="AW47" i="12"/>
  <c r="Q8" i="12"/>
  <c r="P28" i="12"/>
  <c r="H56" i="12"/>
  <c r="M15" i="12"/>
  <c r="N12" i="12" s="1"/>
  <c r="AM42" i="2"/>
  <c r="W9" i="12"/>
  <c r="V18" i="12"/>
  <c r="V43" i="12" s="1"/>
  <c r="V42" i="12" s="1"/>
  <c r="CP7" i="12"/>
  <c r="CQ7" i="12" s="1"/>
  <c r="CR7" i="12" s="1"/>
  <c r="CS7" i="12" s="1"/>
  <c r="CT7" i="12" s="1"/>
  <c r="CU7" i="12" s="1"/>
  <c r="CV7" i="12" s="1"/>
  <c r="CW7" i="12" s="1"/>
  <c r="CX7" i="12" s="1"/>
  <c r="CY7" i="12" s="1"/>
  <c r="CZ7" i="12" s="1"/>
  <c r="DA7" i="12" s="1"/>
  <c r="CO10" i="12"/>
  <c r="CD10" i="12"/>
  <c r="CE10" i="12" s="1"/>
  <c r="CF10" i="12" s="1"/>
  <c r="CG10" i="12" s="1"/>
  <c r="CH10" i="12" s="1"/>
  <c r="CI10" i="12" s="1"/>
  <c r="CJ10" i="12" s="1"/>
  <c r="CK10" i="12" s="1"/>
  <c r="CL10" i="12" s="1"/>
  <c r="CM10" i="12" s="1"/>
  <c r="CN10" i="12" s="1"/>
  <c r="I171" i="8"/>
  <c r="I170" i="8" s="1"/>
  <c r="M120" i="8"/>
  <c r="L120" i="8"/>
  <c r="K120" i="8"/>
  <c r="J120" i="8"/>
  <c r="I120" i="8"/>
  <c r="O17" i="12" l="1"/>
  <c r="N17" i="12"/>
  <c r="AN42" i="2" s="1"/>
  <c r="R35" i="12"/>
  <c r="G27" i="12"/>
  <c r="U38" i="12"/>
  <c r="AZ64" i="12"/>
  <c r="AY48" i="12"/>
  <c r="AY51" i="12"/>
  <c r="BB66" i="12" s="1"/>
  <c r="AY50" i="12"/>
  <c r="BB65" i="12" s="1"/>
  <c r="V38" i="12"/>
  <c r="V55" i="12" s="1"/>
  <c r="V57" i="12" s="1"/>
  <c r="W56" i="12" s="1"/>
  <c r="Y63" i="12"/>
  <c r="AD37" i="12"/>
  <c r="AZ36" i="12"/>
  <c r="AZ49" i="12" s="1"/>
  <c r="AY47" i="12"/>
  <c r="AB45" i="12"/>
  <c r="AE33" i="12"/>
  <c r="AD45" i="12"/>
  <c r="R8" i="12"/>
  <c r="Q28" i="12"/>
  <c r="G26" i="12"/>
  <c r="H29" i="12" s="1"/>
  <c r="H27" i="12" s="1"/>
  <c r="N15" i="12"/>
  <c r="O12" i="12" s="1"/>
  <c r="O15" i="12" s="1"/>
  <c r="P12" i="12" s="1"/>
  <c r="P17" i="12" s="1"/>
  <c r="X9" i="12"/>
  <c r="DB7" i="12"/>
  <c r="DC7" i="12" s="1"/>
  <c r="DD7" i="12" s="1"/>
  <c r="DE7" i="12" s="1"/>
  <c r="DF7" i="12" s="1"/>
  <c r="DG7" i="12" s="1"/>
  <c r="DH7" i="12" s="1"/>
  <c r="DI7" i="12" s="1"/>
  <c r="DJ7" i="12" s="1"/>
  <c r="DK7" i="12" s="1"/>
  <c r="DL7" i="12" s="1"/>
  <c r="DM7" i="12" s="1"/>
  <c r="DA10" i="12"/>
  <c r="CP10" i="12"/>
  <c r="CQ10" i="12" s="1"/>
  <c r="CR10" i="12" s="1"/>
  <c r="CS10" i="12" s="1"/>
  <c r="CT10" i="12" s="1"/>
  <c r="CU10" i="12" s="1"/>
  <c r="CV10" i="12" s="1"/>
  <c r="CW10" i="12" s="1"/>
  <c r="CX10" i="12" s="1"/>
  <c r="CY10" i="12" s="1"/>
  <c r="CZ10" i="12" s="1"/>
  <c r="J171" i="8"/>
  <c r="K171" i="8" s="1"/>
  <c r="L171" i="8" s="1"/>
  <c r="M171" i="8" s="1"/>
  <c r="S35" i="12" l="1"/>
  <c r="H47" i="12"/>
  <c r="BB64" i="12"/>
  <c r="V30" i="12"/>
  <c r="AZ48" i="12"/>
  <c r="AZ51" i="12"/>
  <c r="BC66" i="12" s="1"/>
  <c r="AZ50" i="12"/>
  <c r="BC65" i="12" s="1"/>
  <c r="AF33" i="12"/>
  <c r="AE45" i="12"/>
  <c r="AE37" i="12"/>
  <c r="BA36" i="12"/>
  <c r="BB36" i="12" s="1"/>
  <c r="BB49" i="12" s="1"/>
  <c r="AZ47" i="12"/>
  <c r="S8" i="12"/>
  <c r="R28" i="12"/>
  <c r="P15" i="12"/>
  <c r="Q12" i="12" s="1"/>
  <c r="Q17" i="12" s="1"/>
  <c r="Y9" i="12"/>
  <c r="X18" i="12"/>
  <c r="X43" i="12" s="1"/>
  <c r="X42" i="12" s="1"/>
  <c r="DN7" i="12"/>
  <c r="DO7" i="12" s="1"/>
  <c r="DP7" i="12" s="1"/>
  <c r="DQ7" i="12" s="1"/>
  <c r="DR7" i="12" s="1"/>
  <c r="DS7" i="12" s="1"/>
  <c r="DT7" i="12" s="1"/>
  <c r="DU7" i="12" s="1"/>
  <c r="DV7" i="12" s="1"/>
  <c r="DW7" i="12" s="1"/>
  <c r="DX7" i="12" s="1"/>
  <c r="DY7" i="12" s="1"/>
  <c r="DM10" i="12"/>
  <c r="DB10" i="12"/>
  <c r="DC10" i="12" s="1"/>
  <c r="DD10" i="12" s="1"/>
  <c r="DE10" i="12" s="1"/>
  <c r="DF10" i="12" s="1"/>
  <c r="DG10" i="12" s="1"/>
  <c r="DH10" i="12" s="1"/>
  <c r="DI10" i="12" s="1"/>
  <c r="DJ10" i="12" s="1"/>
  <c r="DK10" i="12" s="1"/>
  <c r="DL10" i="12" s="1"/>
  <c r="T35" i="12" l="1"/>
  <c r="C16" i="13"/>
  <c r="BC64" i="12"/>
  <c r="BB48" i="12"/>
  <c r="BB51" i="12"/>
  <c r="BE66" i="12" s="1"/>
  <c r="BB50" i="12"/>
  <c r="BE65" i="12" s="1"/>
  <c r="X38" i="12"/>
  <c r="X55" i="12" s="1"/>
  <c r="X30" i="12" s="1"/>
  <c r="AA63" i="12"/>
  <c r="AF37" i="12"/>
  <c r="BC36" i="12"/>
  <c r="BC49" i="12" s="1"/>
  <c r="BB47" i="12"/>
  <c r="AG33" i="12"/>
  <c r="T8" i="12"/>
  <c r="S28" i="12"/>
  <c r="Q15" i="12"/>
  <c r="R12" i="12" s="1"/>
  <c r="R17" i="12" s="1"/>
  <c r="Z9" i="12"/>
  <c r="Y18" i="12"/>
  <c r="Y43" i="12" s="1"/>
  <c r="Y42" i="12" s="1"/>
  <c r="DN10" i="12"/>
  <c r="DO10" i="12" s="1"/>
  <c r="DP10" i="12" s="1"/>
  <c r="DQ10" i="12" s="1"/>
  <c r="DR10" i="12" s="1"/>
  <c r="DS10" i="12" s="1"/>
  <c r="DT10" i="12" s="1"/>
  <c r="DU10" i="12" s="1"/>
  <c r="DV10" i="12" s="1"/>
  <c r="DW10" i="12" s="1"/>
  <c r="DX10" i="12" s="1"/>
  <c r="DZ7" i="12"/>
  <c r="EA7" i="12" s="1"/>
  <c r="EB7" i="12" s="1"/>
  <c r="EC7" i="12" s="1"/>
  <c r="ED7" i="12" s="1"/>
  <c r="EE7" i="12" s="1"/>
  <c r="EF7" i="12" s="1"/>
  <c r="EG7" i="12" s="1"/>
  <c r="EH7" i="12" s="1"/>
  <c r="EI7" i="12" s="1"/>
  <c r="EJ7" i="12" s="1"/>
  <c r="EK7" i="12" s="1"/>
  <c r="DY10" i="12"/>
  <c r="U35" i="12" l="1"/>
  <c r="BE64" i="12"/>
  <c r="BC48" i="12"/>
  <c r="BC50" i="12"/>
  <c r="BF65" i="12" s="1"/>
  <c r="BC51" i="12"/>
  <c r="BF66" i="12" s="1"/>
  <c r="Y38" i="12"/>
  <c r="Y55" i="12" s="1"/>
  <c r="Y30" i="12" s="1"/>
  <c r="AB63" i="12"/>
  <c r="BD36" i="12"/>
  <c r="BE36" i="12" s="1"/>
  <c r="BE49" i="12" s="1"/>
  <c r="BC47" i="12"/>
  <c r="AH33" i="12"/>
  <c r="AG45" i="12"/>
  <c r="AG37" i="12"/>
  <c r="U8" i="12"/>
  <c r="T28" i="12"/>
  <c r="R15" i="12"/>
  <c r="S12" i="12" s="1"/>
  <c r="S17" i="12" s="1"/>
  <c r="AA9" i="12"/>
  <c r="DZ10" i="12"/>
  <c r="EA10" i="12" s="1"/>
  <c r="EB10" i="12" s="1"/>
  <c r="EC10" i="12" s="1"/>
  <c r="ED10" i="12" s="1"/>
  <c r="EE10" i="12" s="1"/>
  <c r="EF10" i="12" s="1"/>
  <c r="EG10" i="12" s="1"/>
  <c r="EH10" i="12" s="1"/>
  <c r="EI10" i="12" s="1"/>
  <c r="EJ10" i="12" s="1"/>
  <c r="EL7" i="12"/>
  <c r="EM7" i="12" s="1"/>
  <c r="EN7" i="12" s="1"/>
  <c r="EO7" i="12" s="1"/>
  <c r="EP7" i="12" s="1"/>
  <c r="EQ7" i="12" s="1"/>
  <c r="ER7" i="12" s="1"/>
  <c r="ES7" i="12" s="1"/>
  <c r="ET7" i="12" s="1"/>
  <c r="EU7" i="12" s="1"/>
  <c r="EV7" i="12" s="1"/>
  <c r="EW7" i="12" s="1"/>
  <c r="EK10" i="12"/>
  <c r="V35" i="12" l="1"/>
  <c r="BF64" i="12"/>
  <c r="BE48" i="12"/>
  <c r="BE51" i="12"/>
  <c r="BE50" i="12"/>
  <c r="AH37" i="12"/>
  <c r="AI33" i="12"/>
  <c r="AH45" i="12"/>
  <c r="BF36" i="12"/>
  <c r="BF49" i="12" s="1"/>
  <c r="BE47" i="12"/>
  <c r="U28" i="12"/>
  <c r="V8" i="12"/>
  <c r="S15" i="12"/>
  <c r="T12" i="12" s="1"/>
  <c r="T17" i="12" s="1"/>
  <c r="AB9" i="12"/>
  <c r="AA18" i="12"/>
  <c r="AA43" i="12" s="1"/>
  <c r="AA42" i="12" s="1"/>
  <c r="EL10" i="12"/>
  <c r="EM10" i="12" s="1"/>
  <c r="EN10" i="12" s="1"/>
  <c r="EO10" i="12" s="1"/>
  <c r="EP10" i="12" s="1"/>
  <c r="EQ10" i="12" s="1"/>
  <c r="ER10" i="12" s="1"/>
  <c r="ES10" i="12" s="1"/>
  <c r="ET10" i="12" s="1"/>
  <c r="EU10" i="12" s="1"/>
  <c r="EV10" i="12" s="1"/>
  <c r="EX7" i="12"/>
  <c r="EY7" i="12" s="1"/>
  <c r="EZ7" i="12" s="1"/>
  <c r="FA7" i="12" s="1"/>
  <c r="FB7" i="12" s="1"/>
  <c r="FC7" i="12" s="1"/>
  <c r="FD7" i="12" s="1"/>
  <c r="FE7" i="12" s="1"/>
  <c r="FF7" i="12" s="1"/>
  <c r="FG7" i="12" s="1"/>
  <c r="FH7" i="12" s="1"/>
  <c r="FI7" i="12" s="1"/>
  <c r="EW10" i="12"/>
  <c r="W35" i="12" l="1"/>
  <c r="BH65" i="12"/>
  <c r="BH66" i="12"/>
  <c r="BF48" i="12"/>
  <c r="BF51" i="12"/>
  <c r="BI66" i="12" s="1"/>
  <c r="BF50" i="12"/>
  <c r="BI65" i="12" s="1"/>
  <c r="AA38" i="12"/>
  <c r="AA55" i="12" s="1"/>
  <c r="AA30" i="12" s="1"/>
  <c r="AD63" i="12"/>
  <c r="AJ33" i="12"/>
  <c r="AI37" i="12"/>
  <c r="BG36" i="12"/>
  <c r="BH36" i="12" s="1"/>
  <c r="BH49" i="12" s="1"/>
  <c r="BF47" i="12"/>
  <c r="W8" i="12"/>
  <c r="V28" i="12"/>
  <c r="T15" i="12"/>
  <c r="U12" i="12" s="1"/>
  <c r="U17" i="12" s="1"/>
  <c r="AC9" i="12"/>
  <c r="AB18" i="12"/>
  <c r="AB43" i="12" s="1"/>
  <c r="AB42" i="12" s="1"/>
  <c r="EX10" i="12"/>
  <c r="EY10" i="12" s="1"/>
  <c r="EZ10" i="12" s="1"/>
  <c r="FA10" i="12" s="1"/>
  <c r="FB10" i="12" s="1"/>
  <c r="FC10" i="12" s="1"/>
  <c r="FD10" i="12" s="1"/>
  <c r="FE10" i="12" s="1"/>
  <c r="FF10" i="12" s="1"/>
  <c r="FG10" i="12" s="1"/>
  <c r="FH10" i="12" s="1"/>
  <c r="FJ7" i="12"/>
  <c r="FK7" i="12" s="1"/>
  <c r="FL7" i="12" s="1"/>
  <c r="FM7" i="12" s="1"/>
  <c r="FN7" i="12" s="1"/>
  <c r="FO7" i="12" s="1"/>
  <c r="FP7" i="12" s="1"/>
  <c r="FQ7" i="12" s="1"/>
  <c r="FR7" i="12" s="1"/>
  <c r="FS7" i="12" s="1"/>
  <c r="FT7" i="12" s="1"/>
  <c r="FU7" i="12" s="1"/>
  <c r="FI10" i="12"/>
  <c r="X35" i="12" l="1"/>
  <c r="Y35" i="12" s="1"/>
  <c r="Z35" i="12" s="1"/>
  <c r="AA35" i="12" s="1"/>
  <c r="AB35" i="12" s="1"/>
  <c r="AC35" i="12" s="1"/>
  <c r="AD35" i="12" s="1"/>
  <c r="AE35" i="12" s="1"/>
  <c r="AF35" i="12" s="1"/>
  <c r="AG35" i="12" s="1"/>
  <c r="AH35" i="12" s="1"/>
  <c r="AI35" i="12" s="1"/>
  <c r="BH64" i="12"/>
  <c r="BI64" i="12"/>
  <c r="BH48" i="12"/>
  <c r="BH51" i="12"/>
  <c r="BK66" i="12" s="1"/>
  <c r="BH50" i="12"/>
  <c r="BK65" i="12" s="1"/>
  <c r="AB38" i="12"/>
  <c r="AB55" i="12" s="1"/>
  <c r="AB30" i="12" s="1"/>
  <c r="AE63" i="12"/>
  <c r="AJ35" i="12"/>
  <c r="AJ37" i="12"/>
  <c r="BI36" i="12"/>
  <c r="BI49" i="12" s="1"/>
  <c r="BH47" i="12"/>
  <c r="AK33" i="12"/>
  <c r="AJ45" i="12"/>
  <c r="X8" i="12"/>
  <c r="W28" i="12"/>
  <c r="U15" i="12"/>
  <c r="V12" i="12" s="1"/>
  <c r="V17" i="12" s="1"/>
  <c r="AD9" i="12"/>
  <c r="FJ10" i="12"/>
  <c r="FK10" i="12" s="1"/>
  <c r="FL10" i="12" s="1"/>
  <c r="FM10" i="12" s="1"/>
  <c r="FN10" i="12" s="1"/>
  <c r="FO10" i="12" s="1"/>
  <c r="FP10" i="12" s="1"/>
  <c r="FQ10" i="12" s="1"/>
  <c r="FR10" i="12" s="1"/>
  <c r="FS10" i="12" s="1"/>
  <c r="FT10" i="12" s="1"/>
  <c r="FV7" i="12"/>
  <c r="FW7" i="12" s="1"/>
  <c r="FX7" i="12" s="1"/>
  <c r="FY7" i="12" s="1"/>
  <c r="FZ7" i="12" s="1"/>
  <c r="GA7" i="12" s="1"/>
  <c r="GB7" i="12" s="1"/>
  <c r="GC7" i="12" s="1"/>
  <c r="GD7" i="12" s="1"/>
  <c r="GE7" i="12" s="1"/>
  <c r="GF7" i="12" s="1"/>
  <c r="FU10" i="12"/>
  <c r="BI48" i="12" l="1"/>
  <c r="BI51" i="12"/>
  <c r="BL66" i="12" s="1"/>
  <c r="BI50" i="12"/>
  <c r="BL65" i="12" s="1"/>
  <c r="BK64" i="12"/>
  <c r="AK37" i="12"/>
  <c r="AL33" i="12"/>
  <c r="AK45" i="12"/>
  <c r="BJ36" i="12"/>
  <c r="BK36" i="12" s="1"/>
  <c r="BK49" i="12" s="1"/>
  <c r="BI47" i="12"/>
  <c r="AK35" i="12"/>
  <c r="Y8" i="12"/>
  <c r="X28" i="12"/>
  <c r="V15" i="12"/>
  <c r="W12" i="12" s="1"/>
  <c r="W17" i="12" s="1"/>
  <c r="AE9" i="12"/>
  <c r="AD18" i="12"/>
  <c r="AD43" i="12" s="1"/>
  <c r="AD42" i="12" s="1"/>
  <c r="FV10" i="12"/>
  <c r="FW10" i="12" s="1"/>
  <c r="FX10" i="12" s="1"/>
  <c r="FY10" i="12" s="1"/>
  <c r="FZ10" i="12" s="1"/>
  <c r="GA10" i="12" s="1"/>
  <c r="GB10" i="12" s="1"/>
  <c r="GC10" i="12" s="1"/>
  <c r="GD10" i="12" s="1"/>
  <c r="GE10" i="12" s="1"/>
  <c r="GF10" i="12" s="1"/>
  <c r="BL64" i="12" l="1"/>
  <c r="BK48" i="12"/>
  <c r="BK50" i="12"/>
  <c r="BN65" i="12" s="1"/>
  <c r="BK51" i="12"/>
  <c r="BN66" i="12" s="1"/>
  <c r="AD38" i="12"/>
  <c r="AD55" i="12" s="1"/>
  <c r="AD30" i="12" s="1"/>
  <c r="AG63" i="12"/>
  <c r="AL35" i="12"/>
  <c r="BL36" i="12"/>
  <c r="BL49" i="12" s="1"/>
  <c r="BK47" i="12"/>
  <c r="AM33" i="12"/>
  <c r="AL37" i="12"/>
  <c r="Z8" i="12"/>
  <c r="Y28" i="12"/>
  <c r="W15" i="12"/>
  <c r="X12" i="12" s="1"/>
  <c r="X17" i="12" s="1"/>
  <c r="AF9" i="12"/>
  <c r="AE18" i="12"/>
  <c r="AE43" i="12" s="1"/>
  <c r="AE42" i="12" s="1"/>
  <c r="BL48" i="12" l="1"/>
  <c r="BL51" i="12"/>
  <c r="BO66" i="12" s="1"/>
  <c r="BL50" i="12"/>
  <c r="BO65" i="12" s="1"/>
  <c r="BN64" i="12"/>
  <c r="AE38" i="12"/>
  <c r="AE55" i="12" s="1"/>
  <c r="AE30" i="12" s="1"/>
  <c r="AH63" i="12"/>
  <c r="AM37" i="12"/>
  <c r="AN33" i="12"/>
  <c r="AM45" i="12"/>
  <c r="AM35" i="12"/>
  <c r="BM36" i="12"/>
  <c r="BN36" i="12" s="1"/>
  <c r="BN49" i="12" s="1"/>
  <c r="BL47" i="12"/>
  <c r="AA8" i="12"/>
  <c r="Z28" i="12"/>
  <c r="X15" i="12"/>
  <c r="Y12" i="12" s="1"/>
  <c r="Y17" i="12" s="1"/>
  <c r="AG9" i="12"/>
  <c r="BO64" i="12" l="1"/>
  <c r="BN48" i="12"/>
  <c r="BN51" i="12"/>
  <c r="BQ66" i="12" s="1"/>
  <c r="BN50" i="12"/>
  <c r="BQ65" i="12" s="1"/>
  <c r="AN35" i="12"/>
  <c r="BO36" i="12"/>
  <c r="BO49" i="12" s="1"/>
  <c r="BN47" i="12"/>
  <c r="AO33" i="12"/>
  <c r="AN45" i="12"/>
  <c r="AN37" i="12"/>
  <c r="AB8" i="12"/>
  <c r="AA28" i="12"/>
  <c r="Y15" i="12"/>
  <c r="Z12" i="12" s="1"/>
  <c r="Z17" i="12" s="1"/>
  <c r="AH9" i="12"/>
  <c r="AG18" i="12"/>
  <c r="AG43" i="12" s="1"/>
  <c r="BQ64" i="12" l="1"/>
  <c r="AG42" i="12"/>
  <c r="AG38" i="12" s="1"/>
  <c r="AG55" i="12" s="1"/>
  <c r="AG30" i="12" s="1"/>
  <c r="BO48" i="12"/>
  <c r="BO51" i="12"/>
  <c r="BR66" i="12" s="1"/>
  <c r="BO50" i="12"/>
  <c r="BR65" i="12" s="1"/>
  <c r="AO37" i="12"/>
  <c r="BP36" i="12"/>
  <c r="BQ36" i="12" s="1"/>
  <c r="BQ49" i="12" s="1"/>
  <c r="BO47" i="12"/>
  <c r="AP33" i="12"/>
  <c r="AO35" i="12"/>
  <c r="AC8" i="12"/>
  <c r="AB28" i="12"/>
  <c r="Z15" i="12"/>
  <c r="AA12" i="12" s="1"/>
  <c r="AA17" i="12" s="1"/>
  <c r="AI9" i="12"/>
  <c r="AH18" i="12"/>
  <c r="AH43" i="12" s="1"/>
  <c r="AH42" i="12" s="1"/>
  <c r="BR64" i="12" l="1"/>
  <c r="AJ63" i="12"/>
  <c r="BQ48" i="12"/>
  <c r="BQ51" i="12"/>
  <c r="BQ50" i="12"/>
  <c r="AH38" i="12"/>
  <c r="AH55" i="12" s="1"/>
  <c r="AH30" i="12" s="1"/>
  <c r="AK63" i="12"/>
  <c r="AP35" i="12"/>
  <c r="AQ33" i="12"/>
  <c r="AP45" i="12"/>
  <c r="BR36" i="12"/>
  <c r="BR49" i="12" s="1"/>
  <c r="BQ47" i="12"/>
  <c r="AP37" i="12"/>
  <c r="AD8" i="12"/>
  <c r="AC28" i="12"/>
  <c r="AA15" i="12"/>
  <c r="AB12" i="12" s="1"/>
  <c r="AB17" i="12" s="1"/>
  <c r="AJ9" i="12"/>
  <c r="BT65" i="12" l="1"/>
  <c r="BT66" i="12"/>
  <c r="BR48" i="12"/>
  <c r="BR51" i="12"/>
  <c r="BU66" i="12" s="1"/>
  <c r="BR50" i="12"/>
  <c r="BU65" i="12" s="1"/>
  <c r="AQ37" i="12"/>
  <c r="AQ35" i="12"/>
  <c r="BS36" i="12"/>
  <c r="BT36" i="12" s="1"/>
  <c r="BT49" i="12" s="1"/>
  <c r="BR47" i="12"/>
  <c r="AR33" i="12"/>
  <c r="AQ45" i="12"/>
  <c r="AE8" i="12"/>
  <c r="AD28" i="12"/>
  <c r="AB15" i="12"/>
  <c r="AC12" i="12" s="1"/>
  <c r="AC17" i="12" s="1"/>
  <c r="AK9" i="12"/>
  <c r="AJ18" i="12"/>
  <c r="AJ43" i="12" s="1"/>
  <c r="AJ42" i="12" s="1"/>
  <c r="BU64" i="12" l="1"/>
  <c r="BT64" i="12"/>
  <c r="BT48" i="12"/>
  <c r="BT51" i="12"/>
  <c r="BW66" i="12" s="1"/>
  <c r="BT50" i="12"/>
  <c r="BW65" i="12" s="1"/>
  <c r="AJ38" i="12"/>
  <c r="AJ55" i="12" s="1"/>
  <c r="AJ30" i="12" s="1"/>
  <c r="AM63" i="12"/>
  <c r="AR37" i="12"/>
  <c r="AR35" i="12"/>
  <c r="AS33" i="12"/>
  <c r="BU36" i="12"/>
  <c r="BU49" i="12" s="1"/>
  <c r="BT47" i="12"/>
  <c r="AF8" i="12"/>
  <c r="AE28" i="12"/>
  <c r="AC15" i="12"/>
  <c r="AD12" i="12" s="1"/>
  <c r="AD17" i="12" s="1"/>
  <c r="AL9" i="12"/>
  <c r="AK18" i="12"/>
  <c r="AK43" i="12" s="1"/>
  <c r="AK42" i="12" s="1"/>
  <c r="BW64" i="12" l="1"/>
  <c r="BU48" i="12"/>
  <c r="BU51" i="12"/>
  <c r="BX66" i="12" s="1"/>
  <c r="BU50" i="12"/>
  <c r="BX65" i="12" s="1"/>
  <c r="AK38" i="12"/>
  <c r="AK55" i="12" s="1"/>
  <c r="AK30" i="12" s="1"/>
  <c r="AN63" i="12"/>
  <c r="AS35" i="12"/>
  <c r="BV36" i="12"/>
  <c r="BW36" i="12" s="1"/>
  <c r="BW49" i="12" s="1"/>
  <c r="BU47" i="12"/>
  <c r="AT33" i="12"/>
  <c r="AS45" i="12"/>
  <c r="AS37" i="12"/>
  <c r="AG8" i="12"/>
  <c r="AF28" i="12"/>
  <c r="AD15" i="12"/>
  <c r="AE12" i="12" s="1"/>
  <c r="AE17" i="12" s="1"/>
  <c r="AM9" i="12"/>
  <c r="BX64" i="12" l="1"/>
  <c r="BW48" i="12"/>
  <c r="BW51" i="12"/>
  <c r="BZ66" i="12" s="1"/>
  <c r="BW50" i="12"/>
  <c r="BZ65" i="12" s="1"/>
  <c r="AT35" i="12"/>
  <c r="AT37" i="12"/>
  <c r="AU33" i="12"/>
  <c r="AT45" i="12"/>
  <c r="BX36" i="12"/>
  <c r="BX49" i="12" s="1"/>
  <c r="BW47" i="12"/>
  <c r="AH8" i="12"/>
  <c r="AG28" i="12"/>
  <c r="AE15" i="12"/>
  <c r="AF12" i="12" s="1"/>
  <c r="AF17" i="12" s="1"/>
  <c r="AN9" i="12"/>
  <c r="AM18" i="12"/>
  <c r="AM43" i="12" s="1"/>
  <c r="AM42" i="12" s="1"/>
  <c r="BZ64" i="12" l="1"/>
  <c r="BX48" i="12"/>
  <c r="BX51" i="12"/>
  <c r="CA66" i="12" s="1"/>
  <c r="BX50" i="12"/>
  <c r="CA65" i="12" s="1"/>
  <c r="AM38" i="12"/>
  <c r="AM55" i="12" s="1"/>
  <c r="AM30" i="12" s="1"/>
  <c r="AP63" i="12"/>
  <c r="AU37" i="12"/>
  <c r="AV33" i="12"/>
  <c r="BY36" i="12"/>
  <c r="BZ36" i="12" s="1"/>
  <c r="BZ49" i="12" s="1"/>
  <c r="BX47" i="12"/>
  <c r="AU35" i="12"/>
  <c r="AI8" i="12"/>
  <c r="AH28" i="12"/>
  <c r="AF15" i="12"/>
  <c r="AG12" i="12" s="1"/>
  <c r="AG17" i="12" s="1"/>
  <c r="AO9" i="12"/>
  <c r="AN18" i="12"/>
  <c r="AN43" i="12" s="1"/>
  <c r="AN42" i="12" s="1"/>
  <c r="CA64" i="12" l="1"/>
  <c r="BZ48" i="12"/>
  <c r="BZ51" i="12"/>
  <c r="CC66" i="12" s="1"/>
  <c r="BZ50" i="12"/>
  <c r="CC65" i="12" s="1"/>
  <c r="AN38" i="12"/>
  <c r="AN55" i="12" s="1"/>
  <c r="AN30" i="12" s="1"/>
  <c r="AQ63" i="12"/>
  <c r="AV35" i="12"/>
  <c r="AW33" i="12"/>
  <c r="AV45" i="12"/>
  <c r="CA36" i="12"/>
  <c r="CA49" i="12" s="1"/>
  <c r="BZ47" i="12"/>
  <c r="AV37" i="12"/>
  <c r="AJ8" i="12"/>
  <c r="AI28" i="12"/>
  <c r="AG15" i="12"/>
  <c r="AH12" i="12" s="1"/>
  <c r="AH17" i="12" s="1"/>
  <c r="AP9" i="12"/>
  <c r="CC64" i="12" l="1"/>
  <c r="CA48" i="12"/>
  <c r="CA51" i="12"/>
  <c r="CD66" i="12" s="1"/>
  <c r="CA50" i="12"/>
  <c r="CD65" i="12" s="1"/>
  <c r="AW37" i="12"/>
  <c r="AW35" i="12"/>
  <c r="CB36" i="12"/>
  <c r="CC36" i="12" s="1"/>
  <c r="CC49" i="12" s="1"/>
  <c r="CA47" i="12"/>
  <c r="AX33" i="12"/>
  <c r="AW45" i="12"/>
  <c r="AK8" i="12"/>
  <c r="AJ28" i="12"/>
  <c r="AH15" i="12"/>
  <c r="AI12" i="12" s="1"/>
  <c r="AI17" i="12" s="1"/>
  <c r="AQ9" i="12"/>
  <c r="AP18" i="12"/>
  <c r="AP43" i="12" s="1"/>
  <c r="AP42" i="12" s="1"/>
  <c r="CC48" i="12" l="1"/>
  <c r="CC51" i="12"/>
  <c r="CC50" i="12"/>
  <c r="CD64" i="12"/>
  <c r="AP38" i="12"/>
  <c r="AP55" i="12" s="1"/>
  <c r="AP30" i="12" s="1"/>
  <c r="AS63" i="12"/>
  <c r="AX35" i="12"/>
  <c r="AY33" i="12"/>
  <c r="CD36" i="12"/>
  <c r="CD49" i="12" s="1"/>
  <c r="CC47" i="12"/>
  <c r="AX37" i="12"/>
  <c r="AL8" i="12"/>
  <c r="AK28" i="12"/>
  <c r="AI15" i="12"/>
  <c r="AJ12" i="12" s="1"/>
  <c r="AJ17" i="12" s="1"/>
  <c r="AR9" i="12"/>
  <c r="AQ18" i="12"/>
  <c r="AQ43" i="12" s="1"/>
  <c r="AQ42" i="12" s="1"/>
  <c r="CF65" i="12" l="1"/>
  <c r="CF66" i="12"/>
  <c r="CD48" i="12"/>
  <c r="CD51" i="12"/>
  <c r="CG66" i="12" s="1"/>
  <c r="CD50" i="12"/>
  <c r="CG65" i="12" s="1"/>
  <c r="AQ38" i="12"/>
  <c r="AQ55" i="12" s="1"/>
  <c r="AQ30" i="12" s="1"/>
  <c r="AT63" i="12"/>
  <c r="AY37" i="12"/>
  <c r="CE36" i="12"/>
  <c r="CF36" i="12" s="1"/>
  <c r="CF49" i="12" s="1"/>
  <c r="CD47" i="12"/>
  <c r="AZ33" i="12"/>
  <c r="AY45" i="12"/>
  <c r="AY35" i="12"/>
  <c r="AM8" i="12"/>
  <c r="AL28" i="12"/>
  <c r="AJ15" i="12"/>
  <c r="AK12" i="12" s="1"/>
  <c r="AK17" i="12" s="1"/>
  <c r="AS9" i="12"/>
  <c r="CG64" i="12" l="1"/>
  <c r="CF64" i="12"/>
  <c r="CF48" i="12"/>
  <c r="CF51" i="12"/>
  <c r="CI66" i="12" s="1"/>
  <c r="CF50" i="12"/>
  <c r="CI65" i="12" s="1"/>
  <c r="AZ35" i="12"/>
  <c r="BA33" i="12"/>
  <c r="AZ45" i="12"/>
  <c r="CG36" i="12"/>
  <c r="CG49" i="12" s="1"/>
  <c r="CF47" i="12"/>
  <c r="AZ37" i="12"/>
  <c r="AN8" i="12"/>
  <c r="AM28" i="12"/>
  <c r="AK15" i="12"/>
  <c r="AL12" i="12" s="1"/>
  <c r="AL17" i="12" s="1"/>
  <c r="AT9" i="12"/>
  <c r="AS18" i="12"/>
  <c r="AS43" i="12" s="1"/>
  <c r="CI64" i="12" l="1"/>
  <c r="AS42" i="12"/>
  <c r="AS38" i="12" s="1"/>
  <c r="AS55" i="12" s="1"/>
  <c r="AS30" i="12" s="1"/>
  <c r="CG48" i="12"/>
  <c r="CG51" i="12"/>
  <c r="CJ66" i="12" s="1"/>
  <c r="CG50" i="12"/>
  <c r="CJ65" i="12" s="1"/>
  <c r="BA35" i="12"/>
  <c r="BA37" i="12"/>
  <c r="CH36" i="12"/>
  <c r="CI36" i="12" s="1"/>
  <c r="CI49" i="12" s="1"/>
  <c r="CG47" i="12"/>
  <c r="BB33" i="12"/>
  <c r="AO8" i="12"/>
  <c r="AN28" i="12"/>
  <c r="AL15" i="12"/>
  <c r="AM12" i="12" s="1"/>
  <c r="AM17" i="12" s="1"/>
  <c r="AU9" i="12"/>
  <c r="AT18" i="12"/>
  <c r="AT43" i="12" s="1"/>
  <c r="AT42" i="12" s="1"/>
  <c r="AV63" i="12" l="1"/>
  <c r="CJ64" i="12"/>
  <c r="CI48" i="12"/>
  <c r="CI50" i="12"/>
  <c r="CL65" i="12" s="1"/>
  <c r="CI51" i="12"/>
  <c r="CL66" i="12" s="1"/>
  <c r="AT38" i="12"/>
  <c r="AT55" i="12" s="1"/>
  <c r="AT30" i="12" s="1"/>
  <c r="AW63" i="12"/>
  <c r="CJ36" i="12"/>
  <c r="CJ49" i="12" s="1"/>
  <c r="CI47" i="12"/>
  <c r="BC33" i="12"/>
  <c r="BB45" i="12"/>
  <c r="BB35" i="12"/>
  <c r="BB37" i="12"/>
  <c r="AP8" i="12"/>
  <c r="AO28" i="12"/>
  <c r="AM15" i="12"/>
  <c r="AN12" i="12" s="1"/>
  <c r="AN17" i="12" s="1"/>
  <c r="AV9" i="12"/>
  <c r="CL64" i="12" l="1"/>
  <c r="CJ48" i="12"/>
  <c r="CJ51" i="12"/>
  <c r="CM66" i="12" s="1"/>
  <c r="CJ50" i="12"/>
  <c r="CM65" i="12" s="1"/>
  <c r="BC35" i="12"/>
  <c r="BC37" i="12"/>
  <c r="BD33" i="12"/>
  <c r="BC45" i="12"/>
  <c r="CK36" i="12"/>
  <c r="CL36" i="12" s="1"/>
  <c r="CL49" i="12" s="1"/>
  <c r="CJ47" i="12"/>
  <c r="AQ8" i="12"/>
  <c r="AP28" i="12"/>
  <c r="AN15" i="12"/>
  <c r="AO12" i="12" s="1"/>
  <c r="AO17" i="12" s="1"/>
  <c r="AW9" i="12"/>
  <c r="AV18" i="12"/>
  <c r="AV43" i="12" s="1"/>
  <c r="AV42" i="12" s="1"/>
  <c r="CM64" i="12" l="1"/>
  <c r="CL48" i="12"/>
  <c r="CL51" i="12"/>
  <c r="CO66" i="12" s="1"/>
  <c r="CL50" i="12"/>
  <c r="CO65" i="12" s="1"/>
  <c r="BD35" i="12"/>
  <c r="AV38" i="12"/>
  <c r="AV55" i="12" s="1"/>
  <c r="AV30" i="12" s="1"/>
  <c r="AY63" i="12"/>
  <c r="CM36" i="12"/>
  <c r="CM49" i="12" s="1"/>
  <c r="CL47" i="12"/>
  <c r="BE33" i="12"/>
  <c r="BD37" i="12"/>
  <c r="AR8" i="12"/>
  <c r="AQ28" i="12"/>
  <c r="AO15" i="12"/>
  <c r="AP12" i="12" s="1"/>
  <c r="AP17" i="12" s="1"/>
  <c r="AX9" i="12"/>
  <c r="AW18" i="12"/>
  <c r="AW43" i="12" s="1"/>
  <c r="AW42" i="12" s="1"/>
  <c r="CO64" i="12" l="1"/>
  <c r="CM48" i="12"/>
  <c r="CM51" i="12"/>
  <c r="CP66" i="12" s="1"/>
  <c r="CM50" i="12"/>
  <c r="CP65" i="12" s="1"/>
  <c r="AW38" i="12"/>
  <c r="AW55" i="12" s="1"/>
  <c r="AW30" i="12" s="1"/>
  <c r="AZ63" i="12"/>
  <c r="BE37" i="12"/>
  <c r="CN36" i="12"/>
  <c r="CO36" i="12" s="1"/>
  <c r="CO49" i="12" s="1"/>
  <c r="CM47" i="12"/>
  <c r="BF33" i="12"/>
  <c r="BE45" i="12"/>
  <c r="BE35" i="12"/>
  <c r="BF35" i="12" s="1"/>
  <c r="AS8" i="12"/>
  <c r="AR28" i="12"/>
  <c r="AP15" i="12"/>
  <c r="AQ12" i="12" s="1"/>
  <c r="AQ17" i="12" s="1"/>
  <c r="AY9" i="12"/>
  <c r="CP64" i="12" l="1"/>
  <c r="CO48" i="12"/>
  <c r="CO51" i="12"/>
  <c r="CO50" i="12"/>
  <c r="BG33" i="12"/>
  <c r="BF45" i="12"/>
  <c r="CP36" i="12"/>
  <c r="CP49" i="12" s="1"/>
  <c r="CO47" i="12"/>
  <c r="BF37" i="12"/>
  <c r="AS28" i="12"/>
  <c r="AT8" i="12"/>
  <c r="AQ15" i="12"/>
  <c r="AR12" i="12" s="1"/>
  <c r="AR17" i="12" s="1"/>
  <c r="AZ9" i="12"/>
  <c r="AY18" i="12"/>
  <c r="AY43" i="12" s="1"/>
  <c r="AY42" i="12" s="1"/>
  <c r="CR66" i="12" l="1"/>
  <c r="CR65" i="12"/>
  <c r="CP48" i="12"/>
  <c r="CP51" i="12"/>
  <c r="CS66" i="12" s="1"/>
  <c r="CP50" i="12"/>
  <c r="CS65" i="12" s="1"/>
  <c r="AY38" i="12"/>
  <c r="AY55" i="12" s="1"/>
  <c r="AY30" i="12" s="1"/>
  <c r="BB63" i="12"/>
  <c r="BG37" i="12"/>
  <c r="CQ36" i="12"/>
  <c r="CR36" i="12" s="1"/>
  <c r="CR49" i="12" s="1"/>
  <c r="CP47" i="12"/>
  <c r="BH33" i="12"/>
  <c r="BG35" i="12"/>
  <c r="AT28" i="12"/>
  <c r="AU8" i="12"/>
  <c r="AR15" i="12"/>
  <c r="AS12" i="12" s="1"/>
  <c r="AS17" i="12" s="1"/>
  <c r="BA9" i="12"/>
  <c r="AZ18" i="12"/>
  <c r="AZ43" i="12" s="1"/>
  <c r="AZ42" i="12" s="1"/>
  <c r="CR64" i="12" l="1"/>
  <c r="CS64" i="12"/>
  <c r="CR48" i="12"/>
  <c r="CR51" i="12"/>
  <c r="CU66" i="12" s="1"/>
  <c r="CR50" i="12"/>
  <c r="CU65" i="12" s="1"/>
  <c r="AZ38" i="12"/>
  <c r="AZ55" i="12" s="1"/>
  <c r="AZ30" i="12" s="1"/>
  <c r="BC63" i="12"/>
  <c r="BH35" i="12"/>
  <c r="BI33" i="12"/>
  <c r="BH45" i="12"/>
  <c r="BH37" i="12"/>
  <c r="CS36" i="12"/>
  <c r="CS49" i="12" s="1"/>
  <c r="CR47" i="12"/>
  <c r="AV8" i="12"/>
  <c r="AU28" i="12"/>
  <c r="AS15" i="12"/>
  <c r="AT12" i="12" s="1"/>
  <c r="AT17" i="12" s="1"/>
  <c r="BB9" i="12"/>
  <c r="CU64" i="12" l="1"/>
  <c r="CS48" i="12"/>
  <c r="CS51" i="12"/>
  <c r="CV66" i="12" s="1"/>
  <c r="CS50" i="12"/>
  <c r="CV65" i="12" s="1"/>
  <c r="BI35" i="12"/>
  <c r="BI37" i="12"/>
  <c r="CT36" i="12"/>
  <c r="CU36" i="12" s="1"/>
  <c r="CU49" i="12" s="1"/>
  <c r="CS47" i="12"/>
  <c r="BJ33" i="12"/>
  <c r="BI45" i="12"/>
  <c r="AW8" i="12"/>
  <c r="AV28" i="12"/>
  <c r="AT15" i="12"/>
  <c r="AU12" i="12" s="1"/>
  <c r="AU17" i="12" s="1"/>
  <c r="BC9" i="12"/>
  <c r="BB18" i="12"/>
  <c r="BB43" i="12" s="1"/>
  <c r="BB42" i="12" s="1"/>
  <c r="CV64" i="12" l="1"/>
  <c r="CU48" i="12"/>
  <c r="CU51" i="12"/>
  <c r="CX66" i="12" s="1"/>
  <c r="CU50" i="12"/>
  <c r="CX65" i="12" s="1"/>
  <c r="BB38" i="12"/>
  <c r="BB55" i="12" s="1"/>
  <c r="BB30" i="12" s="1"/>
  <c r="BE63" i="12"/>
  <c r="BK33" i="12"/>
  <c r="CV36" i="12"/>
  <c r="CV49" i="12" s="1"/>
  <c r="CU47" i="12"/>
  <c r="BJ37" i="12"/>
  <c r="BJ35" i="12"/>
  <c r="AX8" i="12"/>
  <c r="AW28" i="12"/>
  <c r="AU15" i="12"/>
  <c r="AV12" i="12" s="1"/>
  <c r="AV17" i="12" s="1"/>
  <c r="BD9" i="12"/>
  <c r="BC18" i="12"/>
  <c r="BC43" i="12" s="1"/>
  <c r="BC42" i="12" s="1"/>
  <c r="CV48" i="12" l="1"/>
  <c r="CV51" i="12"/>
  <c r="CY66" i="12" s="1"/>
  <c r="CV50" i="12"/>
  <c r="CY65" i="12" s="1"/>
  <c r="CX64" i="12"/>
  <c r="BC38" i="12"/>
  <c r="BC55" i="12" s="1"/>
  <c r="BC30" i="12" s="1"/>
  <c r="BF63" i="12"/>
  <c r="BK35" i="12"/>
  <c r="BK37" i="12"/>
  <c r="CW36" i="12"/>
  <c r="CX36" i="12" s="1"/>
  <c r="CX49" i="12" s="1"/>
  <c r="CV47" i="12"/>
  <c r="BL33" i="12"/>
  <c r="BK45" i="12"/>
  <c r="AY8" i="12"/>
  <c r="AX28" i="12"/>
  <c r="AV15" i="12"/>
  <c r="AW12" i="12" s="1"/>
  <c r="AW17" i="12" s="1"/>
  <c r="BE9" i="12"/>
  <c r="CY64" i="12" l="1"/>
  <c r="CX48" i="12"/>
  <c r="CX51" i="12"/>
  <c r="DA66" i="12" s="1"/>
  <c r="CX50" i="12"/>
  <c r="DA65" i="12" s="1"/>
  <c r="BM33" i="12"/>
  <c r="BL45" i="12"/>
  <c r="BL35" i="12"/>
  <c r="CY36" i="12"/>
  <c r="CY49" i="12" s="1"/>
  <c r="CX47" i="12"/>
  <c r="BL37" i="12"/>
  <c r="AZ8" i="12"/>
  <c r="AY28" i="12"/>
  <c r="AW15" i="12"/>
  <c r="AX12" i="12" s="1"/>
  <c r="AX17" i="12" s="1"/>
  <c r="BF9" i="12"/>
  <c r="BE18" i="12"/>
  <c r="BE43" i="12" s="1"/>
  <c r="DA64" i="12" l="1"/>
  <c r="BE42" i="12"/>
  <c r="BE38" i="12" s="1"/>
  <c r="BE55" i="12" s="1"/>
  <c r="BE30" i="12" s="1"/>
  <c r="CY48" i="12"/>
  <c r="CY50" i="12"/>
  <c r="DB65" i="12" s="1"/>
  <c r="CY51" i="12"/>
  <c r="DB66" i="12" s="1"/>
  <c r="BM37" i="12"/>
  <c r="BM35" i="12"/>
  <c r="CZ36" i="12"/>
  <c r="DA36" i="12" s="1"/>
  <c r="DA49" i="12" s="1"/>
  <c r="CY47" i="12"/>
  <c r="BN33" i="12"/>
  <c r="BA8" i="12"/>
  <c r="AZ28" i="12"/>
  <c r="AX15" i="12"/>
  <c r="AY12" i="12" s="1"/>
  <c r="AY17" i="12" s="1"/>
  <c r="BG9" i="12"/>
  <c r="BF18" i="12"/>
  <c r="BF43" i="12" s="1"/>
  <c r="BF42" i="12" s="1"/>
  <c r="BH63" i="12" l="1"/>
  <c r="DA48" i="12"/>
  <c r="DA51" i="12"/>
  <c r="DA50" i="12"/>
  <c r="DB64" i="12"/>
  <c r="BF38" i="12"/>
  <c r="BF55" i="12" s="1"/>
  <c r="BF30" i="12" s="1"/>
  <c r="BI63" i="12"/>
  <c r="BN37" i="12"/>
  <c r="BO33" i="12"/>
  <c r="BN45" i="12"/>
  <c r="BN35" i="12"/>
  <c r="DB36" i="12"/>
  <c r="DB49" i="12" s="1"/>
  <c r="DA47" i="12"/>
  <c r="BB8" i="12"/>
  <c r="BA28" i="12"/>
  <c r="AY15" i="12"/>
  <c r="AZ12" i="12" s="1"/>
  <c r="AZ17" i="12" s="1"/>
  <c r="BH9" i="12"/>
  <c r="DD65" i="12" l="1"/>
  <c r="DD66" i="12"/>
  <c r="DB48" i="12"/>
  <c r="DB51" i="12"/>
  <c r="DE66" i="12" s="1"/>
  <c r="DB50" i="12"/>
  <c r="DE65" i="12" s="1"/>
  <c r="BO37" i="12"/>
  <c r="BO35" i="12"/>
  <c r="DC36" i="12"/>
  <c r="DD36" i="12" s="1"/>
  <c r="DD49" i="12" s="1"/>
  <c r="DB47" i="12"/>
  <c r="BP33" i="12"/>
  <c r="BO45" i="12"/>
  <c r="BC8" i="12"/>
  <c r="BB28" i="12"/>
  <c r="AZ15" i="12"/>
  <c r="BA12" i="12" s="1"/>
  <c r="BA17" i="12" s="1"/>
  <c r="BI9" i="12"/>
  <c r="BH18" i="12"/>
  <c r="BH43" i="12" s="1"/>
  <c r="BH42" i="12" s="1"/>
  <c r="DE64" i="12" l="1"/>
  <c r="DD64" i="12"/>
  <c r="DD48" i="12"/>
  <c r="DD51" i="12"/>
  <c r="DG66" i="12" s="1"/>
  <c r="DD50" i="12"/>
  <c r="DG65" i="12" s="1"/>
  <c r="BH38" i="12"/>
  <c r="BH55" i="12" s="1"/>
  <c r="BH30" i="12" s="1"/>
  <c r="BK63" i="12"/>
  <c r="BP35" i="12"/>
  <c r="BP37" i="12"/>
  <c r="BQ33" i="12"/>
  <c r="DE36" i="12"/>
  <c r="DE49" i="12" s="1"/>
  <c r="DD47" i="12"/>
  <c r="BD8" i="12"/>
  <c r="BC28" i="12"/>
  <c r="BA15" i="12"/>
  <c r="BB12" i="12" s="1"/>
  <c r="BB17" i="12" s="1"/>
  <c r="BJ9" i="12"/>
  <c r="BI18" i="12"/>
  <c r="BI43" i="12" s="1"/>
  <c r="BI42" i="12" s="1"/>
  <c r="DG64" i="12" l="1"/>
  <c r="DE48" i="12"/>
  <c r="DE51" i="12"/>
  <c r="DH66" i="12" s="1"/>
  <c r="DE50" i="12"/>
  <c r="DH65" i="12" s="1"/>
  <c r="BI38" i="12"/>
  <c r="BI55" i="12" s="1"/>
  <c r="BI30" i="12" s="1"/>
  <c r="BL63" i="12"/>
  <c r="BQ37" i="12"/>
  <c r="BR33" i="12"/>
  <c r="BQ45" i="12"/>
  <c r="DF36" i="12"/>
  <c r="DG36" i="12" s="1"/>
  <c r="DG49" i="12" s="1"/>
  <c r="DE47" i="12"/>
  <c r="BQ35" i="12"/>
  <c r="BE8" i="12"/>
  <c r="BD28" i="12"/>
  <c r="BB15" i="12"/>
  <c r="BC12" i="12" s="1"/>
  <c r="BC17" i="12" s="1"/>
  <c r="BK9" i="12"/>
  <c r="DH64" i="12" l="1"/>
  <c r="DG48" i="12"/>
  <c r="DG51" i="12"/>
  <c r="DJ66" i="12" s="1"/>
  <c r="DG50" i="12"/>
  <c r="DJ65" i="12" s="1"/>
  <c r="BR35" i="12"/>
  <c r="BR37" i="12"/>
  <c r="DH36" i="12"/>
  <c r="DH49" i="12" s="1"/>
  <c r="DG47" i="12"/>
  <c r="BS33" i="12"/>
  <c r="BR45" i="12"/>
  <c r="BF8" i="12"/>
  <c r="BE28" i="12"/>
  <c r="BC15" i="12"/>
  <c r="BD12" i="12" s="1"/>
  <c r="BD17" i="12" s="1"/>
  <c r="BL9" i="12"/>
  <c r="BK18" i="12"/>
  <c r="BK43" i="12" s="1"/>
  <c r="BK42" i="12" s="1"/>
  <c r="DH48" i="12" l="1"/>
  <c r="DH51" i="12"/>
  <c r="DK66" i="12" s="1"/>
  <c r="DH50" i="12"/>
  <c r="DK65" i="12" s="1"/>
  <c r="DJ64" i="12"/>
  <c r="BK38" i="12"/>
  <c r="BK55" i="12" s="1"/>
  <c r="BK30" i="12" s="1"/>
  <c r="BN63" i="12"/>
  <c r="BS35" i="12"/>
  <c r="BS37" i="12"/>
  <c r="BT33" i="12"/>
  <c r="DI36" i="12"/>
  <c r="DJ36" i="12" s="1"/>
  <c r="DJ49" i="12" s="1"/>
  <c r="DH47" i="12"/>
  <c r="BG8" i="12"/>
  <c r="BF28" i="12"/>
  <c r="BD15" i="12"/>
  <c r="BE12" i="12" s="1"/>
  <c r="BE17" i="12" s="1"/>
  <c r="BM9" i="12"/>
  <c r="BL18" i="12"/>
  <c r="BL43" i="12" s="1"/>
  <c r="BL42" i="12" s="1"/>
  <c r="DK64" i="12" l="1"/>
  <c r="DJ48" i="12"/>
  <c r="DJ51" i="12"/>
  <c r="DM66" i="12" s="1"/>
  <c r="DJ50" i="12"/>
  <c r="DM65" i="12" s="1"/>
  <c r="BL38" i="12"/>
  <c r="BL55" i="12" s="1"/>
  <c r="BL30" i="12" s="1"/>
  <c r="BO63" i="12"/>
  <c r="DK36" i="12"/>
  <c r="DK49" i="12" s="1"/>
  <c r="DJ47" i="12"/>
  <c r="BU33" i="12"/>
  <c r="BT45" i="12"/>
  <c r="BT37" i="12"/>
  <c r="BT35" i="12"/>
  <c r="BH8" i="12"/>
  <c r="BG28" i="12"/>
  <c r="BE15" i="12"/>
  <c r="BF12" i="12" s="1"/>
  <c r="BF17" i="12" s="1"/>
  <c r="BN9" i="12"/>
  <c r="DM64" i="12" l="1"/>
  <c r="BU35" i="12"/>
  <c r="DK48" i="12"/>
  <c r="DK51" i="12"/>
  <c r="DN66" i="12" s="1"/>
  <c r="DK50" i="12"/>
  <c r="DN65" i="12" s="1"/>
  <c r="BU37" i="12"/>
  <c r="BV33" i="12"/>
  <c r="BV35" i="12" s="1"/>
  <c r="BU45" i="12"/>
  <c r="DL36" i="12"/>
  <c r="DM36" i="12" s="1"/>
  <c r="DM49" i="12" s="1"/>
  <c r="DK47" i="12"/>
  <c r="BI8" i="12"/>
  <c r="BH28" i="12"/>
  <c r="BF15" i="12"/>
  <c r="BG12" i="12" s="1"/>
  <c r="BG17" i="12" s="1"/>
  <c r="BO9" i="12"/>
  <c r="BN18" i="12"/>
  <c r="BN43" i="12" s="1"/>
  <c r="BN42" i="12" s="1"/>
  <c r="DN64" i="12" l="1"/>
  <c r="DM48" i="12"/>
  <c r="DM51" i="12"/>
  <c r="DM50" i="12"/>
  <c r="BN38" i="12"/>
  <c r="BN55" i="12" s="1"/>
  <c r="BN30" i="12" s="1"/>
  <c r="BQ63" i="12"/>
  <c r="DN36" i="12"/>
  <c r="DN49" i="12" s="1"/>
  <c r="DM47" i="12"/>
  <c r="BW33" i="12"/>
  <c r="BW35" i="12" s="1"/>
  <c r="BV37" i="12"/>
  <c r="BJ8" i="12"/>
  <c r="BI28" i="12"/>
  <c r="BG15" i="12"/>
  <c r="BH12" i="12" s="1"/>
  <c r="BH17" i="12" s="1"/>
  <c r="BP9" i="12"/>
  <c r="BO18" i="12"/>
  <c r="BO43" i="12" s="1"/>
  <c r="BO42" i="12" s="1"/>
  <c r="DP65" i="12" l="1"/>
  <c r="DP66" i="12"/>
  <c r="DN48" i="12"/>
  <c r="DN51" i="12"/>
  <c r="DQ66" i="12" s="1"/>
  <c r="DN50" i="12"/>
  <c r="DQ65" i="12" s="1"/>
  <c r="BO38" i="12"/>
  <c r="BO55" i="12" s="1"/>
  <c r="BO30" i="12" s="1"/>
  <c r="BR63" i="12"/>
  <c r="BW37" i="12"/>
  <c r="BX33" i="12"/>
  <c r="BW45" i="12"/>
  <c r="DO36" i="12"/>
  <c r="DP36" i="12" s="1"/>
  <c r="DP49" i="12" s="1"/>
  <c r="DN47" i="12"/>
  <c r="BK8" i="12"/>
  <c r="BJ28" i="12"/>
  <c r="BH15" i="12"/>
  <c r="BI12" i="12" s="1"/>
  <c r="BI17" i="12" s="1"/>
  <c r="BQ9" i="12"/>
  <c r="DQ64" i="12" l="1"/>
  <c r="DP64" i="12"/>
  <c r="DP48" i="12"/>
  <c r="DP51" i="12"/>
  <c r="DS66" i="12" s="1"/>
  <c r="DP50" i="12"/>
  <c r="DS65" i="12" s="1"/>
  <c r="BY33" i="12"/>
  <c r="BX45" i="12"/>
  <c r="DQ36" i="12"/>
  <c r="DQ49" i="12" s="1"/>
  <c r="DP47" i="12"/>
  <c r="BX37" i="12"/>
  <c r="BX35" i="12"/>
  <c r="BL8" i="12"/>
  <c r="BK28" i="12"/>
  <c r="BI15" i="12"/>
  <c r="BJ12" i="12" s="1"/>
  <c r="BJ17" i="12" s="1"/>
  <c r="BR9" i="12"/>
  <c r="BQ18" i="12"/>
  <c r="BQ43" i="12" s="1"/>
  <c r="BQ42" i="12" l="1"/>
  <c r="BQ38" i="12" s="1"/>
  <c r="BQ55" i="12" s="1"/>
  <c r="BQ30" i="12" s="1"/>
  <c r="DS64" i="12"/>
  <c r="DQ48" i="12"/>
  <c r="DQ51" i="12"/>
  <c r="DT66" i="12" s="1"/>
  <c r="DQ50" i="12"/>
  <c r="DT65" i="12" s="1"/>
  <c r="BY37" i="12"/>
  <c r="BY35" i="12"/>
  <c r="DR36" i="12"/>
  <c r="DS36" i="12" s="1"/>
  <c r="DS49" i="12" s="1"/>
  <c r="DQ47" i="12"/>
  <c r="BZ33" i="12"/>
  <c r="BM8" i="12"/>
  <c r="BL28" i="12"/>
  <c r="BJ15" i="12"/>
  <c r="BK12" i="12" s="1"/>
  <c r="BK17" i="12" s="1"/>
  <c r="BS9" i="12"/>
  <c r="BR18" i="12"/>
  <c r="BR43" i="12" s="1"/>
  <c r="BR42" i="12" s="1"/>
  <c r="BT63" i="12" l="1"/>
  <c r="DT64" i="12"/>
  <c r="DS48" i="12"/>
  <c r="DS51" i="12"/>
  <c r="DV66" i="12" s="1"/>
  <c r="DS50" i="12"/>
  <c r="DV65" i="12" s="1"/>
  <c r="BR38" i="12"/>
  <c r="BR55" i="12" s="1"/>
  <c r="BR30" i="12" s="1"/>
  <c r="BU63" i="12"/>
  <c r="BZ35" i="12"/>
  <c r="CA33" i="12"/>
  <c r="BZ45" i="12"/>
  <c r="DT36" i="12"/>
  <c r="DT49" i="12" s="1"/>
  <c r="DS47" i="12"/>
  <c r="BZ37" i="12"/>
  <c r="BN8" i="12"/>
  <c r="BM28" i="12"/>
  <c r="BK15" i="12"/>
  <c r="BL12" i="12" s="1"/>
  <c r="BL17" i="12" s="1"/>
  <c r="BT9" i="12"/>
  <c r="DV64" i="12" l="1"/>
  <c r="DT48" i="12"/>
  <c r="DT51" i="12"/>
  <c r="DW66" i="12" s="1"/>
  <c r="DT50" i="12"/>
  <c r="DW65" i="12" s="1"/>
  <c r="CA37" i="12"/>
  <c r="DU36" i="12"/>
  <c r="DV36" i="12" s="1"/>
  <c r="DV49" i="12" s="1"/>
  <c r="DT47" i="12"/>
  <c r="CB33" i="12"/>
  <c r="CA45" i="12"/>
  <c r="CA35" i="12"/>
  <c r="BO8" i="12"/>
  <c r="BN28" i="12"/>
  <c r="BL15" i="12"/>
  <c r="BM12" i="12" s="1"/>
  <c r="BM17" i="12" s="1"/>
  <c r="BU9" i="12"/>
  <c r="BT18" i="12"/>
  <c r="BT43" i="12" s="1"/>
  <c r="BT42" i="12" s="1"/>
  <c r="DW64" i="12" l="1"/>
  <c r="DV48" i="12"/>
  <c r="DV51" i="12"/>
  <c r="DY66" i="12" s="1"/>
  <c r="DV50" i="12"/>
  <c r="DY65" i="12" s="1"/>
  <c r="BT38" i="12"/>
  <c r="BT55" i="12" s="1"/>
  <c r="BT30" i="12" s="1"/>
  <c r="BW63" i="12"/>
  <c r="CB35" i="12"/>
  <c r="CC33" i="12"/>
  <c r="CB37" i="12"/>
  <c r="DW36" i="12"/>
  <c r="DW49" i="12" s="1"/>
  <c r="DV47" i="12"/>
  <c r="BP8" i="12"/>
  <c r="BO28" i="12"/>
  <c r="BM15" i="12"/>
  <c r="BN12" i="12" s="1"/>
  <c r="BN17" i="12" s="1"/>
  <c r="BV9" i="12"/>
  <c r="BU18" i="12"/>
  <c r="BU43" i="12" s="1"/>
  <c r="BU42" i="12" s="1"/>
  <c r="DY64" i="12" l="1"/>
  <c r="DW48" i="12"/>
  <c r="DW51" i="12"/>
  <c r="DZ66" i="12" s="1"/>
  <c r="DW50" i="12"/>
  <c r="DZ65" i="12" s="1"/>
  <c r="BU38" i="12"/>
  <c r="BU55" i="12" s="1"/>
  <c r="BU30" i="12" s="1"/>
  <c r="BX63" i="12"/>
  <c r="CC35" i="12"/>
  <c r="CC37" i="12"/>
  <c r="DX36" i="12"/>
  <c r="DY36" i="12" s="1"/>
  <c r="DY49" i="12" s="1"/>
  <c r="DW47" i="12"/>
  <c r="CD33" i="12"/>
  <c r="CC45" i="12"/>
  <c r="BQ8" i="12"/>
  <c r="BP28" i="12"/>
  <c r="BN15" i="12"/>
  <c r="BO12" i="12" s="1"/>
  <c r="BO17" i="12" s="1"/>
  <c r="BW9" i="12"/>
  <c r="DZ64" i="12" l="1"/>
  <c r="DY48" i="12"/>
  <c r="DY51" i="12"/>
  <c r="DY50" i="12"/>
  <c r="CE33" i="12"/>
  <c r="CD45" i="12"/>
  <c r="CD37" i="12"/>
  <c r="CD35" i="12"/>
  <c r="DZ36" i="12"/>
  <c r="DZ49" i="12" s="1"/>
  <c r="DY47" i="12"/>
  <c r="BQ28" i="12"/>
  <c r="BR8" i="12"/>
  <c r="BO15" i="12"/>
  <c r="BP12" i="12" s="1"/>
  <c r="BP17" i="12" s="1"/>
  <c r="BX9" i="12"/>
  <c r="BW18" i="12"/>
  <c r="BW43" i="12" s="1"/>
  <c r="BW42" i="12" s="1"/>
  <c r="EB65" i="12" l="1"/>
  <c r="EB66" i="12"/>
  <c r="DZ48" i="12"/>
  <c r="DZ51" i="12"/>
  <c r="EC66" i="12" s="1"/>
  <c r="DZ50" i="12"/>
  <c r="EC65" i="12" s="1"/>
  <c r="BW38" i="12"/>
  <c r="BW55" i="12" s="1"/>
  <c r="BW30" i="12" s="1"/>
  <c r="BZ63" i="12"/>
  <c r="CE35" i="12"/>
  <c r="CE37" i="12"/>
  <c r="EA36" i="12"/>
  <c r="EB36" i="12" s="1"/>
  <c r="EB49" i="12" s="1"/>
  <c r="DZ47" i="12"/>
  <c r="CF33" i="12"/>
  <c r="BS8" i="12"/>
  <c r="BR28" i="12"/>
  <c r="BP15" i="12"/>
  <c r="BQ12" i="12" s="1"/>
  <c r="BQ17" i="12" s="1"/>
  <c r="BY9" i="12"/>
  <c r="BX18" i="12"/>
  <c r="BX43" i="12" s="1"/>
  <c r="BX42" i="12" s="1"/>
  <c r="EC64" i="12" l="1"/>
  <c r="EB64" i="12"/>
  <c r="EB48" i="12"/>
  <c r="EB51" i="12"/>
  <c r="EE66" i="12" s="1"/>
  <c r="EB50" i="12"/>
  <c r="EE65" i="12" s="1"/>
  <c r="BX38" i="12"/>
  <c r="BX55" i="12" s="1"/>
  <c r="BX30" i="12" s="1"/>
  <c r="CA63" i="12"/>
  <c r="CF35" i="12"/>
  <c r="CG33" i="12"/>
  <c r="CF45" i="12"/>
  <c r="EC36" i="12"/>
  <c r="EC49" i="12" s="1"/>
  <c r="EB47" i="12"/>
  <c r="CF37" i="12"/>
  <c r="BT8" i="12"/>
  <c r="BS28" i="12"/>
  <c r="BQ15" i="12"/>
  <c r="BR12" i="12" s="1"/>
  <c r="BR17" i="12" s="1"/>
  <c r="BZ9" i="12"/>
  <c r="EE64" i="12" l="1"/>
  <c r="EC48" i="12"/>
  <c r="EC51" i="12"/>
  <c r="EF66" i="12" s="1"/>
  <c r="EC50" i="12"/>
  <c r="EF65" i="12" s="1"/>
  <c r="CG37" i="12"/>
  <c r="ED36" i="12"/>
  <c r="EE36" i="12" s="1"/>
  <c r="EE49" i="12" s="1"/>
  <c r="EC47" i="12"/>
  <c r="CH33" i="12"/>
  <c r="CG45" i="12"/>
  <c r="CG35" i="12"/>
  <c r="BU8" i="12"/>
  <c r="BT28" i="12"/>
  <c r="BR15" i="12"/>
  <c r="BS12" i="12" s="1"/>
  <c r="BS17" i="12" s="1"/>
  <c r="CA9" i="12"/>
  <c r="BZ18" i="12"/>
  <c r="BZ43" i="12" s="1"/>
  <c r="BZ42" i="12" s="1"/>
  <c r="Q24" i="5"/>
  <c r="Q25" i="5"/>
  <c r="M129" i="8"/>
  <c r="M128" i="8"/>
  <c r="D207" i="8"/>
  <c r="D206" i="8"/>
  <c r="D205" i="8"/>
  <c r="D204" i="8"/>
  <c r="D203" i="8"/>
  <c r="D202" i="8"/>
  <c r="D201" i="8"/>
  <c r="D200" i="8"/>
  <c r="D199" i="8"/>
  <c r="C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I119" i="8"/>
  <c r="J119" i="8" s="1"/>
  <c r="K119" i="8" s="1"/>
  <c r="L119" i="8" s="1"/>
  <c r="M119" i="8" s="1"/>
  <c r="I145" i="8"/>
  <c r="I169" i="8"/>
  <c r="J169" i="8" s="1"/>
  <c r="K169" i="8" s="1"/>
  <c r="L169" i="8" s="1"/>
  <c r="M169" i="8" s="1"/>
  <c r="I165" i="8"/>
  <c r="J165" i="8" s="1"/>
  <c r="K165" i="8" s="1"/>
  <c r="L165" i="8" s="1"/>
  <c r="M165" i="8" s="1"/>
  <c r="I164" i="8"/>
  <c r="J164" i="8" s="1"/>
  <c r="K164" i="8" s="1"/>
  <c r="L164" i="8" s="1"/>
  <c r="M164" i="8" s="1"/>
  <c r="I163" i="8"/>
  <c r="J163" i="8" s="1"/>
  <c r="K163" i="8" s="1"/>
  <c r="L163" i="8" s="1"/>
  <c r="M163" i="8" s="1"/>
  <c r="I162" i="8"/>
  <c r="J162" i="8" s="1"/>
  <c r="I160" i="8"/>
  <c r="J160" i="8" s="1"/>
  <c r="K160" i="8" s="1"/>
  <c r="L160" i="8" s="1"/>
  <c r="M160" i="8" s="1"/>
  <c r="H151" i="8"/>
  <c r="G151" i="8"/>
  <c r="F151" i="8"/>
  <c r="E151" i="8"/>
  <c r="D151" i="8"/>
  <c r="C151" i="8"/>
  <c r="I159" i="8" s="1"/>
  <c r="J174" i="8"/>
  <c r="K174" i="8" s="1"/>
  <c r="L174" i="8" s="1"/>
  <c r="M174" i="8" s="1"/>
  <c r="J173" i="8"/>
  <c r="K173" i="8" s="1"/>
  <c r="L173" i="8" s="1"/>
  <c r="M173" i="8" s="1"/>
  <c r="M143" i="8" s="1"/>
  <c r="H176" i="8"/>
  <c r="H170" i="8"/>
  <c r="H167" i="8"/>
  <c r="H161" i="8"/>
  <c r="H156" i="8"/>
  <c r="L117" i="8"/>
  <c r="K117" i="8"/>
  <c r="J117" i="8"/>
  <c r="I117" i="8"/>
  <c r="H117" i="8"/>
  <c r="G117" i="8"/>
  <c r="F117" i="8"/>
  <c r="E117" i="8"/>
  <c r="D117" i="8"/>
  <c r="C117" i="8"/>
  <c r="H115" i="8"/>
  <c r="G115" i="8"/>
  <c r="F115" i="8"/>
  <c r="E115" i="8"/>
  <c r="D115" i="8"/>
  <c r="H114" i="8"/>
  <c r="H150" i="8" s="1"/>
  <c r="G114" i="8"/>
  <c r="G150" i="8" s="1"/>
  <c r="F114" i="8"/>
  <c r="F150" i="8" s="1"/>
  <c r="E114" i="8"/>
  <c r="E150" i="8" s="1"/>
  <c r="D114" i="8"/>
  <c r="D150" i="8" s="1"/>
  <c r="C114" i="8"/>
  <c r="C152" i="8" s="1"/>
  <c r="EF64" i="12" l="1"/>
  <c r="EE48" i="12"/>
  <c r="EE51" i="12"/>
  <c r="EH66" i="12" s="1"/>
  <c r="EE50" i="12"/>
  <c r="EH65" i="12" s="1"/>
  <c r="CH35" i="12"/>
  <c r="BZ38" i="12"/>
  <c r="BZ55" i="12" s="1"/>
  <c r="BZ30" i="12" s="1"/>
  <c r="CC63" i="12"/>
  <c r="CI33" i="12"/>
  <c r="CI35" i="12" s="1"/>
  <c r="EF36" i="12"/>
  <c r="EF49" i="12" s="1"/>
  <c r="EE47" i="12"/>
  <c r="CH37" i="12"/>
  <c r="BV8" i="12"/>
  <c r="BU28" i="12"/>
  <c r="BS15" i="12"/>
  <c r="BT12" i="12" s="1"/>
  <c r="BT17" i="12" s="1"/>
  <c r="CB9" i="12"/>
  <c r="CA18" i="12"/>
  <c r="CA43" i="12" s="1"/>
  <c r="CA42" i="12" s="1"/>
  <c r="D198" i="8"/>
  <c r="C183" i="8"/>
  <c r="H198" i="8" s="1"/>
  <c r="M137" i="8"/>
  <c r="K143" i="8"/>
  <c r="J143" i="8"/>
  <c r="L143" i="8"/>
  <c r="M140" i="8"/>
  <c r="M139" i="8" s="1"/>
  <c r="C150" i="8"/>
  <c r="D152" i="8"/>
  <c r="E152" i="8"/>
  <c r="L159" i="8"/>
  <c r="F152" i="8"/>
  <c r="H172" i="8"/>
  <c r="G152" i="8"/>
  <c r="H152" i="8"/>
  <c r="K162" i="8"/>
  <c r="J161" i="8"/>
  <c r="H166" i="8"/>
  <c r="J159" i="8"/>
  <c r="I161" i="8"/>
  <c r="K159" i="8"/>
  <c r="D116" i="8"/>
  <c r="D118" i="8" s="1"/>
  <c r="D121" i="8" s="1"/>
  <c r="D123" i="8" s="1"/>
  <c r="E116" i="8"/>
  <c r="E118" i="8" s="1"/>
  <c r="E121" i="8" s="1"/>
  <c r="E123" i="8" s="1"/>
  <c r="F116" i="8"/>
  <c r="F118" i="8" s="1"/>
  <c r="F121" i="8" s="1"/>
  <c r="F123" i="8" s="1"/>
  <c r="G116" i="8"/>
  <c r="G118" i="8" s="1"/>
  <c r="G121" i="8" s="1"/>
  <c r="G123" i="8" s="1"/>
  <c r="H116" i="8"/>
  <c r="H118" i="8" s="1"/>
  <c r="H121" i="8" s="1"/>
  <c r="H123" i="8" s="1"/>
  <c r="EH64" i="12" l="1"/>
  <c r="EF48" i="12"/>
  <c r="EF51" i="12"/>
  <c r="EI66" i="12" s="1"/>
  <c r="EF50" i="12"/>
  <c r="EI65" i="12" s="1"/>
  <c r="CA38" i="12"/>
  <c r="CA55" i="12" s="1"/>
  <c r="CA30" i="12" s="1"/>
  <c r="CD63" i="12"/>
  <c r="CI37" i="12"/>
  <c r="EG36" i="12"/>
  <c r="EH36" i="12" s="1"/>
  <c r="EH49" i="12" s="1"/>
  <c r="EF47" i="12"/>
  <c r="CJ33" i="12"/>
  <c r="CI45" i="12"/>
  <c r="BW8" i="12"/>
  <c r="BV28" i="12"/>
  <c r="F198" i="8"/>
  <c r="E198" i="8"/>
  <c r="BT15" i="12"/>
  <c r="BU12" i="12" s="1"/>
  <c r="BU17" i="12" s="1"/>
  <c r="CC9" i="12"/>
  <c r="G198" i="8"/>
  <c r="H177" i="8"/>
  <c r="H205" i="8"/>
  <c r="F203" i="8"/>
  <c r="G200" i="8"/>
  <c r="H197" i="8"/>
  <c r="L129" i="8" s="1"/>
  <c r="F195" i="8"/>
  <c r="G192" i="8"/>
  <c r="K128" i="8" s="1"/>
  <c r="H189" i="8"/>
  <c r="F187" i="8"/>
  <c r="E206" i="8"/>
  <c r="E190" i="8"/>
  <c r="H195" i="8"/>
  <c r="G190" i="8"/>
  <c r="F185" i="8"/>
  <c r="E200" i="8"/>
  <c r="G205" i="8"/>
  <c r="H202" i="8"/>
  <c r="F200" i="8"/>
  <c r="G197" i="8"/>
  <c r="K129" i="8" s="1"/>
  <c r="H194" i="8"/>
  <c r="F192" i="8"/>
  <c r="J128" i="8" s="1"/>
  <c r="G189" i="8"/>
  <c r="H186" i="8"/>
  <c r="E205" i="8"/>
  <c r="E197" i="8"/>
  <c r="I129" i="8" s="1"/>
  <c r="E189" i="8"/>
  <c r="G206" i="8"/>
  <c r="G203" i="8"/>
  <c r="F190" i="8"/>
  <c r="E191" i="8"/>
  <c r="H207" i="8"/>
  <c r="F205" i="8"/>
  <c r="G202" i="8"/>
  <c r="H199" i="8"/>
  <c r="F197" i="8"/>
  <c r="J129" i="8" s="1"/>
  <c r="G194" i="8"/>
  <c r="H191" i="8"/>
  <c r="F189" i="8"/>
  <c r="G186" i="8"/>
  <c r="E204" i="8"/>
  <c r="E196" i="8"/>
  <c r="E188" i="8"/>
  <c r="F193" i="8"/>
  <c r="H187" i="8"/>
  <c r="E192" i="8"/>
  <c r="I128" i="8" s="1"/>
  <c r="G195" i="8"/>
  <c r="E207" i="8"/>
  <c r="G207" i="8"/>
  <c r="H204" i="8"/>
  <c r="F202" i="8"/>
  <c r="G199" i="8"/>
  <c r="H196" i="8"/>
  <c r="F194" i="8"/>
  <c r="G191" i="8"/>
  <c r="H188" i="8"/>
  <c r="F186" i="8"/>
  <c r="E203" i="8"/>
  <c r="E195" i="8"/>
  <c r="E187" i="8"/>
  <c r="H203" i="8"/>
  <c r="F207" i="8"/>
  <c r="G204" i="8"/>
  <c r="H201" i="8"/>
  <c r="F199" i="8"/>
  <c r="G196" i="8"/>
  <c r="H193" i="8"/>
  <c r="F191" i="8"/>
  <c r="G188" i="8"/>
  <c r="H185" i="8"/>
  <c r="E202" i="8"/>
  <c r="E194" i="8"/>
  <c r="E186" i="8"/>
  <c r="F201" i="8"/>
  <c r="H200" i="8"/>
  <c r="G187" i="8"/>
  <c r="H206" i="8"/>
  <c r="F204" i="8"/>
  <c r="G201" i="8"/>
  <c r="F196" i="8"/>
  <c r="G193" i="8"/>
  <c r="H190" i="8"/>
  <c r="F188" i="8"/>
  <c r="G185" i="8"/>
  <c r="E201" i="8"/>
  <c r="E193" i="8"/>
  <c r="E185" i="8"/>
  <c r="D183" i="8"/>
  <c r="D184" i="8" s="1"/>
  <c r="F206" i="8"/>
  <c r="H192" i="8"/>
  <c r="L128" i="8" s="1"/>
  <c r="E199" i="8"/>
  <c r="L162" i="8"/>
  <c r="K161" i="8"/>
  <c r="EI64" i="12" l="1"/>
  <c r="EH48" i="12"/>
  <c r="EH51" i="12"/>
  <c r="EK66" i="12" s="1"/>
  <c r="EH50" i="12"/>
  <c r="EK65" i="12" s="1"/>
  <c r="CK33" i="12"/>
  <c r="CJ45" i="12"/>
  <c r="EI36" i="12"/>
  <c r="EI49" i="12" s="1"/>
  <c r="EH47" i="12"/>
  <c r="CJ37" i="12"/>
  <c r="CJ35" i="12"/>
  <c r="BX8" i="12"/>
  <c r="BW28" i="12"/>
  <c r="BU15" i="12"/>
  <c r="BV12" i="12" s="1"/>
  <c r="BV17" i="12" s="1"/>
  <c r="CD9" i="12"/>
  <c r="CC18" i="12"/>
  <c r="CC43" i="12" s="1"/>
  <c r="K140" i="8"/>
  <c r="K139" i="8" s="1"/>
  <c r="K137" i="8"/>
  <c r="E184" i="8"/>
  <c r="L140" i="8"/>
  <c r="L139" i="8" s="1"/>
  <c r="L137" i="8"/>
  <c r="H184" i="8"/>
  <c r="I140" i="8"/>
  <c r="I139" i="8" s="1"/>
  <c r="I137" i="8"/>
  <c r="F184" i="8"/>
  <c r="J140" i="8"/>
  <c r="J139" i="8" s="1"/>
  <c r="J137" i="8"/>
  <c r="G184" i="8"/>
  <c r="M162" i="8"/>
  <c r="M161" i="8" s="1"/>
  <c r="L161" i="8"/>
  <c r="CK37" i="12" l="1"/>
  <c r="CC42" i="12"/>
  <c r="CC38" i="12" s="1"/>
  <c r="CC55" i="12" s="1"/>
  <c r="CC30" i="12" s="1"/>
  <c r="EK64" i="12"/>
  <c r="CK35" i="12"/>
  <c r="EI48" i="12"/>
  <c r="EI51" i="12"/>
  <c r="EL66" i="12" s="1"/>
  <c r="EI50" i="12"/>
  <c r="EL65" i="12" s="1"/>
  <c r="EJ36" i="12"/>
  <c r="EK36" i="12" s="1"/>
  <c r="EK49" i="12" s="1"/>
  <c r="EI47" i="12"/>
  <c r="CL33" i="12"/>
  <c r="BY8" i="12"/>
  <c r="BX28" i="12"/>
  <c r="BV15" i="12"/>
  <c r="BW12" i="12" s="1"/>
  <c r="BW17" i="12" s="1"/>
  <c r="CE9" i="12"/>
  <c r="CD18" i="12"/>
  <c r="CD43" i="12" s="1"/>
  <c r="CD42" i="12" s="1"/>
  <c r="J14" i="6"/>
  <c r="CF63" i="12" l="1"/>
  <c r="EL64" i="12"/>
  <c r="EK48" i="12"/>
  <c r="EK51" i="12"/>
  <c r="EK50" i="12"/>
  <c r="CD38" i="12"/>
  <c r="CD55" i="12" s="1"/>
  <c r="CD30" i="12" s="1"/>
  <c r="CG63" i="12"/>
  <c r="EL36" i="12"/>
  <c r="EL49" i="12" s="1"/>
  <c r="EK47" i="12"/>
  <c r="CM33" i="12"/>
  <c r="CL45" i="12"/>
  <c r="CL35" i="12"/>
  <c r="CL37" i="12"/>
  <c r="BZ8" i="12"/>
  <c r="BY28" i="12"/>
  <c r="BW15" i="12"/>
  <c r="BX12" i="12" s="1"/>
  <c r="BX17" i="12" s="1"/>
  <c r="CF9" i="12"/>
  <c r="G32" i="8"/>
  <c r="AF62" i="1"/>
  <c r="AC83" i="1"/>
  <c r="AC6" i="9"/>
  <c r="AC46" i="9" s="1"/>
  <c r="AC5" i="9"/>
  <c r="AC45" i="9" s="1"/>
  <c r="N40" i="9"/>
  <c r="N39" i="9"/>
  <c r="N38" i="9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C55" i="3"/>
  <c r="C51" i="3"/>
  <c r="R48" i="3"/>
  <c r="R60" i="3" s="1"/>
  <c r="R47" i="3"/>
  <c r="R59" i="3" s="1"/>
  <c r="Q48" i="3"/>
  <c r="Q60" i="3" s="1"/>
  <c r="P48" i="3"/>
  <c r="P60" i="3" s="1"/>
  <c r="O48" i="3"/>
  <c r="O60" i="3" s="1"/>
  <c r="N48" i="3"/>
  <c r="N60" i="3" s="1"/>
  <c r="M48" i="3"/>
  <c r="M60" i="3" s="1"/>
  <c r="L48" i="3"/>
  <c r="L60" i="3" s="1"/>
  <c r="K48" i="3"/>
  <c r="K60" i="3" s="1"/>
  <c r="J48" i="3"/>
  <c r="J60" i="3" s="1"/>
  <c r="I48" i="3"/>
  <c r="I60" i="3" s="1"/>
  <c r="H48" i="3"/>
  <c r="H60" i="3" s="1"/>
  <c r="G48" i="3"/>
  <c r="G60" i="3" s="1"/>
  <c r="F48" i="3"/>
  <c r="F60" i="3" s="1"/>
  <c r="E48" i="3"/>
  <c r="E60" i="3" s="1"/>
  <c r="D48" i="3"/>
  <c r="D60" i="3" s="1"/>
  <c r="Q47" i="3"/>
  <c r="Q59" i="3" s="1"/>
  <c r="P47" i="3"/>
  <c r="P59" i="3" s="1"/>
  <c r="O47" i="3"/>
  <c r="O59" i="3" s="1"/>
  <c r="N47" i="3"/>
  <c r="N59" i="3" s="1"/>
  <c r="M47" i="3"/>
  <c r="M59" i="3" s="1"/>
  <c r="L47" i="3"/>
  <c r="L59" i="3" s="1"/>
  <c r="K47" i="3"/>
  <c r="K59" i="3" s="1"/>
  <c r="J47" i="3"/>
  <c r="J59" i="3" s="1"/>
  <c r="I47" i="3"/>
  <c r="I59" i="3" s="1"/>
  <c r="H47" i="3"/>
  <c r="H59" i="3" s="1"/>
  <c r="G47" i="3"/>
  <c r="G59" i="3" s="1"/>
  <c r="F47" i="3"/>
  <c r="F59" i="3" s="1"/>
  <c r="E47" i="3"/>
  <c r="E59" i="3" s="1"/>
  <c r="D47" i="3"/>
  <c r="D59" i="3" s="1"/>
  <c r="N66" i="9"/>
  <c r="N65" i="9"/>
  <c r="N64" i="9"/>
  <c r="C121" i="1"/>
  <c r="I18" i="3" s="1"/>
  <c r="J18" i="3" s="1"/>
  <c r="K18" i="3" s="1"/>
  <c r="L18" i="3" s="1"/>
  <c r="M18" i="3" s="1"/>
  <c r="N18" i="3" s="1"/>
  <c r="O18" i="3" s="1"/>
  <c r="P18" i="3" s="1"/>
  <c r="Q18" i="3" s="1"/>
  <c r="R18" i="3" s="1"/>
  <c r="C120" i="1"/>
  <c r="G115" i="1"/>
  <c r="F115" i="1"/>
  <c r="E115" i="1"/>
  <c r="D115" i="1"/>
  <c r="C115" i="1"/>
  <c r="AD84" i="1"/>
  <c r="AC82" i="1"/>
  <c r="AB83" i="1"/>
  <c r="AB82" i="1"/>
  <c r="AB81" i="1"/>
  <c r="AA81" i="1"/>
  <c r="D18" i="9"/>
  <c r="AG62" i="1"/>
  <c r="AG61" i="1"/>
  <c r="AG60" i="1"/>
  <c r="AF60" i="1"/>
  <c r="AF59" i="1"/>
  <c r="AC78" i="1"/>
  <c r="AE61" i="1"/>
  <c r="AE60" i="1"/>
  <c r="AC62" i="1"/>
  <c r="AC61" i="1"/>
  <c r="AC59" i="1"/>
  <c r="AC56" i="1"/>
  <c r="AB62" i="1"/>
  <c r="AB61" i="1"/>
  <c r="AB60" i="1"/>
  <c r="AB59" i="1"/>
  <c r="AA59" i="1"/>
  <c r="F8" i="9"/>
  <c r="F9" i="9" s="1"/>
  <c r="AA58" i="1" s="1"/>
  <c r="AB84" i="1"/>
  <c r="AA84" i="1"/>
  <c r="AA83" i="1"/>
  <c r="AA82" i="1"/>
  <c r="AB80" i="1"/>
  <c r="AB79" i="1"/>
  <c r="AD78" i="1"/>
  <c r="AB78" i="1"/>
  <c r="G18" i="9"/>
  <c r="AD79" i="1" s="1"/>
  <c r="F62" i="1"/>
  <c r="F61" i="1"/>
  <c r="F60" i="1"/>
  <c r="E59" i="1"/>
  <c r="E58" i="1"/>
  <c r="E57" i="1"/>
  <c r="E56" i="1"/>
  <c r="AB6" i="9"/>
  <c r="AB46" i="9" s="1"/>
  <c r="AA6" i="9"/>
  <c r="AA46" i="9" s="1"/>
  <c r="Z6" i="9"/>
  <c r="Z46" i="9" s="1"/>
  <c r="Y6" i="9"/>
  <c r="Y46" i="9" s="1"/>
  <c r="X6" i="9"/>
  <c r="X46" i="9" s="1"/>
  <c r="W6" i="9"/>
  <c r="W46" i="9" s="1"/>
  <c r="V6" i="9"/>
  <c r="V46" i="9" s="1"/>
  <c r="U6" i="9"/>
  <c r="U46" i="9" s="1"/>
  <c r="T6" i="9"/>
  <c r="T46" i="9" s="1"/>
  <c r="S6" i="9"/>
  <c r="S46" i="9" s="1"/>
  <c r="R6" i="9"/>
  <c r="R46" i="9" s="1"/>
  <c r="Q6" i="9"/>
  <c r="Q46" i="9" s="1"/>
  <c r="P6" i="9"/>
  <c r="P46" i="9" s="1"/>
  <c r="O6" i="9"/>
  <c r="O46" i="9" s="1"/>
  <c r="AB5" i="9"/>
  <c r="AB45" i="9" s="1"/>
  <c r="AA5" i="9"/>
  <c r="AA45" i="9" s="1"/>
  <c r="Z5" i="9"/>
  <c r="Z45" i="9" s="1"/>
  <c r="Y5" i="9"/>
  <c r="Y45" i="9" s="1"/>
  <c r="X5" i="9"/>
  <c r="X45" i="9" s="1"/>
  <c r="W5" i="9"/>
  <c r="W45" i="9" s="1"/>
  <c r="V5" i="9"/>
  <c r="V45" i="9" s="1"/>
  <c r="U5" i="9"/>
  <c r="U45" i="9" s="1"/>
  <c r="T5" i="9"/>
  <c r="T45" i="9" s="1"/>
  <c r="S5" i="9"/>
  <c r="S45" i="9" s="1"/>
  <c r="R5" i="9"/>
  <c r="R45" i="9" s="1"/>
  <c r="Q5" i="9"/>
  <c r="Q45" i="9" s="1"/>
  <c r="P5" i="9"/>
  <c r="P45" i="9" s="1"/>
  <c r="O5" i="9"/>
  <c r="O45" i="9" s="1"/>
  <c r="AE62" i="1"/>
  <c r="AD62" i="1"/>
  <c r="AA62" i="1"/>
  <c r="AF61" i="1"/>
  <c r="AD61" i="1"/>
  <c r="AA61" i="1"/>
  <c r="AD60" i="1"/>
  <c r="AC60" i="1"/>
  <c r="AA60" i="1"/>
  <c r="AG59" i="1"/>
  <c r="AE59" i="1"/>
  <c r="AD59" i="1"/>
  <c r="AG58" i="1"/>
  <c r="AE58" i="1"/>
  <c r="AB58" i="1"/>
  <c r="AG57" i="1"/>
  <c r="AE57" i="1"/>
  <c r="AB57" i="1"/>
  <c r="AG56" i="1"/>
  <c r="AE56" i="1"/>
  <c r="AD56" i="1"/>
  <c r="AB56" i="1"/>
  <c r="F63" i="1"/>
  <c r="E63" i="1"/>
  <c r="E62" i="1"/>
  <c r="E61" i="1"/>
  <c r="E60" i="1"/>
  <c r="F59" i="1"/>
  <c r="F58" i="1"/>
  <c r="F57" i="1"/>
  <c r="F56" i="1"/>
  <c r="I8" i="9"/>
  <c r="I9" i="9" s="1"/>
  <c r="AD58" i="1" s="1"/>
  <c r="D13" i="8"/>
  <c r="E13" i="8" s="1"/>
  <c r="F13" i="8" s="1"/>
  <c r="G13" i="8" s="1"/>
  <c r="H13" i="8" s="1"/>
  <c r="I13" i="8" s="1"/>
  <c r="J13" i="8" s="1"/>
  <c r="K13" i="8" s="1"/>
  <c r="L13" i="8" s="1"/>
  <c r="M13" i="8" s="1"/>
  <c r="N13" i="8" s="1"/>
  <c r="O13" i="8" s="1"/>
  <c r="P13" i="8" s="1"/>
  <c r="Q13" i="8" s="1"/>
  <c r="AC54" i="9" s="1"/>
  <c r="Y17" i="3"/>
  <c r="G80" i="8" s="1"/>
  <c r="EN65" i="12" l="1"/>
  <c r="EN66" i="12"/>
  <c r="EL48" i="12"/>
  <c r="EL51" i="12"/>
  <c r="EO66" i="12" s="1"/>
  <c r="EL50" i="12"/>
  <c r="EO65" i="12" s="1"/>
  <c r="CM37" i="12"/>
  <c r="CM35" i="12"/>
  <c r="CN33" i="12"/>
  <c r="CM45" i="12"/>
  <c r="EM36" i="12"/>
  <c r="EN36" i="12" s="1"/>
  <c r="EN49" i="12" s="1"/>
  <c r="EL47" i="12"/>
  <c r="CA8" i="12"/>
  <c r="BZ28" i="12"/>
  <c r="BX15" i="12"/>
  <c r="BY12" i="12" s="1"/>
  <c r="BY17" i="12" s="1"/>
  <c r="CG9" i="12"/>
  <c r="CF18" i="12"/>
  <c r="CF43" i="12" s="1"/>
  <c r="CF42" i="12" s="1"/>
  <c r="F21" i="3"/>
  <c r="G21" i="3" s="1"/>
  <c r="H21" i="3" s="1"/>
  <c r="I21" i="3" s="1"/>
  <c r="J21" i="3" s="1"/>
  <c r="K21" i="3" s="1"/>
  <c r="L21" i="3" s="1"/>
  <c r="M21" i="3" s="1"/>
  <c r="N21" i="3" s="1"/>
  <c r="O21" i="3" s="1"/>
  <c r="P21" i="3" s="1"/>
  <c r="Q21" i="3" s="1"/>
  <c r="R21" i="3" s="1"/>
  <c r="F19" i="3"/>
  <c r="G19" i="3" s="1"/>
  <c r="H19" i="3" s="1"/>
  <c r="I19" i="3" s="1"/>
  <c r="J19" i="3" s="1"/>
  <c r="K19" i="3" s="1"/>
  <c r="L19" i="3" s="1"/>
  <c r="M19" i="3" s="1"/>
  <c r="N19" i="3" s="1"/>
  <c r="O19" i="3" s="1"/>
  <c r="P19" i="3" s="1"/>
  <c r="Q19" i="3" s="1"/>
  <c r="R19" i="3" s="1"/>
  <c r="F22" i="3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F20" i="3"/>
  <c r="G20" i="3" s="1"/>
  <c r="H20" i="3" s="1"/>
  <c r="I20" i="3" s="1"/>
  <c r="J20" i="3" s="1"/>
  <c r="K20" i="3" s="1"/>
  <c r="L20" i="3" s="1"/>
  <c r="M20" i="3" s="1"/>
  <c r="N20" i="3" s="1"/>
  <c r="O20" i="3" s="1"/>
  <c r="P20" i="3" s="1"/>
  <c r="Q20" i="3" s="1"/>
  <c r="R20" i="3" s="1"/>
  <c r="F24" i="3"/>
  <c r="G24" i="3" s="1"/>
  <c r="H24" i="3" s="1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54" i="9"/>
  <c r="AA54" i="9"/>
  <c r="T54" i="9"/>
  <c r="AB54" i="9"/>
  <c r="U54" i="9"/>
  <c r="V54" i="9"/>
  <c r="O54" i="9"/>
  <c r="W54" i="9"/>
  <c r="P54" i="9"/>
  <c r="X54" i="9"/>
  <c r="Q54" i="9"/>
  <c r="Y54" i="9"/>
  <c r="R54" i="9"/>
  <c r="Z54" i="9"/>
  <c r="AF56" i="1"/>
  <c r="K8" i="9"/>
  <c r="AD57" i="1"/>
  <c r="G19" i="9"/>
  <c r="AD82" i="1"/>
  <c r="AD83" i="1"/>
  <c r="AC84" i="1"/>
  <c r="AA78" i="1"/>
  <c r="AA56" i="1"/>
  <c r="H8" i="9"/>
  <c r="H9" i="9" s="1"/>
  <c r="AC58" i="1" s="1"/>
  <c r="D19" i="9"/>
  <c r="AA80" i="1" s="1"/>
  <c r="AA79" i="1"/>
  <c r="AA57" i="1"/>
  <c r="G56" i="8"/>
  <c r="F56" i="8"/>
  <c r="E56" i="8"/>
  <c r="C56" i="8"/>
  <c r="D56" i="8"/>
  <c r="C38" i="8"/>
  <c r="EN64" i="12" l="1"/>
  <c r="EO64" i="12"/>
  <c r="EN48" i="12"/>
  <c r="EN51" i="12"/>
  <c r="EQ66" i="12" s="1"/>
  <c r="EN50" i="12"/>
  <c r="EQ65" i="12" s="1"/>
  <c r="CF38" i="12"/>
  <c r="CF55" i="12" s="1"/>
  <c r="CF30" i="12" s="1"/>
  <c r="CI63" i="12"/>
  <c r="EO36" i="12"/>
  <c r="EO49" i="12" s="1"/>
  <c r="EN47" i="12"/>
  <c r="CO33" i="12"/>
  <c r="CN35" i="12"/>
  <c r="CO35" i="12" s="1"/>
  <c r="CN37" i="12"/>
  <c r="CO37" i="12" s="1"/>
  <c r="CB8" i="12"/>
  <c r="CA28" i="12"/>
  <c r="BY15" i="12"/>
  <c r="BZ12" i="12" s="1"/>
  <c r="BZ17" i="12" s="1"/>
  <c r="CH9" i="12"/>
  <c r="CG18" i="12"/>
  <c r="CG43" i="12" s="1"/>
  <c r="CG42" i="12" s="1"/>
  <c r="K9" i="9"/>
  <c r="F18" i="9"/>
  <c r="AC79" i="1" s="1"/>
  <c r="AF57" i="1"/>
  <c r="G20" i="9"/>
  <c r="F20" i="9" s="1"/>
  <c r="AD80" i="1"/>
  <c r="AC57" i="1"/>
  <c r="H103" i="8"/>
  <c r="G103" i="8"/>
  <c r="F103" i="8"/>
  <c r="E103" i="8"/>
  <c r="D103" i="8"/>
  <c r="M102" i="8"/>
  <c r="M99" i="8"/>
  <c r="N99" i="8" s="1"/>
  <c r="O99" i="8" s="1"/>
  <c r="P99" i="8" s="1"/>
  <c r="Q99" i="8" s="1"/>
  <c r="R99" i="8" s="1"/>
  <c r="S99" i="8" s="1"/>
  <c r="T99" i="8" s="1"/>
  <c r="U99" i="8" s="1"/>
  <c r="V99" i="8" s="1"/>
  <c r="W99" i="8" s="1"/>
  <c r="X99" i="8" s="1"/>
  <c r="M98" i="8"/>
  <c r="N98" i="8" s="1"/>
  <c r="O98" i="8" s="1"/>
  <c r="P98" i="8" s="1"/>
  <c r="Q98" i="8" s="1"/>
  <c r="R98" i="8" s="1"/>
  <c r="S98" i="8" s="1"/>
  <c r="T98" i="8" s="1"/>
  <c r="U98" i="8" s="1"/>
  <c r="V98" i="8" s="1"/>
  <c r="W98" i="8" s="1"/>
  <c r="X98" i="8" s="1"/>
  <c r="M97" i="8"/>
  <c r="N97" i="8" s="1"/>
  <c r="O97" i="8" s="1"/>
  <c r="P97" i="8" s="1"/>
  <c r="Q97" i="8" s="1"/>
  <c r="R97" i="8" s="1"/>
  <c r="S97" i="8" s="1"/>
  <c r="T97" i="8" s="1"/>
  <c r="U97" i="8" s="1"/>
  <c r="V97" i="8" s="1"/>
  <c r="W97" i="8" s="1"/>
  <c r="X97" i="8" s="1"/>
  <c r="M96" i="8"/>
  <c r="N96" i="8" s="1"/>
  <c r="O96" i="8" s="1"/>
  <c r="P96" i="8" s="1"/>
  <c r="Q96" i="8" s="1"/>
  <c r="R96" i="8" s="1"/>
  <c r="S96" i="8" s="1"/>
  <c r="T96" i="8" s="1"/>
  <c r="U96" i="8" s="1"/>
  <c r="V96" i="8" s="1"/>
  <c r="W96" i="8" s="1"/>
  <c r="X96" i="8" s="1"/>
  <c r="H95" i="8"/>
  <c r="G95" i="8"/>
  <c r="F95" i="8"/>
  <c r="E95" i="8"/>
  <c r="D95" i="8"/>
  <c r="I95" i="8" s="1"/>
  <c r="J95" i="8" s="1"/>
  <c r="K95" i="8" s="1"/>
  <c r="L95" i="8" s="1"/>
  <c r="M95" i="8" s="1"/>
  <c r="N95" i="8" s="1"/>
  <c r="O95" i="8" s="1"/>
  <c r="P95" i="8" s="1"/>
  <c r="Q95" i="8" s="1"/>
  <c r="R95" i="8" s="1"/>
  <c r="S95" i="8" s="1"/>
  <c r="T95" i="8" s="1"/>
  <c r="U95" i="8" s="1"/>
  <c r="V95" i="8" s="1"/>
  <c r="W95" i="8" s="1"/>
  <c r="X95" i="8" s="1"/>
  <c r="C94" i="8"/>
  <c r="M92" i="8"/>
  <c r="M91" i="8"/>
  <c r="N91" i="8" s="1"/>
  <c r="O91" i="8" s="1"/>
  <c r="P91" i="8" s="1"/>
  <c r="Q91" i="8" s="1"/>
  <c r="R91" i="8" s="1"/>
  <c r="S91" i="8" s="1"/>
  <c r="T91" i="8" s="1"/>
  <c r="U91" i="8" s="1"/>
  <c r="V91" i="8" s="1"/>
  <c r="W91" i="8" s="1"/>
  <c r="X91" i="8" s="1"/>
  <c r="M90" i="8"/>
  <c r="N90" i="8" s="1"/>
  <c r="O90" i="8" s="1"/>
  <c r="P90" i="8" s="1"/>
  <c r="Q90" i="8" s="1"/>
  <c r="R90" i="8" s="1"/>
  <c r="S90" i="8" s="1"/>
  <c r="T90" i="8" s="1"/>
  <c r="U90" i="8" s="1"/>
  <c r="V90" i="8" s="1"/>
  <c r="W90" i="8" s="1"/>
  <c r="X90" i="8" s="1"/>
  <c r="M89" i="8"/>
  <c r="N89" i="8" s="1"/>
  <c r="O89" i="8" s="1"/>
  <c r="P89" i="8" s="1"/>
  <c r="Q89" i="8" s="1"/>
  <c r="R89" i="8" s="1"/>
  <c r="S89" i="8" s="1"/>
  <c r="T89" i="8" s="1"/>
  <c r="U89" i="8" s="1"/>
  <c r="V89" i="8" s="1"/>
  <c r="W89" i="8" s="1"/>
  <c r="X89" i="8" s="1"/>
  <c r="H88" i="8"/>
  <c r="G88" i="8"/>
  <c r="F88" i="8"/>
  <c r="E88" i="8"/>
  <c r="D88" i="8"/>
  <c r="L87" i="8"/>
  <c r="K87" i="8"/>
  <c r="J87" i="8"/>
  <c r="I87" i="8"/>
  <c r="I94" i="8" l="1"/>
  <c r="I115" i="8" s="1"/>
  <c r="J114" i="8"/>
  <c r="J158" i="8" s="1"/>
  <c r="J94" i="8"/>
  <c r="J115" i="8" s="1"/>
  <c r="K114" i="8"/>
  <c r="K158" i="8" s="1"/>
  <c r="K94" i="8"/>
  <c r="K115" i="8" s="1"/>
  <c r="L114" i="8"/>
  <c r="L94" i="8"/>
  <c r="L101" i="8" s="1"/>
  <c r="L103" i="8" s="1"/>
  <c r="EQ64" i="12"/>
  <c r="EO48" i="12"/>
  <c r="EO51" i="12"/>
  <c r="ER66" i="12" s="1"/>
  <c r="EO50" i="12"/>
  <c r="ER65" i="12" s="1"/>
  <c r="CG38" i="12"/>
  <c r="CG55" i="12" s="1"/>
  <c r="CG30" i="12" s="1"/>
  <c r="CJ63" i="12"/>
  <c r="CP33" i="12"/>
  <c r="CP37" i="12" s="1"/>
  <c r="CO45" i="12"/>
  <c r="EP36" i="12"/>
  <c r="EQ36" i="12" s="1"/>
  <c r="EQ49" i="12" s="1"/>
  <c r="EO47" i="12"/>
  <c r="CC8" i="12"/>
  <c r="CB28" i="12"/>
  <c r="BZ15" i="12"/>
  <c r="CA12" i="12" s="1"/>
  <c r="CA17" i="12" s="1"/>
  <c r="CI9" i="12"/>
  <c r="AF58" i="1"/>
  <c r="F19" i="9"/>
  <c r="AC80" i="1" s="1"/>
  <c r="J168" i="8"/>
  <c r="J167" i="8" s="1"/>
  <c r="K168" i="8"/>
  <c r="K167" i="8" s="1"/>
  <c r="L158" i="8"/>
  <c r="L168" i="8"/>
  <c r="L167" i="8" s="1"/>
  <c r="N92" i="8"/>
  <c r="O92" i="8" s="1"/>
  <c r="P92" i="8" s="1"/>
  <c r="Q92" i="8" s="1"/>
  <c r="R92" i="8" s="1"/>
  <c r="S92" i="8" s="1"/>
  <c r="T92" i="8" s="1"/>
  <c r="U92" i="8" s="1"/>
  <c r="V92" i="8" s="1"/>
  <c r="W92" i="8" s="1"/>
  <c r="X92" i="8" s="1"/>
  <c r="M159" i="8"/>
  <c r="N102" i="8"/>
  <c r="O102" i="8" s="1"/>
  <c r="P102" i="8" s="1"/>
  <c r="Q102" i="8" s="1"/>
  <c r="R102" i="8" s="1"/>
  <c r="S102" i="8" s="1"/>
  <c r="T102" i="8" s="1"/>
  <c r="U102" i="8" s="1"/>
  <c r="V102" i="8" s="1"/>
  <c r="W102" i="8" s="1"/>
  <c r="X102" i="8" s="1"/>
  <c r="M117" i="8"/>
  <c r="I88" i="8"/>
  <c r="I114" i="8"/>
  <c r="C101" i="8"/>
  <c r="C103" i="8" s="1"/>
  <c r="C115" i="8"/>
  <c r="C116" i="8" s="1"/>
  <c r="C118" i="8" s="1"/>
  <c r="C121" i="8" s="1"/>
  <c r="C123" i="8" s="1"/>
  <c r="L115" i="8"/>
  <c r="L116" i="8" s="1"/>
  <c r="L118" i="8" s="1"/>
  <c r="AC81" i="1"/>
  <c r="AD81" i="1"/>
  <c r="J88" i="8"/>
  <c r="K88" i="8"/>
  <c r="L88" i="8"/>
  <c r="M87" i="8"/>
  <c r="J101" i="8"/>
  <c r="J103" i="8" s="1"/>
  <c r="C12" i="8" s="1"/>
  <c r="K101" i="8"/>
  <c r="K103" i="8" s="1"/>
  <c r="D12" i="8" s="1"/>
  <c r="P53" i="9" s="1"/>
  <c r="P52" i="9" s="1"/>
  <c r="J116" i="8" l="1"/>
  <c r="J118" i="8" s="1"/>
  <c r="I101" i="8"/>
  <c r="I103" i="8" s="1"/>
  <c r="K116" i="8"/>
  <c r="K118" i="8" s="1"/>
  <c r="M114" i="8"/>
  <c r="M158" i="8" s="1"/>
  <c r="M94" i="8"/>
  <c r="M115" i="8" s="1"/>
  <c r="ER64" i="12"/>
  <c r="EQ48" i="12"/>
  <c r="EQ51" i="12"/>
  <c r="ET66" i="12" s="1"/>
  <c r="EQ50" i="12"/>
  <c r="ET65" i="12" s="1"/>
  <c r="ER36" i="12"/>
  <c r="ER49" i="12" s="1"/>
  <c r="EQ47" i="12"/>
  <c r="CQ33" i="12"/>
  <c r="CQ37" i="12" s="1"/>
  <c r="CP45" i="12"/>
  <c r="CP35" i="12"/>
  <c r="CD8" i="12"/>
  <c r="CC28" i="12"/>
  <c r="CA15" i="12"/>
  <c r="CB12" i="12" s="1"/>
  <c r="CB17" i="12" s="1"/>
  <c r="CJ9" i="12"/>
  <c r="CI18" i="12"/>
  <c r="CI43" i="12" s="1"/>
  <c r="CI42" i="12" s="1"/>
  <c r="L138" i="8"/>
  <c r="K138" i="8"/>
  <c r="I168" i="8"/>
  <c r="I167" i="8" s="1"/>
  <c r="I158" i="8"/>
  <c r="I116" i="8"/>
  <c r="I118" i="8" s="1"/>
  <c r="D11" i="8"/>
  <c r="E12" i="8"/>
  <c r="Q53" i="9" s="1"/>
  <c r="Q52" i="9" s="1"/>
  <c r="O53" i="9"/>
  <c r="O52" i="9" s="1"/>
  <c r="C11" i="8"/>
  <c r="M101" i="8"/>
  <c r="M103" i="8" s="1"/>
  <c r="N87" i="8"/>
  <c r="N94" i="8" s="1"/>
  <c r="M88" i="8"/>
  <c r="M116" i="8" l="1"/>
  <c r="M118" i="8" s="1"/>
  <c r="M168" i="8"/>
  <c r="M167" i="8" s="1"/>
  <c r="ET64" i="12"/>
  <c r="CQ35" i="12"/>
  <c r="ER48" i="12"/>
  <c r="ER51" i="12"/>
  <c r="EU66" i="12" s="1"/>
  <c r="ER50" i="12"/>
  <c r="EU65" i="12" s="1"/>
  <c r="CI38" i="12"/>
  <c r="CI55" i="12" s="1"/>
  <c r="CI30" i="12" s="1"/>
  <c r="CL63" i="12"/>
  <c r="CR33" i="12"/>
  <c r="ES36" i="12"/>
  <c r="ET36" i="12" s="1"/>
  <c r="ET49" i="12" s="1"/>
  <c r="ER47" i="12"/>
  <c r="CE8" i="12"/>
  <c r="CD28" i="12"/>
  <c r="CB15" i="12"/>
  <c r="CC12" i="12" s="1"/>
  <c r="CC17" i="12" s="1"/>
  <c r="CK9" i="12"/>
  <c r="CJ18" i="12"/>
  <c r="CJ43" i="12" s="1"/>
  <c r="CJ42" i="12" s="1"/>
  <c r="I138" i="8"/>
  <c r="M138" i="8"/>
  <c r="J138" i="8"/>
  <c r="E11" i="8"/>
  <c r="F12" i="8"/>
  <c r="N101" i="8"/>
  <c r="N103" i="8" s="1"/>
  <c r="O87" i="8"/>
  <c r="O94" i="8" s="1"/>
  <c r="EU64" i="12" l="1"/>
  <c r="ET48" i="12"/>
  <c r="ET51" i="12"/>
  <c r="EW66" i="12" s="1"/>
  <c r="ET50" i="12"/>
  <c r="EW65" i="12" s="1"/>
  <c r="CJ38" i="12"/>
  <c r="CJ55" i="12" s="1"/>
  <c r="CJ30" i="12" s="1"/>
  <c r="CM63" i="12"/>
  <c r="CS33" i="12"/>
  <c r="CR45" i="12"/>
  <c r="CR35" i="12"/>
  <c r="EU36" i="12"/>
  <c r="EU49" i="12" s="1"/>
  <c r="ET47" i="12"/>
  <c r="CR37" i="12"/>
  <c r="CF8" i="12"/>
  <c r="CE28" i="12"/>
  <c r="CC15" i="12"/>
  <c r="CD12" i="12" s="1"/>
  <c r="CD17" i="12" s="1"/>
  <c r="CL9" i="12"/>
  <c r="F11" i="8"/>
  <c r="G12" i="8"/>
  <c r="S53" i="9" s="1"/>
  <c r="S52" i="9" s="1"/>
  <c r="R53" i="9"/>
  <c r="R52" i="9" s="1"/>
  <c r="P87" i="8"/>
  <c r="P94" i="8" s="1"/>
  <c r="O101" i="8"/>
  <c r="O103" i="8" s="1"/>
  <c r="EW64" i="12" l="1"/>
  <c r="EU48" i="12"/>
  <c r="EU50" i="12"/>
  <c r="EX65" i="12" s="1"/>
  <c r="EU51" i="12"/>
  <c r="EX66" i="12" s="1"/>
  <c r="CS37" i="12"/>
  <c r="CS35" i="12"/>
  <c r="EV36" i="12"/>
  <c r="EW36" i="12" s="1"/>
  <c r="EW49" i="12" s="1"/>
  <c r="EU47" i="12"/>
  <c r="CT33" i="12"/>
  <c r="CS45" i="12"/>
  <c r="CG8" i="12"/>
  <c r="CF28" i="12"/>
  <c r="CD15" i="12"/>
  <c r="CE12" i="12" s="1"/>
  <c r="CE17" i="12" s="1"/>
  <c r="CM9" i="12"/>
  <c r="CL18" i="12"/>
  <c r="CL43" i="12" s="1"/>
  <c r="CL42" i="12" s="1"/>
  <c r="G11" i="8"/>
  <c r="H12" i="8"/>
  <c r="Q87" i="8"/>
  <c r="Q94" i="8" s="1"/>
  <c r="P101" i="8"/>
  <c r="P103" i="8" s="1"/>
  <c r="EW48" i="12" l="1"/>
  <c r="EW51" i="12"/>
  <c r="EW50" i="12"/>
  <c r="EX64" i="12"/>
  <c r="CL38" i="12"/>
  <c r="CL55" i="12" s="1"/>
  <c r="CL30" i="12" s="1"/>
  <c r="CO63" i="12"/>
  <c r="CT35" i="12"/>
  <c r="CU33" i="12"/>
  <c r="EX36" i="12"/>
  <c r="EX49" i="12" s="1"/>
  <c r="EW47" i="12"/>
  <c r="CT37" i="12"/>
  <c r="CH8" i="12"/>
  <c r="CG28" i="12"/>
  <c r="CE15" i="12"/>
  <c r="CF12" i="12" s="1"/>
  <c r="CF17" i="12" s="1"/>
  <c r="CN9" i="12"/>
  <c r="CM18" i="12"/>
  <c r="CM43" i="12" s="1"/>
  <c r="CM42" i="12" s="1"/>
  <c r="H11" i="8"/>
  <c r="I12" i="8"/>
  <c r="U53" i="9" s="1"/>
  <c r="U52" i="9" s="1"/>
  <c r="T53" i="9"/>
  <c r="T52" i="9" s="1"/>
  <c r="Q101" i="8"/>
  <c r="Q103" i="8" s="1"/>
  <c r="R87" i="8"/>
  <c r="R94" i="8" s="1"/>
  <c r="EZ65" i="12" l="1"/>
  <c r="EZ66" i="12"/>
  <c r="CU37" i="12"/>
  <c r="EX48" i="12"/>
  <c r="EX51" i="12"/>
  <c r="FA66" i="12" s="1"/>
  <c r="EX50" i="12"/>
  <c r="FA65" i="12" s="1"/>
  <c r="CM38" i="12"/>
  <c r="CM55" i="12" s="1"/>
  <c r="CM30" i="12" s="1"/>
  <c r="CP63" i="12"/>
  <c r="EY36" i="12"/>
  <c r="EZ36" i="12" s="1"/>
  <c r="EZ49" i="12" s="1"/>
  <c r="EX47" i="12"/>
  <c r="CV33" i="12"/>
  <c r="CU45" i="12"/>
  <c r="CU35" i="12"/>
  <c r="CV35" i="12" s="1"/>
  <c r="CI8" i="12"/>
  <c r="CH28" i="12"/>
  <c r="CF15" i="12"/>
  <c r="CG12" i="12" s="1"/>
  <c r="CG17" i="12" s="1"/>
  <c r="CO9" i="12"/>
  <c r="I11" i="8"/>
  <c r="J12" i="8"/>
  <c r="S87" i="8"/>
  <c r="S94" i="8" s="1"/>
  <c r="R101" i="8"/>
  <c r="R103" i="8" s="1"/>
  <c r="K40" i="1"/>
  <c r="K39" i="1"/>
  <c r="K38" i="1"/>
  <c r="J47" i="1"/>
  <c r="I47" i="1"/>
  <c r="H47" i="1"/>
  <c r="G47" i="1"/>
  <c r="Q37" i="1"/>
  <c r="P37" i="1"/>
  <c r="O37" i="1"/>
  <c r="N37" i="1"/>
  <c r="L37" i="1"/>
  <c r="G2" i="1"/>
  <c r="D21" i="1"/>
  <c r="L39" i="1" l="1"/>
  <c r="R39" i="1" s="1"/>
  <c r="L38" i="1"/>
  <c r="L40" i="1"/>
  <c r="M46" i="1"/>
  <c r="FA64" i="12"/>
  <c r="EZ64" i="12"/>
  <c r="EZ48" i="12"/>
  <c r="EZ51" i="12"/>
  <c r="FC66" i="12" s="1"/>
  <c r="EZ50" i="12"/>
  <c r="FC65" i="12" s="1"/>
  <c r="CW33" i="12"/>
  <c r="CW35" i="12" s="1"/>
  <c r="CV45" i="12"/>
  <c r="CV37" i="12"/>
  <c r="FA36" i="12"/>
  <c r="FA49" i="12" s="1"/>
  <c r="EZ47" i="12"/>
  <c r="CJ8" i="12"/>
  <c r="CI28" i="12"/>
  <c r="CG15" i="12"/>
  <c r="CH12" i="12" s="1"/>
  <c r="CH17" i="12" s="1"/>
  <c r="CP9" i="12"/>
  <c r="CO18" i="12"/>
  <c r="CO43" i="12" s="1"/>
  <c r="J11" i="8"/>
  <c r="K12" i="8"/>
  <c r="W53" i="9" s="1"/>
  <c r="W52" i="9" s="1"/>
  <c r="V53" i="9"/>
  <c r="V52" i="9" s="1"/>
  <c r="E20" i="1"/>
  <c r="S101" i="8"/>
  <c r="S103" i="8" s="1"/>
  <c r="T87" i="8"/>
  <c r="T94" i="8" s="1"/>
  <c r="E22" i="1"/>
  <c r="E21" i="1"/>
  <c r="D27" i="1"/>
  <c r="M47" i="1" l="1"/>
  <c r="M49" i="1"/>
  <c r="FC64" i="12"/>
  <c r="CO42" i="12"/>
  <c r="CO38" i="12" s="1"/>
  <c r="CO55" i="12" s="1"/>
  <c r="CO30" i="12" s="1"/>
  <c r="FA48" i="12"/>
  <c r="FA51" i="12"/>
  <c r="FD66" i="12" s="1"/>
  <c r="FA50" i="12"/>
  <c r="FD65" i="12" s="1"/>
  <c r="CW37" i="12"/>
  <c r="FB36" i="12"/>
  <c r="FC36" i="12" s="1"/>
  <c r="FC49" i="12" s="1"/>
  <c r="FA47" i="12"/>
  <c r="CX33" i="12"/>
  <c r="CX35" i="12" s="1"/>
  <c r="CK8" i="12"/>
  <c r="CJ28" i="12"/>
  <c r="CH15" i="12"/>
  <c r="CI12" i="12" s="1"/>
  <c r="CI17" i="12" s="1"/>
  <c r="CQ9" i="12"/>
  <c r="CP18" i="12"/>
  <c r="CP43" i="12" s="1"/>
  <c r="CP42" i="12" s="1"/>
  <c r="K11" i="8"/>
  <c r="L12" i="8"/>
  <c r="R40" i="1"/>
  <c r="R38" i="1"/>
  <c r="T101" i="8"/>
  <c r="T103" i="8" s="1"/>
  <c r="U87" i="8"/>
  <c r="U94" i="8" s="1"/>
  <c r="B78" i="8"/>
  <c r="B77" i="8"/>
  <c r="B24" i="3"/>
  <c r="B23" i="3"/>
  <c r="B22" i="3"/>
  <c r="B21" i="3"/>
  <c r="B20" i="3"/>
  <c r="B19" i="3"/>
  <c r="B18" i="3"/>
  <c r="CR63" i="12" l="1"/>
  <c r="FD64" i="12"/>
  <c r="FC48" i="12"/>
  <c r="FC50" i="12"/>
  <c r="FF65" i="12" s="1"/>
  <c r="FC51" i="12"/>
  <c r="FF66" i="12" s="1"/>
  <c r="CP38" i="12"/>
  <c r="CP55" i="12" s="1"/>
  <c r="CP30" i="12" s="1"/>
  <c r="CS63" i="12"/>
  <c r="CX37" i="12"/>
  <c r="CY33" i="12"/>
  <c r="CX45" i="12"/>
  <c r="FD36" i="12"/>
  <c r="FD49" i="12" s="1"/>
  <c r="FC47" i="12"/>
  <c r="CL8" i="12"/>
  <c r="CK28" i="12"/>
  <c r="CI15" i="12"/>
  <c r="CJ12" i="12" s="1"/>
  <c r="CJ17" i="12" s="1"/>
  <c r="CR9" i="12"/>
  <c r="X53" i="9"/>
  <c r="X52" i="9" s="1"/>
  <c r="L11" i="8"/>
  <c r="M12" i="8"/>
  <c r="Y53" i="9" s="1"/>
  <c r="Y52" i="9" s="1"/>
  <c r="V87" i="8"/>
  <c r="V94" i="8" s="1"/>
  <c r="U101" i="8"/>
  <c r="U103" i="8" s="1"/>
  <c r="E63" i="8"/>
  <c r="F63" i="8" s="1"/>
  <c r="G63" i="8" s="1"/>
  <c r="H63" i="8" s="1"/>
  <c r="I63" i="8" s="1"/>
  <c r="J63" i="8" s="1"/>
  <c r="K63" i="8" s="1"/>
  <c r="L63" i="8" s="1"/>
  <c r="M63" i="8" s="1"/>
  <c r="N63" i="8" s="1"/>
  <c r="O63" i="8" s="1"/>
  <c r="P63" i="8" s="1"/>
  <c r="Q63" i="8" s="1"/>
  <c r="R63" i="8" s="1"/>
  <c r="S63" i="8" s="1"/>
  <c r="T63" i="8" s="1"/>
  <c r="U63" i="8" s="1"/>
  <c r="V63" i="8" s="1"/>
  <c r="W63" i="8" s="1"/>
  <c r="X63" i="8" s="1"/>
  <c r="Y63" i="8" s="1"/>
  <c r="Z63" i="8" s="1"/>
  <c r="AA63" i="8" s="1"/>
  <c r="AB63" i="8" s="1"/>
  <c r="AC63" i="8" s="1"/>
  <c r="AD63" i="8" s="1"/>
  <c r="AE63" i="8" s="1"/>
  <c r="AF63" i="8" s="1"/>
  <c r="AG63" i="8" s="1"/>
  <c r="AH63" i="8" s="1"/>
  <c r="AI63" i="8" s="1"/>
  <c r="AJ63" i="8" s="1"/>
  <c r="AK63" i="8" s="1"/>
  <c r="AL63" i="8" s="1"/>
  <c r="AM63" i="8" s="1"/>
  <c r="AN63" i="8" s="1"/>
  <c r="AO63" i="8" s="1"/>
  <c r="AP63" i="8" s="1"/>
  <c r="AQ63" i="8" s="1"/>
  <c r="AR63" i="8" s="1"/>
  <c r="AS63" i="8" s="1"/>
  <c r="AT63" i="8" s="1"/>
  <c r="AU63" i="8" s="1"/>
  <c r="AV63" i="8" s="1"/>
  <c r="AW63" i="8" s="1"/>
  <c r="AX63" i="8" s="1"/>
  <c r="AY63" i="8" s="1"/>
  <c r="AY67" i="8" s="1"/>
  <c r="I21" i="7"/>
  <c r="V24" i="5"/>
  <c r="C70" i="1"/>
  <c r="E12" i="3" s="1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FF64" i="12" l="1"/>
  <c r="FD48" i="12"/>
  <c r="FD51" i="12"/>
  <c r="FG66" i="12" s="1"/>
  <c r="FD50" i="12"/>
  <c r="FG65" i="12" s="1"/>
  <c r="CZ33" i="12"/>
  <c r="CY45" i="12"/>
  <c r="CY37" i="12"/>
  <c r="CZ37" i="12" s="1"/>
  <c r="FE36" i="12"/>
  <c r="FF36" i="12" s="1"/>
  <c r="FF49" i="12" s="1"/>
  <c r="FD47" i="12"/>
  <c r="CY35" i="12"/>
  <c r="CM8" i="12"/>
  <c r="CL28" i="12"/>
  <c r="CJ15" i="12"/>
  <c r="CK12" i="12" s="1"/>
  <c r="CK17" i="12" s="1"/>
  <c r="CS9" i="12"/>
  <c r="CR18" i="12"/>
  <c r="CR43" i="12" s="1"/>
  <c r="CR42" i="12" s="1"/>
  <c r="M11" i="8"/>
  <c r="N12" i="8"/>
  <c r="Z53" i="9" s="1"/>
  <c r="Z52" i="9" s="1"/>
  <c r="O13" i="9"/>
  <c r="W87" i="8"/>
  <c r="W94" i="8" s="1"/>
  <c r="V101" i="8"/>
  <c r="V103" i="8" s="1"/>
  <c r="L67" i="8"/>
  <c r="M67" i="8"/>
  <c r="T67" i="8"/>
  <c r="AB67" i="8"/>
  <c r="D67" i="8"/>
  <c r="E67" i="8"/>
  <c r="AJ67" i="8"/>
  <c r="AS67" i="8"/>
  <c r="F67" i="8"/>
  <c r="N67" i="8"/>
  <c r="V67" i="8"/>
  <c r="AD67" i="8"/>
  <c r="AL67" i="8"/>
  <c r="AT67" i="8"/>
  <c r="AR67" i="8"/>
  <c r="AK67" i="8"/>
  <c r="G67" i="8"/>
  <c r="O67" i="8"/>
  <c r="W67" i="8"/>
  <c r="AE67" i="8"/>
  <c r="AM67" i="8"/>
  <c r="AU67" i="8"/>
  <c r="AC67" i="8"/>
  <c r="H67" i="8"/>
  <c r="P67" i="8"/>
  <c r="X67" i="8"/>
  <c r="AF67" i="8"/>
  <c r="AN67" i="8"/>
  <c r="AV67" i="8"/>
  <c r="U67" i="8"/>
  <c r="I67" i="8"/>
  <c r="Q67" i="8"/>
  <c r="Y67" i="8"/>
  <c r="AG67" i="8"/>
  <c r="AO67" i="8"/>
  <c r="AW67" i="8"/>
  <c r="J67" i="8"/>
  <c r="R67" i="8"/>
  <c r="Z67" i="8"/>
  <c r="AH67" i="8"/>
  <c r="AP67" i="8"/>
  <c r="AX67" i="8"/>
  <c r="K67" i="8"/>
  <c r="S67" i="8"/>
  <c r="AA67" i="8"/>
  <c r="AI67" i="8"/>
  <c r="AQ67" i="8"/>
  <c r="FG64" i="12" l="1"/>
  <c r="FF48" i="12"/>
  <c r="FF51" i="12"/>
  <c r="FI66" i="12" s="1"/>
  <c r="FF50" i="12"/>
  <c r="FI65" i="12" s="1"/>
  <c r="CZ35" i="12"/>
  <c r="CR38" i="12"/>
  <c r="CR55" i="12" s="1"/>
  <c r="CR30" i="12" s="1"/>
  <c r="CU63" i="12"/>
  <c r="FG36" i="12"/>
  <c r="FG49" i="12" s="1"/>
  <c r="FF47" i="12"/>
  <c r="DA33" i="12"/>
  <c r="CN8" i="12"/>
  <c r="CM28" i="12"/>
  <c r="CK15" i="12"/>
  <c r="CL12" i="12" s="1"/>
  <c r="CL17" i="12" s="1"/>
  <c r="CT9" i="12"/>
  <c r="CS18" i="12"/>
  <c r="CS43" i="12" s="1"/>
  <c r="CS42" i="12" s="1"/>
  <c r="N11" i="8"/>
  <c r="O12" i="8"/>
  <c r="AA53" i="9" s="1"/>
  <c r="AA52" i="9" s="1"/>
  <c r="P13" i="9"/>
  <c r="X87" i="8"/>
  <c r="X94" i="8" s="1"/>
  <c r="W101" i="8"/>
  <c r="W103" i="8" s="1"/>
  <c r="FI64" i="12" l="1"/>
  <c r="FG48" i="12"/>
  <c r="FG51" i="12"/>
  <c r="FJ66" i="12" s="1"/>
  <c r="FG50" i="12"/>
  <c r="FJ65" i="12" s="1"/>
  <c r="CS38" i="12"/>
  <c r="CS55" i="12" s="1"/>
  <c r="CS30" i="12" s="1"/>
  <c r="CV63" i="12"/>
  <c r="DB33" i="12"/>
  <c r="DA45" i="12"/>
  <c r="DA37" i="12"/>
  <c r="FH36" i="12"/>
  <c r="FI36" i="12" s="1"/>
  <c r="FI49" i="12" s="1"/>
  <c r="FG47" i="12"/>
  <c r="DA35" i="12"/>
  <c r="CO8" i="12"/>
  <c r="CN28" i="12"/>
  <c r="CL15" i="12"/>
  <c r="CM12" i="12" s="1"/>
  <c r="CM17" i="12" s="1"/>
  <c r="CU9" i="12"/>
  <c r="O11" i="8"/>
  <c r="P12" i="8"/>
  <c r="AB53" i="9" s="1"/>
  <c r="AB52" i="9" s="1"/>
  <c r="Q13" i="9"/>
  <c r="X101" i="8"/>
  <c r="X103" i="8" s="1"/>
  <c r="Q12" i="8" s="1"/>
  <c r="DB37" i="12" l="1"/>
  <c r="FJ64" i="12"/>
  <c r="DB35" i="12"/>
  <c r="FI48" i="12"/>
  <c r="FI51" i="12"/>
  <c r="FI50" i="12"/>
  <c r="FJ36" i="12"/>
  <c r="FJ49" i="12" s="1"/>
  <c r="FI47" i="12"/>
  <c r="DC33" i="12"/>
  <c r="DB45" i="12"/>
  <c r="CO28" i="12"/>
  <c r="CP8" i="12"/>
  <c r="CM15" i="12"/>
  <c r="CN12" i="12" s="1"/>
  <c r="CN17" i="12" s="1"/>
  <c r="CV9" i="12"/>
  <c r="CU18" i="12"/>
  <c r="CU43" i="12" s="1"/>
  <c r="CU42" i="12" s="1"/>
  <c r="AC53" i="9"/>
  <c r="AC52" i="9" s="1"/>
  <c r="Q11" i="8"/>
  <c r="S12" i="8"/>
  <c r="R13" i="9"/>
  <c r="DC35" i="12" l="1"/>
  <c r="FL65" i="12"/>
  <c r="FL66" i="12"/>
  <c r="FJ48" i="12"/>
  <c r="FJ51" i="12"/>
  <c r="FM66" i="12" s="1"/>
  <c r="FJ50" i="12"/>
  <c r="FM65" i="12" s="1"/>
  <c r="CU38" i="12"/>
  <c r="CU55" i="12" s="1"/>
  <c r="CU30" i="12" s="1"/>
  <c r="CX63" i="12"/>
  <c r="DC37" i="12"/>
  <c r="DD33" i="12"/>
  <c r="FK36" i="12"/>
  <c r="FL36" i="12" s="1"/>
  <c r="FL49" i="12" s="1"/>
  <c r="FJ47" i="12"/>
  <c r="CP28" i="12"/>
  <c r="CQ8" i="12"/>
  <c r="CN15" i="12"/>
  <c r="CO12" i="12" s="1"/>
  <c r="CO17" i="12" s="1"/>
  <c r="CW9" i="12"/>
  <c r="CV18" i="12"/>
  <c r="CV43" i="12" s="1"/>
  <c r="CV42" i="12" s="1"/>
  <c r="S13" i="9"/>
  <c r="P11" i="8"/>
  <c r="S11" i="8" s="1"/>
  <c r="FM64" i="12" l="1"/>
  <c r="FL64" i="12"/>
  <c r="FL48" i="12"/>
  <c r="FL51" i="12"/>
  <c r="FO66" i="12" s="1"/>
  <c r="FL50" i="12"/>
  <c r="FO65" i="12" s="1"/>
  <c r="CV38" i="12"/>
  <c r="CV55" i="12" s="1"/>
  <c r="CV30" i="12" s="1"/>
  <c r="CY63" i="12"/>
  <c r="DE33" i="12"/>
  <c r="DD45" i="12"/>
  <c r="FM36" i="12"/>
  <c r="FM49" i="12" s="1"/>
  <c r="FL47" i="12"/>
  <c r="DD37" i="12"/>
  <c r="DD35" i="12"/>
  <c r="CR8" i="12"/>
  <c r="CQ28" i="12"/>
  <c r="CO15" i="12"/>
  <c r="CP12" i="12" s="1"/>
  <c r="CP17" i="12" s="1"/>
  <c r="CX9" i="12"/>
  <c r="T13" i="9"/>
  <c r="FO64" i="12" l="1"/>
  <c r="FM48" i="12"/>
  <c r="FM51" i="12"/>
  <c r="FP66" i="12" s="1"/>
  <c r="FM50" i="12"/>
  <c r="FP65" i="12" s="1"/>
  <c r="DE35" i="12"/>
  <c r="DE37" i="12"/>
  <c r="FN36" i="12"/>
  <c r="FO36" i="12" s="1"/>
  <c r="FO49" i="12" s="1"/>
  <c r="FM47" i="12"/>
  <c r="DF33" i="12"/>
  <c r="DE45" i="12"/>
  <c r="CS8" i="12"/>
  <c r="CR28" i="12"/>
  <c r="CP15" i="12"/>
  <c r="CQ12" i="12" s="1"/>
  <c r="CQ17" i="12" s="1"/>
  <c r="CY9" i="12"/>
  <c r="CX18" i="12"/>
  <c r="CX43" i="12" s="1"/>
  <c r="CX42" i="12" s="1"/>
  <c r="U13" i="9"/>
  <c r="FP64" i="12" l="1"/>
  <c r="FO48" i="12"/>
  <c r="FO51" i="12"/>
  <c r="FR66" i="12" s="1"/>
  <c r="FO50" i="12"/>
  <c r="FR65" i="12" s="1"/>
  <c r="CX38" i="12"/>
  <c r="CX55" i="12" s="1"/>
  <c r="CX30" i="12" s="1"/>
  <c r="DA63" i="12"/>
  <c r="FP36" i="12"/>
  <c r="FP49" i="12" s="1"/>
  <c r="FO47" i="12"/>
  <c r="DG33" i="12"/>
  <c r="DF35" i="12"/>
  <c r="DF37" i="12"/>
  <c r="CT8" i="12"/>
  <c r="CS28" i="12"/>
  <c r="CQ15" i="12"/>
  <c r="CR12" i="12" s="1"/>
  <c r="CR17" i="12" s="1"/>
  <c r="CZ9" i="12"/>
  <c r="CY18" i="12"/>
  <c r="CY43" i="12" s="1"/>
  <c r="CY42" i="12" s="1"/>
  <c r="V13" i="9"/>
  <c r="C93" i="1"/>
  <c r="E17" i="3" s="1"/>
  <c r="F17" i="3" s="1"/>
  <c r="G17" i="3" s="1"/>
  <c r="H17" i="3" s="1"/>
  <c r="I17" i="3" s="1"/>
  <c r="J17" i="3" s="1"/>
  <c r="K17" i="3" s="1"/>
  <c r="L17" i="3" s="1"/>
  <c r="M17" i="3" s="1"/>
  <c r="N17" i="3" s="1"/>
  <c r="O17" i="3" s="1"/>
  <c r="P17" i="3" s="1"/>
  <c r="Q17" i="3" s="1"/>
  <c r="R17" i="3" s="1"/>
  <c r="C8" i="1"/>
  <c r="D8" i="1" s="1"/>
  <c r="Z15" i="3" s="1"/>
  <c r="Z16" i="3" s="1"/>
  <c r="H6" i="3"/>
  <c r="S7" i="9" s="1"/>
  <c r="G6" i="3"/>
  <c r="R7" i="9" s="1"/>
  <c r="F6" i="3"/>
  <c r="Q7" i="9" s="1"/>
  <c r="E6" i="3"/>
  <c r="P7" i="9" s="1"/>
  <c r="D6" i="3"/>
  <c r="O7" i="9" s="1"/>
  <c r="G112" i="1"/>
  <c r="F112" i="1"/>
  <c r="E112" i="1"/>
  <c r="D112" i="1"/>
  <c r="C112" i="1"/>
  <c r="G104" i="1"/>
  <c r="F104" i="1"/>
  <c r="E104" i="1"/>
  <c r="D104" i="1"/>
  <c r="G102" i="1"/>
  <c r="F102" i="1"/>
  <c r="E102" i="1"/>
  <c r="D102" i="1"/>
  <c r="F39" i="7"/>
  <c r="E39" i="7"/>
  <c r="D39" i="7"/>
  <c r="C39" i="7"/>
  <c r="B39" i="7"/>
  <c r="G101" i="1"/>
  <c r="F101" i="1"/>
  <c r="E101" i="1"/>
  <c r="D101" i="1"/>
  <c r="G100" i="1"/>
  <c r="F100" i="1"/>
  <c r="E100" i="1"/>
  <c r="D100" i="1"/>
  <c r="S19" i="9"/>
  <c r="R19" i="9"/>
  <c r="Q19" i="9"/>
  <c r="P19" i="9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M19" i="7"/>
  <c r="L19" i="7"/>
  <c r="K19" i="7"/>
  <c r="J19" i="7"/>
  <c r="I19" i="7"/>
  <c r="M18" i="7"/>
  <c r="L18" i="7"/>
  <c r="K18" i="7"/>
  <c r="J18" i="7"/>
  <c r="I18" i="7"/>
  <c r="L17" i="7"/>
  <c r="K17" i="7"/>
  <c r="J17" i="7"/>
  <c r="I17" i="7"/>
  <c r="I88" i="1"/>
  <c r="H88" i="1"/>
  <c r="G88" i="1"/>
  <c r="Z84" i="1"/>
  <c r="Z83" i="1"/>
  <c r="Z82" i="1"/>
  <c r="Z81" i="1"/>
  <c r="Z80" i="1"/>
  <c r="Z79" i="1"/>
  <c r="Z78" i="1"/>
  <c r="F85" i="1"/>
  <c r="E85" i="1"/>
  <c r="D85" i="1"/>
  <c r="C85" i="1"/>
  <c r="F84" i="1"/>
  <c r="E84" i="1"/>
  <c r="D84" i="1"/>
  <c r="C84" i="1"/>
  <c r="F83" i="1"/>
  <c r="G83" i="1" s="1"/>
  <c r="E83" i="1"/>
  <c r="D83" i="1"/>
  <c r="C83" i="1"/>
  <c r="F82" i="1"/>
  <c r="I82" i="1" s="1"/>
  <c r="E82" i="1"/>
  <c r="D82" i="1"/>
  <c r="C82" i="1"/>
  <c r="F81" i="1"/>
  <c r="E81" i="1"/>
  <c r="G81" i="1" s="1"/>
  <c r="D81" i="1"/>
  <c r="C81" i="1"/>
  <c r="F80" i="1"/>
  <c r="E80" i="1"/>
  <c r="D80" i="1"/>
  <c r="C80" i="1"/>
  <c r="F79" i="1"/>
  <c r="E79" i="1"/>
  <c r="D79" i="1"/>
  <c r="C79" i="1"/>
  <c r="F78" i="1"/>
  <c r="E78" i="1"/>
  <c r="G78" i="1" s="1"/>
  <c r="D78" i="1"/>
  <c r="C78" i="1"/>
  <c r="I62" i="1"/>
  <c r="H62" i="1"/>
  <c r="G62" i="1"/>
  <c r="I61" i="1"/>
  <c r="H61" i="1"/>
  <c r="G61" i="1"/>
  <c r="I60" i="1"/>
  <c r="H60" i="1"/>
  <c r="G60" i="1"/>
  <c r="I59" i="1"/>
  <c r="H59" i="1"/>
  <c r="G59" i="1"/>
  <c r="I56" i="1"/>
  <c r="H56" i="1"/>
  <c r="G56" i="1"/>
  <c r="I66" i="1"/>
  <c r="H66" i="1"/>
  <c r="G66" i="1"/>
  <c r="I57" i="1"/>
  <c r="G57" i="1"/>
  <c r="Z62" i="1"/>
  <c r="Z61" i="1"/>
  <c r="Z60" i="1"/>
  <c r="Z59" i="1"/>
  <c r="Z58" i="1"/>
  <c r="Z57" i="1"/>
  <c r="Z56" i="1"/>
  <c r="H86" i="1"/>
  <c r="F64" i="1"/>
  <c r="E64" i="1"/>
  <c r="D64" i="1"/>
  <c r="FR64" i="12" l="1"/>
  <c r="FP48" i="12"/>
  <c r="FP51" i="12"/>
  <c r="FS66" i="12" s="1"/>
  <c r="FP50" i="12"/>
  <c r="FS65" i="12" s="1"/>
  <c r="CY38" i="12"/>
  <c r="CY55" i="12" s="1"/>
  <c r="CY30" i="12" s="1"/>
  <c r="DB63" i="12"/>
  <c r="DG37" i="12"/>
  <c r="DG35" i="12"/>
  <c r="DH33" i="12"/>
  <c r="DG45" i="12"/>
  <c r="FQ36" i="12"/>
  <c r="FR36" i="12" s="1"/>
  <c r="FR49" i="12" s="1"/>
  <c r="FP47" i="12"/>
  <c r="CU8" i="12"/>
  <c r="CT28" i="12"/>
  <c r="CR15" i="12"/>
  <c r="CS12" i="12" s="1"/>
  <c r="CS17" i="12" s="1"/>
  <c r="DA9" i="12"/>
  <c r="O20" i="9"/>
  <c r="O25" i="9"/>
  <c r="O23" i="9"/>
  <c r="O19" i="9"/>
  <c r="O21" i="9"/>
  <c r="O22" i="9"/>
  <c r="W13" i="9"/>
  <c r="I78" i="1"/>
  <c r="J78" i="1" s="1"/>
  <c r="G80" i="1"/>
  <c r="G79" i="1"/>
  <c r="I6" i="3"/>
  <c r="C92" i="1"/>
  <c r="E15" i="3" s="1"/>
  <c r="F86" i="1"/>
  <c r="D86" i="1"/>
  <c r="J88" i="1"/>
  <c r="H57" i="1"/>
  <c r="J66" i="1"/>
  <c r="I84" i="1"/>
  <c r="G84" i="1"/>
  <c r="J59" i="1"/>
  <c r="I79" i="1"/>
  <c r="G82" i="1"/>
  <c r="G58" i="1"/>
  <c r="H58" i="1"/>
  <c r="C86" i="1"/>
  <c r="I83" i="1"/>
  <c r="J83" i="1" s="1"/>
  <c r="E86" i="1"/>
  <c r="I58" i="1"/>
  <c r="J60" i="1"/>
  <c r="J62" i="1"/>
  <c r="J61" i="1"/>
  <c r="J56" i="1"/>
  <c r="DH37" i="12" l="1"/>
  <c r="FS64" i="12"/>
  <c r="FR48" i="12"/>
  <c r="FR51" i="12"/>
  <c r="FU66" i="12" s="1"/>
  <c r="FR50" i="12"/>
  <c r="FU65" i="12" s="1"/>
  <c r="FS36" i="12"/>
  <c r="FS49" i="12" s="1"/>
  <c r="FR47" i="12"/>
  <c r="DI33" i="12"/>
  <c r="DH45" i="12"/>
  <c r="DH35" i="12"/>
  <c r="CV8" i="12"/>
  <c r="CU28" i="12"/>
  <c r="CS15" i="12"/>
  <c r="CT12" i="12" s="1"/>
  <c r="CT17" i="12" s="1"/>
  <c r="DB9" i="12"/>
  <c r="DA18" i="12"/>
  <c r="DA43" i="12" s="1"/>
  <c r="I142" i="8"/>
  <c r="I141" i="8" s="1"/>
  <c r="I172" i="8"/>
  <c r="J142" i="8"/>
  <c r="J141" i="8" s="1"/>
  <c r="J170" i="8"/>
  <c r="J172" i="8" s="1"/>
  <c r="T19" i="9"/>
  <c r="P23" i="9"/>
  <c r="X13" i="9"/>
  <c r="P25" i="9"/>
  <c r="P20" i="9"/>
  <c r="O18" i="9"/>
  <c r="P21" i="9"/>
  <c r="P22" i="9"/>
  <c r="J6" i="3"/>
  <c r="T7" i="9"/>
  <c r="J57" i="1"/>
  <c r="I80" i="1"/>
  <c r="J80" i="1" s="1"/>
  <c r="J79" i="1"/>
  <c r="U19" i="9"/>
  <c r="P16" i="9"/>
  <c r="H64" i="1"/>
  <c r="A10" i="3" s="1"/>
  <c r="G86" i="1"/>
  <c r="J84" i="1"/>
  <c r="J82" i="1"/>
  <c r="J58" i="1"/>
  <c r="G64" i="1"/>
  <c r="A9" i="3" s="1"/>
  <c r="I81" i="1"/>
  <c r="J81" i="1" s="1"/>
  <c r="I64" i="1"/>
  <c r="A11" i="3" s="1"/>
  <c r="FU64" i="12" l="1"/>
  <c r="DA42" i="12"/>
  <c r="DA38" i="12" s="1"/>
  <c r="DA55" i="12" s="1"/>
  <c r="DA30" i="12" s="1"/>
  <c r="DI35" i="12"/>
  <c r="FS48" i="12"/>
  <c r="FS51" i="12"/>
  <c r="FV66" i="12" s="1"/>
  <c r="FS50" i="12"/>
  <c r="FV65" i="12" s="1"/>
  <c r="DJ33" i="12"/>
  <c r="DJ35" i="12" s="1"/>
  <c r="FT36" i="12"/>
  <c r="FU36" i="12" s="1"/>
  <c r="FS47" i="12"/>
  <c r="DI37" i="12"/>
  <c r="CW8" i="12"/>
  <c r="CV28" i="12"/>
  <c r="CT15" i="12"/>
  <c r="CU12" i="12" s="1"/>
  <c r="CU17" i="12" s="1"/>
  <c r="DC9" i="12"/>
  <c r="DB18" i="12"/>
  <c r="DB43" i="12" s="1"/>
  <c r="DB42" i="12" s="1"/>
  <c r="G11" i="3"/>
  <c r="R12" i="9" s="1"/>
  <c r="F11" i="3"/>
  <c r="Q12" i="9" s="1"/>
  <c r="E11" i="3"/>
  <c r="P12" i="9" s="1"/>
  <c r="D11" i="3"/>
  <c r="O12" i="9" s="1"/>
  <c r="H11" i="3"/>
  <c r="I11" i="3" s="1"/>
  <c r="J11" i="3" s="1"/>
  <c r="K11" i="3" s="1"/>
  <c r="L11" i="3" s="1"/>
  <c r="M11" i="3" s="1"/>
  <c r="N11" i="3" s="1"/>
  <c r="O11" i="3" s="1"/>
  <c r="P11" i="3" s="1"/>
  <c r="Q11" i="3" s="1"/>
  <c r="R11" i="3" s="1"/>
  <c r="AC12" i="9" s="1"/>
  <c r="G10" i="3"/>
  <c r="R11" i="9" s="1"/>
  <c r="D10" i="3"/>
  <c r="O11" i="9" s="1"/>
  <c r="F10" i="3"/>
  <c r="Q11" i="9" s="1"/>
  <c r="H10" i="3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AC11" i="9" s="1"/>
  <c r="E10" i="3"/>
  <c r="P11" i="9" s="1"/>
  <c r="D9" i="3"/>
  <c r="O10" i="9" s="1"/>
  <c r="H9" i="3"/>
  <c r="I9" i="3" s="1"/>
  <c r="J9" i="3" s="1"/>
  <c r="K9" i="3" s="1"/>
  <c r="L9" i="3" s="1"/>
  <c r="M9" i="3" s="1"/>
  <c r="N9" i="3" s="1"/>
  <c r="O9" i="3" s="1"/>
  <c r="P9" i="3" s="1"/>
  <c r="Q9" i="3" s="1"/>
  <c r="R9" i="3" s="1"/>
  <c r="AC10" i="9" s="1"/>
  <c r="F9" i="3"/>
  <c r="Q10" i="9" s="1"/>
  <c r="G9" i="3"/>
  <c r="R10" i="9" s="1"/>
  <c r="E9" i="3"/>
  <c r="P10" i="9" s="1"/>
  <c r="K170" i="8"/>
  <c r="K172" i="8" s="1"/>
  <c r="K142" i="8"/>
  <c r="K141" i="8" s="1"/>
  <c r="Q20" i="9"/>
  <c r="Q21" i="9"/>
  <c r="Q25" i="9"/>
  <c r="Q22" i="9"/>
  <c r="Y13" i="9"/>
  <c r="P18" i="9"/>
  <c r="Q23" i="9"/>
  <c r="K6" i="3"/>
  <c r="U7" i="9"/>
  <c r="J64" i="1"/>
  <c r="J65" i="1" s="1"/>
  <c r="H87" i="1"/>
  <c r="V19" i="9"/>
  <c r="F15" i="3"/>
  <c r="G87" i="1"/>
  <c r="J86" i="1"/>
  <c r="I86" i="1"/>
  <c r="I87" i="1" s="1"/>
  <c r="F33" i="7"/>
  <c r="E33" i="7"/>
  <c r="D33" i="7"/>
  <c r="C33" i="7"/>
  <c r="B33" i="7"/>
  <c r="F30" i="7"/>
  <c r="E30" i="7"/>
  <c r="D30" i="7"/>
  <c r="C30" i="7"/>
  <c r="B30" i="7"/>
  <c r="F29" i="7"/>
  <c r="F16" i="7" s="1"/>
  <c r="E29" i="7"/>
  <c r="E16" i="7" s="1"/>
  <c r="D29" i="7"/>
  <c r="C29" i="7"/>
  <c r="B29" i="7"/>
  <c r="F27" i="7"/>
  <c r="E27" i="7"/>
  <c r="D27" i="7"/>
  <c r="C27" i="7"/>
  <c r="B27" i="7"/>
  <c r="B16" i="7" s="1"/>
  <c r="F25" i="7"/>
  <c r="E25" i="7"/>
  <c r="D25" i="7"/>
  <c r="C25" i="7"/>
  <c r="C16" i="7" s="1"/>
  <c r="B25" i="7"/>
  <c r="D16" i="7"/>
  <c r="F14" i="7"/>
  <c r="F10" i="7" s="1"/>
  <c r="E14" i="7"/>
  <c r="D14" i="7"/>
  <c r="C14" i="7"/>
  <c r="B14" i="7"/>
  <c r="F12" i="7"/>
  <c r="E12" i="7"/>
  <c r="E10" i="7" s="1"/>
  <c r="D12" i="7"/>
  <c r="D10" i="7" s="1"/>
  <c r="C12" i="7"/>
  <c r="C10" i="7" s="1"/>
  <c r="B12" i="7"/>
  <c r="B10" i="7"/>
  <c r="F9" i="7"/>
  <c r="F5" i="7" s="1"/>
  <c r="F15" i="7" s="1"/>
  <c r="F31" i="7" s="1"/>
  <c r="F35" i="7" s="1"/>
  <c r="E9" i="7"/>
  <c r="E5" i="7" s="1"/>
  <c r="E15" i="7" s="1"/>
  <c r="E31" i="7" s="1"/>
  <c r="E35" i="7" s="1"/>
  <c r="D9" i="7"/>
  <c r="C9" i="7"/>
  <c r="B9" i="7"/>
  <c r="D5" i="7"/>
  <c r="D15" i="7" s="1"/>
  <c r="D31" i="7" s="1"/>
  <c r="D35" i="7" s="1"/>
  <c r="C5" i="7"/>
  <c r="C15" i="7" s="1"/>
  <c r="B5" i="7"/>
  <c r="B15" i="7" s="1"/>
  <c r="B31" i="7" s="1"/>
  <c r="B35" i="7" s="1"/>
  <c r="J40" i="6"/>
  <c r="C40" i="6"/>
  <c r="D39" i="6"/>
  <c r="E37" i="6"/>
  <c r="F36" i="6"/>
  <c r="K35" i="6"/>
  <c r="H35" i="6"/>
  <c r="I35" i="6" s="1"/>
  <c r="F35" i="6"/>
  <c r="L35" i="6" s="1"/>
  <c r="K34" i="6"/>
  <c r="F34" i="6"/>
  <c r="L34" i="6" s="1"/>
  <c r="K33" i="6"/>
  <c r="L33" i="6" s="1"/>
  <c r="F33" i="6"/>
  <c r="K32" i="6"/>
  <c r="F32" i="6"/>
  <c r="L32" i="6" s="1"/>
  <c r="K31" i="6"/>
  <c r="K40" i="6" s="1"/>
  <c r="F31" i="6"/>
  <c r="L31" i="6" s="1"/>
  <c r="L30" i="6"/>
  <c r="K30" i="6"/>
  <c r="F30" i="6"/>
  <c r="E30" i="6"/>
  <c r="K29" i="6"/>
  <c r="F29" i="6"/>
  <c r="L29" i="6" s="1"/>
  <c r="E29" i="6"/>
  <c r="L28" i="6"/>
  <c r="K28" i="6"/>
  <c r="F28" i="6"/>
  <c r="E28" i="6"/>
  <c r="K27" i="6"/>
  <c r="F27" i="6"/>
  <c r="L27" i="6" s="1"/>
  <c r="E27" i="6"/>
  <c r="E39" i="6" s="1"/>
  <c r="C17" i="6"/>
  <c r="D16" i="6"/>
  <c r="L15" i="6"/>
  <c r="F15" i="6"/>
  <c r="E15" i="6"/>
  <c r="K14" i="6"/>
  <c r="F14" i="6"/>
  <c r="L14" i="6" s="1"/>
  <c r="X13" i="6"/>
  <c r="L13" i="6"/>
  <c r="K13" i="6"/>
  <c r="J13" i="6"/>
  <c r="F13" i="6"/>
  <c r="X12" i="6"/>
  <c r="J12" i="6"/>
  <c r="L12" i="6" s="1"/>
  <c r="E12" i="6"/>
  <c r="X11" i="6"/>
  <c r="K11" i="6"/>
  <c r="F11" i="6"/>
  <c r="L11" i="6" s="1"/>
  <c r="X10" i="6"/>
  <c r="J10" i="6"/>
  <c r="L10" i="6" s="1"/>
  <c r="H10" i="6"/>
  <c r="I10" i="6" s="1"/>
  <c r="E10" i="6"/>
  <c r="K9" i="6"/>
  <c r="K17" i="6" s="1"/>
  <c r="K43" i="6" s="1"/>
  <c r="J9" i="6"/>
  <c r="F9" i="6"/>
  <c r="L9" i="6" s="1"/>
  <c r="E9" i="6"/>
  <c r="J8" i="6"/>
  <c r="F8" i="6"/>
  <c r="L8" i="6" s="1"/>
  <c r="E8" i="6"/>
  <c r="J7" i="6"/>
  <c r="H7" i="6"/>
  <c r="I7" i="6" s="1"/>
  <c r="F7" i="6"/>
  <c r="L7" i="6" s="1"/>
  <c r="E7" i="6"/>
  <c r="J6" i="6"/>
  <c r="H6" i="6"/>
  <c r="I6" i="6" s="1"/>
  <c r="F6" i="6"/>
  <c r="L6" i="6" s="1"/>
  <c r="E6" i="6"/>
  <c r="E16" i="6" s="1"/>
  <c r="Y5" i="6"/>
  <c r="L5" i="6"/>
  <c r="J5" i="6"/>
  <c r="J17" i="6" s="1"/>
  <c r="J43" i="6" s="1"/>
  <c r="H5" i="6"/>
  <c r="I5" i="6" s="1"/>
  <c r="F5" i="6"/>
  <c r="F17" i="6" s="1"/>
  <c r="E5" i="6"/>
  <c r="FU49" i="12" l="1"/>
  <c r="FU47" i="12"/>
  <c r="DD63" i="12"/>
  <c r="FV64" i="12"/>
  <c r="DB38" i="12"/>
  <c r="DB55" i="12" s="1"/>
  <c r="DB30" i="12" s="1"/>
  <c r="DE63" i="12"/>
  <c r="DJ37" i="12"/>
  <c r="FV36" i="12"/>
  <c r="DK33" i="12"/>
  <c r="DJ45" i="12"/>
  <c r="CX8" i="12"/>
  <c r="CW28" i="12"/>
  <c r="CU15" i="12"/>
  <c r="CV12" i="12" s="1"/>
  <c r="CV17" i="12" s="1"/>
  <c r="DD9" i="12"/>
  <c r="L170" i="8"/>
  <c r="L172" i="8" s="1"/>
  <c r="L142" i="8"/>
  <c r="L141" i="8" s="1"/>
  <c r="Q16" i="9"/>
  <c r="C10" i="3"/>
  <c r="C11" i="3"/>
  <c r="C9" i="3"/>
  <c r="R22" i="9"/>
  <c r="R23" i="9"/>
  <c r="R25" i="9"/>
  <c r="Q18" i="9"/>
  <c r="R21" i="9"/>
  <c r="Z13" i="9"/>
  <c r="R20" i="9"/>
  <c r="S12" i="9"/>
  <c r="L6" i="3"/>
  <c r="V7" i="9"/>
  <c r="I65" i="1"/>
  <c r="H65" i="1"/>
  <c r="G65" i="1"/>
  <c r="C113" i="1"/>
  <c r="C114" i="1" s="1"/>
  <c r="P9" i="9"/>
  <c r="O9" i="9"/>
  <c r="Q9" i="9"/>
  <c r="T10" i="9"/>
  <c r="S10" i="9"/>
  <c r="S11" i="9"/>
  <c r="R9" i="9"/>
  <c r="J87" i="1"/>
  <c r="A16" i="3"/>
  <c r="G15" i="3"/>
  <c r="R16" i="9" s="1"/>
  <c r="D8" i="3"/>
  <c r="E8" i="3"/>
  <c r="F8" i="3"/>
  <c r="H8" i="3"/>
  <c r="G8" i="3"/>
  <c r="E36" i="7"/>
  <c r="E37" i="7" s="1"/>
  <c r="C31" i="7"/>
  <c r="C35" i="7" s="1"/>
  <c r="D36" i="7"/>
  <c r="D37" i="7" s="1"/>
  <c r="B36" i="7"/>
  <c r="B37" i="7" s="1"/>
  <c r="F37" i="7"/>
  <c r="F36" i="7"/>
  <c r="D17" i="6"/>
  <c r="L40" i="6"/>
  <c r="D40" i="6"/>
  <c r="L17" i="6"/>
  <c r="F40" i="6"/>
  <c r="F43" i="6" s="1"/>
  <c r="FV49" i="12" l="1"/>
  <c r="FV47" i="12"/>
  <c r="FU51" i="12"/>
  <c r="FU50" i="12"/>
  <c r="FU48" i="12"/>
  <c r="DL33" i="12"/>
  <c r="DK45" i="12"/>
  <c r="FW36" i="12"/>
  <c r="FX36" i="12" s="1"/>
  <c r="DK37" i="12"/>
  <c r="DK35" i="12"/>
  <c r="CY8" i="12"/>
  <c r="CX28" i="12"/>
  <c r="CV15" i="12"/>
  <c r="CW12" i="12" s="1"/>
  <c r="CW17" i="12" s="1"/>
  <c r="DE9" i="12"/>
  <c r="DD18" i="12"/>
  <c r="DD43" i="12" s="1"/>
  <c r="DD42" i="12" s="1"/>
  <c r="H16" i="3"/>
  <c r="I16" i="3" s="1"/>
  <c r="J16" i="3" s="1"/>
  <c r="K16" i="3" s="1"/>
  <c r="L16" i="3" s="1"/>
  <c r="M16" i="3" s="1"/>
  <c r="N16" i="3" s="1"/>
  <c r="O16" i="3" s="1"/>
  <c r="P16" i="3" s="1"/>
  <c r="Q16" i="3" s="1"/>
  <c r="R16" i="3" s="1"/>
  <c r="AC17" i="9" s="1"/>
  <c r="G16" i="3"/>
  <c r="F16" i="3"/>
  <c r="Q17" i="9" s="1"/>
  <c r="E16" i="3"/>
  <c r="P17" i="9" s="1"/>
  <c r="D16" i="3"/>
  <c r="O17" i="9" s="1"/>
  <c r="M170" i="8"/>
  <c r="M172" i="8" s="1"/>
  <c r="M142" i="8"/>
  <c r="M141" i="8" s="1"/>
  <c r="P8" i="9"/>
  <c r="W19" i="9"/>
  <c r="S20" i="9"/>
  <c r="S25" i="9"/>
  <c r="AA13" i="9"/>
  <c r="S23" i="9"/>
  <c r="R18" i="9"/>
  <c r="S21" i="9"/>
  <c r="S22" i="9"/>
  <c r="D113" i="1"/>
  <c r="D114" i="1" s="1"/>
  <c r="M6" i="3"/>
  <c r="W7" i="9"/>
  <c r="U10" i="9"/>
  <c r="S9" i="9"/>
  <c r="Q8" i="9"/>
  <c r="R8" i="9"/>
  <c r="O8" i="9"/>
  <c r="T11" i="9"/>
  <c r="I8" i="3"/>
  <c r="I61" i="3" s="1"/>
  <c r="T12" i="9"/>
  <c r="F8" i="8"/>
  <c r="G8" i="8"/>
  <c r="E8" i="8"/>
  <c r="D8" i="8"/>
  <c r="C8" i="8"/>
  <c r="H15" i="3"/>
  <c r="S16" i="9" s="1"/>
  <c r="X19" i="9"/>
  <c r="E7" i="3"/>
  <c r="E61" i="3"/>
  <c r="G7" i="3"/>
  <c r="G61" i="3"/>
  <c r="D7" i="3"/>
  <c r="D61" i="3"/>
  <c r="F7" i="3"/>
  <c r="F61" i="3"/>
  <c r="H7" i="3"/>
  <c r="H61" i="3"/>
  <c r="C36" i="7"/>
  <c r="C37" i="7"/>
  <c r="L43" i="6"/>
  <c r="FX47" i="12" l="1"/>
  <c r="FX49" i="12"/>
  <c r="FV51" i="12"/>
  <c r="FY66" i="12" s="1"/>
  <c r="FV50" i="12"/>
  <c r="FY65" i="12" s="1"/>
  <c r="FY64" i="12" s="1"/>
  <c r="FV48" i="12"/>
  <c r="S49" i="9"/>
  <c r="R49" i="9"/>
  <c r="P49" i="9"/>
  <c r="Q49" i="9"/>
  <c r="DD38" i="12"/>
  <c r="DD55" i="12" s="1"/>
  <c r="DD30" i="12" s="1"/>
  <c r="DG63" i="12"/>
  <c r="DL35" i="12"/>
  <c r="DL37" i="12"/>
  <c r="FY36" i="12"/>
  <c r="DM33" i="12"/>
  <c r="CZ8" i="12"/>
  <c r="CY28" i="12"/>
  <c r="CW15" i="12"/>
  <c r="CX12" i="12" s="1"/>
  <c r="CX17" i="12" s="1"/>
  <c r="DF9" i="12"/>
  <c r="DE18" i="12"/>
  <c r="DE43" i="12" s="1"/>
  <c r="DE42" i="12" s="1"/>
  <c r="E113" i="1"/>
  <c r="E114" i="1" s="1"/>
  <c r="AC13" i="9"/>
  <c r="C12" i="3"/>
  <c r="R8" i="3"/>
  <c r="S8" i="9"/>
  <c r="O49" i="9"/>
  <c r="C16" i="3"/>
  <c r="AB13" i="9"/>
  <c r="T22" i="9"/>
  <c r="T21" i="9"/>
  <c r="T25" i="9"/>
  <c r="T23" i="9"/>
  <c r="S18" i="9"/>
  <c r="T20" i="9"/>
  <c r="N6" i="3"/>
  <c r="X7" i="9"/>
  <c r="T9" i="9"/>
  <c r="V10" i="9"/>
  <c r="I7" i="3"/>
  <c r="H8" i="8"/>
  <c r="U11" i="9"/>
  <c r="G62" i="3"/>
  <c r="G63" i="3" s="1"/>
  <c r="G64" i="3" s="1"/>
  <c r="R17" i="9"/>
  <c r="J8" i="3"/>
  <c r="J61" i="3" s="1"/>
  <c r="U12" i="9"/>
  <c r="S17" i="9"/>
  <c r="E62" i="3"/>
  <c r="E63" i="3" s="1"/>
  <c r="F62" i="3"/>
  <c r="F63" i="3" s="1"/>
  <c r="I15" i="3"/>
  <c r="J15" i="3" s="1"/>
  <c r="K15" i="3" s="1"/>
  <c r="L15" i="3" s="1"/>
  <c r="M15" i="3" s="1"/>
  <c r="N15" i="3" s="1"/>
  <c r="O15" i="3" s="1"/>
  <c r="P15" i="3" s="1"/>
  <c r="Q15" i="3" s="1"/>
  <c r="R15" i="3" s="1"/>
  <c r="H62" i="3"/>
  <c r="H63" i="3" s="1"/>
  <c r="FX50" i="12" l="1"/>
  <c r="GA65" i="12" s="1"/>
  <c r="FX51" i="12"/>
  <c r="GA66" i="12" s="1"/>
  <c r="FX48" i="12"/>
  <c r="FY47" i="12"/>
  <c r="FY49" i="12"/>
  <c r="T49" i="9"/>
  <c r="DE38" i="12"/>
  <c r="DE55" i="12" s="1"/>
  <c r="DE30" i="12" s="1"/>
  <c r="DH63" i="12"/>
  <c r="DN33" i="12"/>
  <c r="DM45" i="12"/>
  <c r="DM35" i="12"/>
  <c r="DN35" i="12" s="1"/>
  <c r="FZ36" i="12"/>
  <c r="GA36" i="12" s="1"/>
  <c r="DM37" i="12"/>
  <c r="DN37" i="12" s="1"/>
  <c r="DA8" i="12"/>
  <c r="CZ28" i="12"/>
  <c r="CX15" i="12"/>
  <c r="CY12" i="12" s="1"/>
  <c r="CY17" i="12" s="1"/>
  <c r="DG9" i="12"/>
  <c r="F113" i="1"/>
  <c r="G113" i="1" s="1"/>
  <c r="G114" i="1" s="1"/>
  <c r="R7" i="3"/>
  <c r="R61" i="3"/>
  <c r="Q8" i="8"/>
  <c r="AD13" i="9"/>
  <c r="AC9" i="9"/>
  <c r="AC8" i="9" s="1"/>
  <c r="T8" i="9"/>
  <c r="Y19" i="9"/>
  <c r="U25" i="9"/>
  <c r="U20" i="9"/>
  <c r="U21" i="9"/>
  <c r="T18" i="9"/>
  <c r="U22" i="9"/>
  <c r="U16" i="9"/>
  <c r="T16" i="9"/>
  <c r="U23" i="9"/>
  <c r="O6" i="3"/>
  <c r="Y7" i="9"/>
  <c r="I8" i="8"/>
  <c r="W10" i="9"/>
  <c r="J7" i="3"/>
  <c r="K8" i="3"/>
  <c r="J8" i="8" s="1"/>
  <c r="V12" i="9"/>
  <c r="T17" i="9"/>
  <c r="U9" i="9"/>
  <c r="V11" i="9"/>
  <c r="I62" i="3"/>
  <c r="I63" i="3" s="1"/>
  <c r="I64" i="3" s="1"/>
  <c r="E64" i="3"/>
  <c r="F64" i="3"/>
  <c r="Z19" i="9"/>
  <c r="H64" i="3"/>
  <c r="FY51" i="12" l="1"/>
  <c r="GB66" i="12" s="1"/>
  <c r="FY50" i="12"/>
  <c r="GB65" i="12" s="1"/>
  <c r="GB64" i="12" s="1"/>
  <c r="FY48" i="12"/>
  <c r="GA49" i="12"/>
  <c r="GA47" i="12"/>
  <c r="GA64" i="12"/>
  <c r="AC49" i="9"/>
  <c r="V49" i="9"/>
  <c r="GB36" i="12"/>
  <c r="DO33" i="12"/>
  <c r="DN45" i="12"/>
  <c r="DB8" i="12"/>
  <c r="DA28" i="12"/>
  <c r="CY15" i="12"/>
  <c r="CZ12" i="12" s="1"/>
  <c r="CZ17" i="12" s="1"/>
  <c r="DH9" i="12"/>
  <c r="DG18" i="12"/>
  <c r="DG43" i="12" s="1"/>
  <c r="DG42" i="12" s="1"/>
  <c r="F114" i="1"/>
  <c r="U49" i="9"/>
  <c r="V16" i="9"/>
  <c r="J62" i="3"/>
  <c r="J63" i="3" s="1"/>
  <c r="J64" i="3" s="1"/>
  <c r="U18" i="9"/>
  <c r="V23" i="9"/>
  <c r="V21" i="9"/>
  <c r="V20" i="9"/>
  <c r="V22" i="9"/>
  <c r="V25" i="9"/>
  <c r="X10" i="9"/>
  <c r="P6" i="3"/>
  <c r="Z7" i="9"/>
  <c r="K61" i="3"/>
  <c r="K7" i="3"/>
  <c r="U8" i="9"/>
  <c r="V9" i="9"/>
  <c r="W11" i="9"/>
  <c r="U17" i="9"/>
  <c r="L8" i="3"/>
  <c r="L7" i="3" s="1"/>
  <c r="W12" i="9"/>
  <c r="AA19" i="9"/>
  <c r="C39" i="2"/>
  <c r="C38" i="2"/>
  <c r="C37" i="2"/>
  <c r="C34" i="2"/>
  <c r="C33" i="2"/>
  <c r="D26" i="2"/>
  <c r="C26" i="2" s="1"/>
  <c r="B27" i="2"/>
  <c r="B26" i="2"/>
  <c r="B25" i="2"/>
  <c r="B24" i="2"/>
  <c r="B23" i="2"/>
  <c r="B22" i="2"/>
  <c r="B21" i="2"/>
  <c r="M15" i="2" s="1"/>
  <c r="B20" i="2"/>
  <c r="M14" i="2" s="1"/>
  <c r="B19" i="2"/>
  <c r="M13" i="2" s="1"/>
  <c r="B18" i="2"/>
  <c r="B17" i="2"/>
  <c r="M11" i="2" s="1"/>
  <c r="B16" i="2"/>
  <c r="M10" i="2" s="1"/>
  <c r="B15" i="2"/>
  <c r="B14" i="2"/>
  <c r="B13" i="2"/>
  <c r="M7" i="2" s="1"/>
  <c r="B12" i="2"/>
  <c r="M6" i="2" s="1"/>
  <c r="B11" i="2"/>
  <c r="B10" i="2"/>
  <c r="B9" i="2"/>
  <c r="B8" i="2"/>
  <c r="B7" i="2"/>
  <c r="B6" i="2"/>
  <c r="U41" i="2"/>
  <c r="U40" i="2"/>
  <c r="AD39" i="2"/>
  <c r="AD22" i="2" s="1"/>
  <c r="AC39" i="2"/>
  <c r="AC22" i="2" s="1"/>
  <c r="AB39" i="2"/>
  <c r="AB22" i="2" s="1"/>
  <c r="AA39" i="2"/>
  <c r="AA22" i="2" s="1"/>
  <c r="Z39" i="2"/>
  <c r="Z22" i="2" s="1"/>
  <c r="Y39" i="2"/>
  <c r="Y22" i="2" s="1"/>
  <c r="X39" i="2"/>
  <c r="X22" i="2" s="1"/>
  <c r="W39" i="2"/>
  <c r="W22" i="2" s="1"/>
  <c r="AR39" i="2"/>
  <c r="AR22" i="2" s="1"/>
  <c r="AQ39" i="2"/>
  <c r="AQ22" i="2" s="1"/>
  <c r="AO39" i="2"/>
  <c r="AO22" i="2" s="1"/>
  <c r="AL41" i="2"/>
  <c r="AL39" i="2" s="1"/>
  <c r="AL22" i="2" s="1"/>
  <c r="AI41" i="2"/>
  <c r="AI39" i="2" s="1"/>
  <c r="AI22" i="2" s="1"/>
  <c r="AF41" i="2"/>
  <c r="AF39" i="2" s="1"/>
  <c r="AF22" i="2" s="1"/>
  <c r="AE41" i="2"/>
  <c r="U43" i="2"/>
  <c r="U42" i="2"/>
  <c r="U35" i="2"/>
  <c r="T35" i="2" s="1"/>
  <c r="V37" i="2"/>
  <c r="U37" i="2"/>
  <c r="U26" i="2"/>
  <c r="T26" i="2" s="1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AT18" i="2"/>
  <c r="AS18" i="2"/>
  <c r="AR18" i="2"/>
  <c r="AQ18" i="2"/>
  <c r="AP18" i="2"/>
  <c r="AO18" i="2"/>
  <c r="AN19" i="2"/>
  <c r="AM19" i="2"/>
  <c r="AL19" i="2"/>
  <c r="AL18" i="2" s="1"/>
  <c r="AK19" i="2"/>
  <c r="AJ19" i="2"/>
  <c r="AI19" i="2"/>
  <c r="AI18" i="2" s="1"/>
  <c r="AH19" i="2"/>
  <c r="AH18" i="2" s="1"/>
  <c r="AG19" i="2"/>
  <c r="AG18" i="2" s="1"/>
  <c r="AF19" i="2"/>
  <c r="AE19" i="2"/>
  <c r="AD19" i="2"/>
  <c r="AD18" i="2" s="1"/>
  <c r="AC19" i="2"/>
  <c r="AC18" i="2" s="1"/>
  <c r="AB19" i="2"/>
  <c r="AA19" i="2"/>
  <c r="Z19" i="2"/>
  <c r="Z18" i="2" s="1"/>
  <c r="Y19" i="2"/>
  <c r="Y18" i="2" s="1"/>
  <c r="X19" i="2"/>
  <c r="W19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AT15" i="2"/>
  <c r="AS15" i="2"/>
  <c r="AR15" i="2"/>
  <c r="AQ15" i="2"/>
  <c r="AO15" i="2"/>
  <c r="AN16" i="2"/>
  <c r="AM16" i="2"/>
  <c r="AL16" i="2"/>
  <c r="AL15" i="2" s="1"/>
  <c r="AK16" i="2"/>
  <c r="AJ16" i="2"/>
  <c r="AI16" i="2"/>
  <c r="AH16" i="2"/>
  <c r="AH15" i="2" s="1"/>
  <c r="AG16" i="2"/>
  <c r="AG15" i="2" s="1"/>
  <c r="AF16" i="2"/>
  <c r="AE16" i="2"/>
  <c r="AD16" i="2"/>
  <c r="AD15" i="2" s="1"/>
  <c r="AC16" i="2"/>
  <c r="AB16" i="2"/>
  <c r="AA16" i="2"/>
  <c r="Y16" i="2"/>
  <c r="Y15" i="2" s="1"/>
  <c r="X16" i="2"/>
  <c r="W16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AN13" i="2"/>
  <c r="AM13" i="2"/>
  <c r="AL13" i="2"/>
  <c r="D15" i="3" s="1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AT11" i="2"/>
  <c r="AS11" i="2"/>
  <c r="AR11" i="2"/>
  <c r="AQ11" i="2"/>
  <c r="AP11" i="2"/>
  <c r="AO11" i="2"/>
  <c r="AN12" i="2"/>
  <c r="AN11" i="2" s="1"/>
  <c r="AM12" i="2"/>
  <c r="AM11" i="2" s="1"/>
  <c r="AL12" i="2"/>
  <c r="AL11" i="2" s="1"/>
  <c r="AK12" i="2"/>
  <c r="AK11" i="2" s="1"/>
  <c r="AJ12" i="2"/>
  <c r="AJ11" i="2" s="1"/>
  <c r="AI12" i="2"/>
  <c r="AI11" i="2" s="1"/>
  <c r="AH12" i="2"/>
  <c r="AH11" i="2" s="1"/>
  <c r="AG12" i="2"/>
  <c r="AG11" i="2" s="1"/>
  <c r="AF12" i="2"/>
  <c r="AF11" i="2" s="1"/>
  <c r="AE12" i="2"/>
  <c r="AE11" i="2" s="1"/>
  <c r="AD12" i="2"/>
  <c r="AD11" i="2" s="1"/>
  <c r="AC12" i="2"/>
  <c r="AC11" i="2" s="1"/>
  <c r="AB12" i="2"/>
  <c r="AB11" i="2" s="1"/>
  <c r="AA12" i="2"/>
  <c r="Z12" i="2"/>
  <c r="Z11" i="2" s="1"/>
  <c r="Y12" i="2"/>
  <c r="Y11" i="2" s="1"/>
  <c r="X12" i="2"/>
  <c r="X11" i="2" s="1"/>
  <c r="W12" i="2"/>
  <c r="E8" i="2"/>
  <c r="E73" i="2" s="1"/>
  <c r="AT6" i="2"/>
  <c r="AR6" i="2"/>
  <c r="AQ6" i="2"/>
  <c r="AP6" i="2"/>
  <c r="AO6" i="2"/>
  <c r="AN7" i="2"/>
  <c r="AN6" i="2" s="1"/>
  <c r="AM7" i="2"/>
  <c r="AM6" i="2" s="1"/>
  <c r="AL7" i="2"/>
  <c r="AL6" i="2" s="1"/>
  <c r="AK7" i="2"/>
  <c r="AJ7" i="2"/>
  <c r="AJ6" i="2" s="1"/>
  <c r="AI7" i="2"/>
  <c r="AI6" i="2" s="1"/>
  <c r="AH7" i="2"/>
  <c r="AH6" i="2" s="1"/>
  <c r="AG7" i="2"/>
  <c r="AG6" i="2" s="1"/>
  <c r="AF7" i="2"/>
  <c r="AF6" i="2" s="1"/>
  <c r="AE7" i="2"/>
  <c r="AE6" i="2" s="1"/>
  <c r="AD7" i="2"/>
  <c r="AD6" i="2" s="1"/>
  <c r="AC7" i="2"/>
  <c r="AB7" i="2"/>
  <c r="AB6" i="2" s="1"/>
  <c r="AA7" i="2"/>
  <c r="AA6" i="2" s="1"/>
  <c r="Z7" i="2"/>
  <c r="Z6" i="2" s="1"/>
  <c r="Y7" i="2"/>
  <c r="Y6" i="2" s="1"/>
  <c r="X7" i="2"/>
  <c r="X6" i="2" s="1"/>
  <c r="W7" i="2"/>
  <c r="W6" i="2" s="1"/>
  <c r="O21" i="5"/>
  <c r="K37" i="5"/>
  <c r="C63" i="5"/>
  <c r="AI33" i="5"/>
  <c r="AH33" i="5"/>
  <c r="AG33" i="5"/>
  <c r="AF33" i="5"/>
  <c r="AE33" i="5"/>
  <c r="AD33" i="5"/>
  <c r="AB33" i="5"/>
  <c r="AA33" i="5"/>
  <c r="Z33" i="5"/>
  <c r="Y33" i="5"/>
  <c r="W33" i="5"/>
  <c r="S33" i="5"/>
  <c r="R33" i="5"/>
  <c r="Q33" i="5"/>
  <c r="P33" i="5"/>
  <c r="N33" i="5"/>
  <c r="M33" i="5"/>
  <c r="AI26" i="5"/>
  <c r="AH26" i="5"/>
  <c r="AG26" i="5"/>
  <c r="AF26" i="5"/>
  <c r="AE26" i="5"/>
  <c r="AD26" i="5"/>
  <c r="AC26" i="5"/>
  <c r="AB26" i="5"/>
  <c r="AA26" i="5"/>
  <c r="Z26" i="5"/>
  <c r="Y26" i="5"/>
  <c r="W26" i="5"/>
  <c r="V26" i="5"/>
  <c r="S26" i="5"/>
  <c r="Q26" i="5"/>
  <c r="O26" i="5"/>
  <c r="N26" i="5"/>
  <c r="M26" i="5"/>
  <c r="L26" i="5"/>
  <c r="AI23" i="5"/>
  <c r="AH23" i="5"/>
  <c r="AG23" i="5"/>
  <c r="AF23" i="5"/>
  <c r="AE23" i="5"/>
  <c r="AD23" i="5"/>
  <c r="AC23" i="5"/>
  <c r="AB23" i="5"/>
  <c r="AA23" i="5"/>
  <c r="W23" i="5"/>
  <c r="N23" i="5"/>
  <c r="M23" i="5"/>
  <c r="L23" i="5"/>
  <c r="AI19" i="5"/>
  <c r="AH19" i="5"/>
  <c r="AF19" i="5"/>
  <c r="AE19" i="5"/>
  <c r="AC19" i="5"/>
  <c r="AC18" i="5" s="1"/>
  <c r="AC17" i="5" s="1"/>
  <c r="AB19" i="5"/>
  <c r="Z19" i="5"/>
  <c r="Y19" i="5"/>
  <c r="W19" i="5"/>
  <c r="V19" i="5"/>
  <c r="T19" i="5"/>
  <c r="S19" i="5"/>
  <c r="Q19" i="5"/>
  <c r="P19" i="5"/>
  <c r="O19" i="5"/>
  <c r="M19" i="5"/>
  <c r="M18" i="5" s="1"/>
  <c r="M17" i="5" s="1"/>
  <c r="L19" i="5"/>
  <c r="AI30" i="5"/>
  <c r="AG21" i="5"/>
  <c r="AG19" i="5" s="1"/>
  <c r="AF30" i="5"/>
  <c r="AE32" i="5"/>
  <c r="AD21" i="5"/>
  <c r="AD19" i="5" s="1"/>
  <c r="AC31" i="5"/>
  <c r="K31" i="5" s="1"/>
  <c r="AC35" i="5"/>
  <c r="AC33" i="5" s="1"/>
  <c r="AC30" i="5"/>
  <c r="AB32" i="5"/>
  <c r="AA21" i="5"/>
  <c r="AA19" i="5" s="1"/>
  <c r="AA18" i="5" s="1"/>
  <c r="AA17" i="5" s="1"/>
  <c r="Z24" i="5"/>
  <c r="Z23" i="5" s="1"/>
  <c r="Z30" i="5"/>
  <c r="Y24" i="5"/>
  <c r="Y23" i="5" s="1"/>
  <c r="Y32" i="5"/>
  <c r="X29" i="5"/>
  <c r="X26" i="5" s="1"/>
  <c r="X22" i="5"/>
  <c r="X35" i="5"/>
  <c r="X33" i="5" s="1"/>
  <c r="X24" i="5"/>
  <c r="X23" i="5" s="1"/>
  <c r="X21" i="5"/>
  <c r="X20" i="5"/>
  <c r="W30" i="5"/>
  <c r="W24" i="5"/>
  <c r="V22" i="5"/>
  <c r="V35" i="5"/>
  <c r="V33" i="5" s="1"/>
  <c r="V23" i="5"/>
  <c r="V32" i="5"/>
  <c r="U28" i="5"/>
  <c r="U26" i="5" s="1"/>
  <c r="U22" i="5"/>
  <c r="U35" i="5"/>
  <c r="U33" i="5" s="1"/>
  <c r="U24" i="5"/>
  <c r="U23" i="5" s="1"/>
  <c r="U21" i="5"/>
  <c r="U19" i="5" s="1"/>
  <c r="T27" i="5"/>
  <c r="T26" i="5" s="1"/>
  <c r="T22" i="5"/>
  <c r="T35" i="5"/>
  <c r="K35" i="5" s="1"/>
  <c r="T24" i="5"/>
  <c r="T23" i="5" s="1"/>
  <c r="S22" i="5"/>
  <c r="S24" i="5"/>
  <c r="S23" i="5" s="1"/>
  <c r="S32" i="5"/>
  <c r="R27" i="5"/>
  <c r="R26" i="5" s="1"/>
  <c r="R22" i="5"/>
  <c r="R24" i="5"/>
  <c r="R23" i="5" s="1"/>
  <c r="R21" i="5"/>
  <c r="R19" i="5" s="1"/>
  <c r="Q23" i="5"/>
  <c r="K25" i="5"/>
  <c r="P22" i="5"/>
  <c r="P23" i="5"/>
  <c r="O24" i="5"/>
  <c r="O23" i="5" s="1"/>
  <c r="P32" i="5"/>
  <c r="O22" i="5"/>
  <c r="L22" i="5"/>
  <c r="K22" i="5" s="1"/>
  <c r="N21" i="5"/>
  <c r="N20" i="5"/>
  <c r="N19" i="5" s="1"/>
  <c r="N18" i="5" s="1"/>
  <c r="N17" i="5" s="1"/>
  <c r="N36" i="5" s="1"/>
  <c r="O34" i="5"/>
  <c r="O33" i="5" s="1"/>
  <c r="L34" i="5"/>
  <c r="K34" i="5" s="1"/>
  <c r="D6" i="5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AI39" i="5" s="1"/>
  <c r="GA51" i="12" l="1"/>
  <c r="GD66" i="12" s="1"/>
  <c r="GA50" i="12"/>
  <c r="GD65" i="12" s="1"/>
  <c r="GD64" i="12" s="1"/>
  <c r="GA48" i="12"/>
  <c r="GB49" i="12"/>
  <c r="GB47" i="12"/>
  <c r="DG38" i="12"/>
  <c r="DG55" i="12" s="1"/>
  <c r="DG30" i="12" s="1"/>
  <c r="DJ63" i="12"/>
  <c r="DP33" i="12"/>
  <c r="DO35" i="12"/>
  <c r="GC36" i="12"/>
  <c r="GD36" i="12" s="1"/>
  <c r="DO37" i="12"/>
  <c r="DC8" i="12"/>
  <c r="DB28" i="12"/>
  <c r="CZ15" i="12"/>
  <c r="DA12" i="12" s="1"/>
  <c r="DA17" i="12" s="1"/>
  <c r="DI9" i="12"/>
  <c r="DH18" i="12"/>
  <c r="DH43" i="12" s="1"/>
  <c r="DH42" i="12" s="1"/>
  <c r="AB18" i="2"/>
  <c r="AJ18" i="2"/>
  <c r="AF15" i="2"/>
  <c r="AN15" i="2"/>
  <c r="AE18" i="2"/>
  <c r="AM18" i="2"/>
  <c r="AI15" i="2"/>
  <c r="X15" i="2"/>
  <c r="U39" i="2"/>
  <c r="W15" i="3"/>
  <c r="O16" i="9"/>
  <c r="D62" i="3"/>
  <c r="D63" i="3" s="1"/>
  <c r="D64" i="3" s="1"/>
  <c r="AB15" i="2"/>
  <c r="F20" i="2"/>
  <c r="F58" i="2" s="1"/>
  <c r="AJ15" i="2"/>
  <c r="AC15" i="2"/>
  <c r="AK15" i="2"/>
  <c r="F21" i="2"/>
  <c r="F59" i="2" s="1"/>
  <c r="AK18" i="2"/>
  <c r="AE15" i="2"/>
  <c r="AM15" i="2"/>
  <c r="E12" i="2"/>
  <c r="E50" i="2" s="1"/>
  <c r="X18" i="2"/>
  <c r="AF18" i="2"/>
  <c r="F14" i="2"/>
  <c r="F52" i="2" s="1"/>
  <c r="E17" i="2"/>
  <c r="E55" i="2" s="1"/>
  <c r="W16" i="9"/>
  <c r="W20" i="9"/>
  <c r="W21" i="9"/>
  <c r="W25" i="9"/>
  <c r="W23" i="9"/>
  <c r="W22" i="9"/>
  <c r="V18" i="9"/>
  <c r="Y10" i="9"/>
  <c r="Q6" i="3"/>
  <c r="AA7" i="9"/>
  <c r="K8" i="8"/>
  <c r="L61" i="3"/>
  <c r="V17" i="9"/>
  <c r="V8" i="9"/>
  <c r="K62" i="3"/>
  <c r="K63" i="3" s="1"/>
  <c r="K64" i="3" s="1"/>
  <c r="W9" i="9"/>
  <c r="M8" i="3"/>
  <c r="L8" i="8" s="1"/>
  <c r="X12" i="9"/>
  <c r="X11" i="9"/>
  <c r="Z16" i="2"/>
  <c r="Z15" i="2" s="1"/>
  <c r="Z10" i="2" s="1"/>
  <c r="Z9" i="2" s="1"/>
  <c r="Z25" i="2" s="1"/>
  <c r="AN18" i="2"/>
  <c r="H8" i="2"/>
  <c r="M9" i="2"/>
  <c r="M17" i="2"/>
  <c r="H11" i="2"/>
  <c r="H12" i="2"/>
  <c r="M18" i="2"/>
  <c r="H9" i="2"/>
  <c r="M12" i="2"/>
  <c r="M5" i="2"/>
  <c r="H6" i="2"/>
  <c r="F24" i="2"/>
  <c r="F62" i="2" s="1"/>
  <c r="F17" i="2"/>
  <c r="F55" i="2" s="1"/>
  <c r="F23" i="2"/>
  <c r="F61" i="2" s="1"/>
  <c r="E24" i="2"/>
  <c r="E62" i="2" s="1"/>
  <c r="AA18" i="2"/>
  <c r="F13" i="2"/>
  <c r="F51" i="2" s="1"/>
  <c r="E14" i="2"/>
  <c r="E52" i="2" s="1"/>
  <c r="E20" i="2"/>
  <c r="E58" i="2" s="1"/>
  <c r="H7" i="2"/>
  <c r="M8" i="2"/>
  <c r="M16" i="2"/>
  <c r="H10" i="2"/>
  <c r="AP15" i="2"/>
  <c r="F12" i="2"/>
  <c r="F50" i="2" s="1"/>
  <c r="V13" i="2"/>
  <c r="V14" i="2"/>
  <c r="V16" i="2"/>
  <c r="AI10" i="2"/>
  <c r="AI9" i="2" s="1"/>
  <c r="AI25" i="2" s="1"/>
  <c r="AQ10" i="2"/>
  <c r="AQ9" i="2" s="1"/>
  <c r="AQ25" i="2" s="1"/>
  <c r="V20" i="2"/>
  <c r="V21" i="2"/>
  <c r="V23" i="2"/>
  <c r="V24" i="2"/>
  <c r="AA11" i="2"/>
  <c r="E13" i="2"/>
  <c r="E51" i="2" s="1"/>
  <c r="E19" i="2"/>
  <c r="E57" i="2" s="1"/>
  <c r="E23" i="2"/>
  <c r="E61" i="2" s="1"/>
  <c r="AB10" i="2"/>
  <c r="AB9" i="2" s="1"/>
  <c r="AB25" i="2" s="1"/>
  <c r="E7" i="2"/>
  <c r="AD10" i="2"/>
  <c r="AD9" i="2" s="1"/>
  <c r="AD25" i="2" s="1"/>
  <c r="AL10" i="2"/>
  <c r="AL9" i="2" s="1"/>
  <c r="AL25" i="2" s="1"/>
  <c r="F7" i="2"/>
  <c r="F72" i="2" s="1"/>
  <c r="AR10" i="2"/>
  <c r="AR9" i="2" s="1"/>
  <c r="AR25" i="2" s="1"/>
  <c r="F19" i="2"/>
  <c r="U12" i="2"/>
  <c r="D12" i="2" s="1"/>
  <c r="D50" i="2" s="1"/>
  <c r="U13" i="2"/>
  <c r="D13" i="2" s="1"/>
  <c r="D51" i="2" s="1"/>
  <c r="U14" i="2"/>
  <c r="D14" i="2" s="1"/>
  <c r="D52" i="2" s="1"/>
  <c r="U16" i="2"/>
  <c r="D16" i="2" s="1"/>
  <c r="D54" i="2" s="1"/>
  <c r="U17" i="2"/>
  <c r="V17" i="2"/>
  <c r="U19" i="2"/>
  <c r="D19" i="2" s="1"/>
  <c r="D57" i="2" s="1"/>
  <c r="U20" i="2"/>
  <c r="D20" i="2" s="1"/>
  <c r="D58" i="2" s="1"/>
  <c r="U21" i="2"/>
  <c r="D21" i="2" s="1"/>
  <c r="D59" i="2" s="1"/>
  <c r="U23" i="2"/>
  <c r="D23" i="2" s="1"/>
  <c r="D61" i="2" s="1"/>
  <c r="U24" i="2"/>
  <c r="D24" i="2" s="1"/>
  <c r="D62" i="2" s="1"/>
  <c r="T37" i="2"/>
  <c r="E16" i="2"/>
  <c r="E54" i="2" s="1"/>
  <c r="E21" i="2"/>
  <c r="E59" i="2" s="1"/>
  <c r="X10" i="2"/>
  <c r="X9" i="2" s="1"/>
  <c r="X25" i="2" s="1"/>
  <c r="AF10" i="2"/>
  <c r="AF9" i="2" s="1"/>
  <c r="AF25" i="2" s="1"/>
  <c r="F8" i="2"/>
  <c r="F73" i="2" s="1"/>
  <c r="F16" i="2"/>
  <c r="F54" i="2" s="1"/>
  <c r="AC10" i="2"/>
  <c r="AC9" i="2" s="1"/>
  <c r="U22" i="2"/>
  <c r="Y10" i="2"/>
  <c r="Y9" i="2" s="1"/>
  <c r="Y25" i="2" s="1"/>
  <c r="U11" i="2"/>
  <c r="AO10" i="2"/>
  <c r="AO9" i="2" s="1"/>
  <c r="AO25" i="2" s="1"/>
  <c r="W38" i="2"/>
  <c r="X35" i="2" s="1"/>
  <c r="X38" i="2" s="1"/>
  <c r="Y35" i="2" s="1"/>
  <c r="Y38" i="2" s="1"/>
  <c r="Z35" i="2" s="1"/>
  <c r="Z38" i="2" s="1"/>
  <c r="AA35" i="2" s="1"/>
  <c r="U36" i="2"/>
  <c r="V8" i="2"/>
  <c r="V19" i="2"/>
  <c r="W18" i="2"/>
  <c r="W15" i="2"/>
  <c r="V36" i="2"/>
  <c r="V12" i="2"/>
  <c r="AA15" i="2"/>
  <c r="W11" i="2"/>
  <c r="U8" i="2"/>
  <c r="V7" i="2"/>
  <c r="U7" i="2"/>
  <c r="D7" i="2" s="1"/>
  <c r="D72" i="2" s="1"/>
  <c r="AC6" i="2"/>
  <c r="AS6" i="2"/>
  <c r="AK6" i="2"/>
  <c r="K32" i="5"/>
  <c r="V18" i="5"/>
  <c r="V17" i="5" s="1"/>
  <c r="V36" i="5" s="1"/>
  <c r="T18" i="5"/>
  <c r="T17" i="5" s="1"/>
  <c r="AF18" i="5"/>
  <c r="AF17" i="5" s="1"/>
  <c r="AF36" i="5" s="1"/>
  <c r="AE36" i="5"/>
  <c r="K24" i="5"/>
  <c r="K23" i="5" s="1"/>
  <c r="C35" i="2" s="1"/>
  <c r="K28" i="5"/>
  <c r="AH18" i="5"/>
  <c r="AH17" i="5" s="1"/>
  <c r="AG18" i="5"/>
  <c r="AG17" i="5" s="1"/>
  <c r="AG36" i="5" s="1"/>
  <c r="AC36" i="5"/>
  <c r="L18" i="5"/>
  <c r="L17" i="5" s="1"/>
  <c r="W18" i="5"/>
  <c r="W17" i="5" s="1"/>
  <c r="W36" i="5" s="1"/>
  <c r="AI18" i="5"/>
  <c r="AI17" i="5" s="1"/>
  <c r="AI36" i="5" s="1"/>
  <c r="Y18" i="5"/>
  <c r="Y17" i="5" s="1"/>
  <c r="Y36" i="5" s="1"/>
  <c r="AH36" i="5"/>
  <c r="K30" i="5"/>
  <c r="AD18" i="5"/>
  <c r="AD17" i="5" s="1"/>
  <c r="AD36" i="5" s="1"/>
  <c r="O18" i="5"/>
  <c r="O17" i="5" s="1"/>
  <c r="O36" i="5" s="1"/>
  <c r="AE18" i="5"/>
  <c r="AE17" i="5" s="1"/>
  <c r="K21" i="5"/>
  <c r="K27" i="5"/>
  <c r="K26" i="5" s="1"/>
  <c r="C36" i="2" s="1"/>
  <c r="X19" i="5"/>
  <c r="X18" i="5" s="1"/>
  <c r="X17" i="5" s="1"/>
  <c r="X36" i="5" s="1"/>
  <c r="AB18" i="5"/>
  <c r="AB17" i="5" s="1"/>
  <c r="AB36" i="5" s="1"/>
  <c r="AA36" i="5"/>
  <c r="Q18" i="5"/>
  <c r="Q17" i="5" s="1"/>
  <c r="Q36" i="5" s="1"/>
  <c r="R18" i="5"/>
  <c r="R17" i="5" s="1"/>
  <c r="R36" i="5" s="1"/>
  <c r="S18" i="5"/>
  <c r="S17" i="5" s="1"/>
  <c r="S36" i="5" s="1"/>
  <c r="K33" i="5"/>
  <c r="U18" i="5"/>
  <c r="U17" i="5" s="1"/>
  <c r="U36" i="5" s="1"/>
  <c r="Z18" i="5"/>
  <c r="Z17" i="5" s="1"/>
  <c r="Z36" i="5" s="1"/>
  <c r="M36" i="5"/>
  <c r="K29" i="5"/>
  <c r="P26" i="5"/>
  <c r="P18" i="5" s="1"/>
  <c r="P17" i="5" s="1"/>
  <c r="P36" i="5" s="1"/>
  <c r="L33" i="5"/>
  <c r="L36" i="5" s="1"/>
  <c r="L38" i="5" s="1"/>
  <c r="M37" i="5" s="1"/>
  <c r="T33" i="5"/>
  <c r="T36" i="5" s="1"/>
  <c r="K20" i="5"/>
  <c r="GB50" i="12" l="1"/>
  <c r="GE65" i="12" s="1"/>
  <c r="GB51" i="12"/>
  <c r="GE66" i="12" s="1"/>
  <c r="GB48" i="12"/>
  <c r="GD49" i="12"/>
  <c r="GD47" i="12"/>
  <c r="X49" i="9"/>
  <c r="DH38" i="12"/>
  <c r="DH55" i="12" s="1"/>
  <c r="DH30" i="12" s="1"/>
  <c r="DK63" i="12"/>
  <c r="DP37" i="12"/>
  <c r="DP35" i="12"/>
  <c r="GE36" i="12"/>
  <c r="DQ33" i="12"/>
  <c r="DP45" i="12"/>
  <c r="DD8" i="12"/>
  <c r="DC28" i="12"/>
  <c r="DA15" i="12"/>
  <c r="DB12" i="12" s="1"/>
  <c r="DB17" i="12" s="1"/>
  <c r="DJ9" i="12"/>
  <c r="X16" i="9"/>
  <c r="L62" i="3"/>
  <c r="L63" i="3" s="1"/>
  <c r="L64" i="3" s="1"/>
  <c r="T13" i="2"/>
  <c r="C40" i="2"/>
  <c r="Y16" i="3"/>
  <c r="Y15" i="3"/>
  <c r="W49" i="9"/>
  <c r="AB19" i="9"/>
  <c r="AC19" i="9"/>
  <c r="AB7" i="9"/>
  <c r="R6" i="3"/>
  <c r="AC7" i="9" s="1"/>
  <c r="X23" i="9"/>
  <c r="X25" i="9"/>
  <c r="W18" i="9"/>
  <c r="X21" i="9"/>
  <c r="X22" i="9"/>
  <c r="X20" i="9"/>
  <c r="F71" i="2"/>
  <c r="C20" i="2"/>
  <c r="F18" i="2"/>
  <c r="F56" i="2" s="1"/>
  <c r="F57" i="2"/>
  <c r="E6" i="2"/>
  <c r="E72" i="2"/>
  <c r="E71" i="2" s="1"/>
  <c r="C14" i="2"/>
  <c r="C52" i="2" s="1"/>
  <c r="V11" i="2"/>
  <c r="Z10" i="9"/>
  <c r="M7" i="3"/>
  <c r="M61" i="3"/>
  <c r="X9" i="9"/>
  <c r="N8" i="3"/>
  <c r="N61" i="3" s="1"/>
  <c r="Y12" i="9"/>
  <c r="W8" i="9"/>
  <c r="Y11" i="9"/>
  <c r="W17" i="9"/>
  <c r="C16" i="2"/>
  <c r="Y16" i="9"/>
  <c r="T16" i="2"/>
  <c r="AC25" i="2"/>
  <c r="T23" i="2"/>
  <c r="T24" i="2"/>
  <c r="F15" i="2"/>
  <c r="F53" i="2" s="1"/>
  <c r="U15" i="2"/>
  <c r="C21" i="2"/>
  <c r="T20" i="2"/>
  <c r="AA38" i="2"/>
  <c r="AB35" i="2" s="1"/>
  <c r="AB38" i="2" s="1"/>
  <c r="AC35" i="2" s="1"/>
  <c r="AC38" i="2" s="1"/>
  <c r="AD35" i="2" s="1"/>
  <c r="AD38" i="2" s="1"/>
  <c r="AE35" i="2" s="1"/>
  <c r="AE38" i="2" s="1"/>
  <c r="AF35" i="2" s="1"/>
  <c r="V15" i="2"/>
  <c r="T21" i="2"/>
  <c r="U18" i="2"/>
  <c r="C24" i="2"/>
  <c r="C62" i="2" s="1"/>
  <c r="D34" i="2"/>
  <c r="E34" i="2" s="1"/>
  <c r="AA10" i="2"/>
  <c r="AA9" i="2" s="1"/>
  <c r="AA25" i="2" s="1"/>
  <c r="C23" i="2"/>
  <c r="C61" i="2" s="1"/>
  <c r="T17" i="2"/>
  <c r="D17" i="2"/>
  <c r="V6" i="2"/>
  <c r="V18" i="2"/>
  <c r="T14" i="2"/>
  <c r="D22" i="2"/>
  <c r="D60" i="2" s="1"/>
  <c r="F6" i="2"/>
  <c r="T8" i="2"/>
  <c r="D8" i="2"/>
  <c r="C13" i="2"/>
  <c r="C12" i="2"/>
  <c r="C50" i="2" s="1"/>
  <c r="D11" i="2"/>
  <c r="D49" i="2" s="1"/>
  <c r="D18" i="2"/>
  <c r="D56" i="2" s="1"/>
  <c r="C19" i="2"/>
  <c r="C57" i="2" s="1"/>
  <c r="E15" i="2"/>
  <c r="E53" i="2" s="1"/>
  <c r="E18" i="2"/>
  <c r="E56" i="2" s="1"/>
  <c r="C7" i="2"/>
  <c r="C72" i="2" s="1"/>
  <c r="T19" i="2"/>
  <c r="W10" i="2"/>
  <c r="W9" i="2" s="1"/>
  <c r="W25" i="2" s="1"/>
  <c r="W27" i="2" s="1"/>
  <c r="X26" i="2" s="1"/>
  <c r="X27" i="2" s="1"/>
  <c r="Y26" i="2" s="1"/>
  <c r="Y27" i="2" s="1"/>
  <c r="Z26" i="2" s="1"/>
  <c r="Z27" i="2" s="1"/>
  <c r="AA26" i="2" s="1"/>
  <c r="T12" i="2"/>
  <c r="T11" i="2" s="1"/>
  <c r="T36" i="2"/>
  <c r="U38" i="2"/>
  <c r="V35" i="2" s="1"/>
  <c r="V38" i="2" s="1"/>
  <c r="U6" i="2"/>
  <c r="T7" i="2"/>
  <c r="K19" i="5"/>
  <c r="K18" i="5" s="1"/>
  <c r="M38" i="5"/>
  <c r="N37" i="5" s="1"/>
  <c r="N38" i="5" s="1"/>
  <c r="O37" i="5" s="1"/>
  <c r="O38" i="5" s="1"/>
  <c r="P37" i="5" s="1"/>
  <c r="P38" i="5" s="1"/>
  <c r="Q37" i="5" s="1"/>
  <c r="Q38" i="5" s="1"/>
  <c r="R37" i="5" s="1"/>
  <c r="R38" i="5" s="1"/>
  <c r="S37" i="5" s="1"/>
  <c r="S38" i="5" s="1"/>
  <c r="T37" i="5" s="1"/>
  <c r="T38" i="5" s="1"/>
  <c r="U37" i="5" s="1"/>
  <c r="U38" i="5" s="1"/>
  <c r="V37" i="5" s="1"/>
  <c r="V38" i="5" s="1"/>
  <c r="W37" i="5" s="1"/>
  <c r="W38" i="5" s="1"/>
  <c r="X37" i="5" s="1"/>
  <c r="X38" i="5" s="1"/>
  <c r="Y37" i="5" s="1"/>
  <c r="Y38" i="5" s="1"/>
  <c r="Z37" i="5" s="1"/>
  <c r="Z38" i="5" s="1"/>
  <c r="AA37" i="5" s="1"/>
  <c r="AA38" i="5" s="1"/>
  <c r="AB37" i="5" s="1"/>
  <c r="AB38" i="5" s="1"/>
  <c r="AC37" i="5" s="1"/>
  <c r="AC38" i="5" s="1"/>
  <c r="AD37" i="5" s="1"/>
  <c r="AD38" i="5" s="1"/>
  <c r="AE37" i="5" s="1"/>
  <c r="AE38" i="5" s="1"/>
  <c r="AF37" i="5" s="1"/>
  <c r="AF38" i="5" s="1"/>
  <c r="AG37" i="5" s="1"/>
  <c r="AG38" i="5" s="1"/>
  <c r="AH37" i="5" s="1"/>
  <c r="AH38" i="5" s="1"/>
  <c r="AI37" i="5" s="1"/>
  <c r="AI38" i="5" s="1"/>
  <c r="AI40" i="5" s="1"/>
  <c r="GD51" i="12" l="1"/>
  <c r="GG66" i="12" s="1"/>
  <c r="GD50" i="12"/>
  <c r="GG65" i="12" s="1"/>
  <c r="GG64" i="12" s="1"/>
  <c r="GD48" i="12"/>
  <c r="GE49" i="12"/>
  <c r="GE47" i="12"/>
  <c r="GE64" i="12"/>
  <c r="DR33" i="12"/>
  <c r="DQ45" i="12"/>
  <c r="DQ35" i="12"/>
  <c r="GF36" i="12"/>
  <c r="DQ37" i="12"/>
  <c r="DE8" i="12"/>
  <c r="DD28" i="12"/>
  <c r="DB15" i="12"/>
  <c r="DC12" i="12" s="1"/>
  <c r="DC17" i="12" s="1"/>
  <c r="DK9" i="12"/>
  <c r="DJ18" i="12"/>
  <c r="DJ43" i="12" s="1"/>
  <c r="DJ42" i="12" s="1"/>
  <c r="N8" i="2"/>
  <c r="U10" i="2"/>
  <c r="U9" i="2" s="1"/>
  <c r="AA27" i="2"/>
  <c r="AB26" i="2" s="1"/>
  <c r="AB27" i="2" s="1"/>
  <c r="AC26" i="2" s="1"/>
  <c r="AC27" i="2" s="1"/>
  <c r="AD26" i="2" s="1"/>
  <c r="AD27" i="2" s="1"/>
  <c r="AE26" i="2" s="1"/>
  <c r="C17" i="2"/>
  <c r="C55" i="2" s="1"/>
  <c r="D55" i="2"/>
  <c r="T15" i="2"/>
  <c r="E80" i="8"/>
  <c r="AA15" i="3"/>
  <c r="F80" i="8"/>
  <c r="AA16" i="3"/>
  <c r="C8" i="2"/>
  <c r="C73" i="2" s="1"/>
  <c r="C71" i="2" s="1"/>
  <c r="D73" i="2"/>
  <c r="D71" i="2" s="1"/>
  <c r="AF38" i="2"/>
  <c r="AG35" i="2" s="1"/>
  <c r="AD19" i="9"/>
  <c r="X8" i="9"/>
  <c r="C18" i="3"/>
  <c r="Y21" i="9"/>
  <c r="X18" i="9"/>
  <c r="Y22" i="9"/>
  <c r="Y25" i="9"/>
  <c r="Y20" i="9"/>
  <c r="Y23" i="9"/>
  <c r="N15" i="2"/>
  <c r="C59" i="2"/>
  <c r="N14" i="2"/>
  <c r="C58" i="2"/>
  <c r="I7" i="2"/>
  <c r="N7" i="2"/>
  <c r="C51" i="2"/>
  <c r="AA10" i="9"/>
  <c r="M8" i="8"/>
  <c r="N7" i="3"/>
  <c r="Y9" i="9"/>
  <c r="X17" i="9"/>
  <c r="O8" i="3"/>
  <c r="O7" i="3" s="1"/>
  <c r="Z12" i="9"/>
  <c r="Z11" i="9"/>
  <c r="M62" i="3"/>
  <c r="K17" i="5"/>
  <c r="K36" i="5" s="1"/>
  <c r="K38" i="5" s="1"/>
  <c r="I22" i="7"/>
  <c r="J21" i="7" s="1"/>
  <c r="N10" i="2"/>
  <c r="C54" i="2"/>
  <c r="Z16" i="9"/>
  <c r="T18" i="2"/>
  <c r="D6" i="2"/>
  <c r="C15" i="2"/>
  <c r="C53" i="2" s="1"/>
  <c r="N11" i="2"/>
  <c r="C18" i="2"/>
  <c r="C56" i="2" s="1"/>
  <c r="N13" i="2"/>
  <c r="D38" i="2"/>
  <c r="E38" i="2" s="1"/>
  <c r="I11" i="2"/>
  <c r="N17" i="2"/>
  <c r="D39" i="2"/>
  <c r="E39" i="2" s="1"/>
  <c r="N18" i="2"/>
  <c r="I12" i="2"/>
  <c r="K6" i="2"/>
  <c r="T6" i="2"/>
  <c r="C11" i="2"/>
  <c r="N6" i="2"/>
  <c r="T38" i="2"/>
  <c r="AE40" i="2"/>
  <c r="U25" i="2"/>
  <c r="U27" i="2" s="1"/>
  <c r="V26" i="2" s="1"/>
  <c r="D15" i="2"/>
  <c r="GE50" i="12" l="1"/>
  <c r="GH65" i="12" s="1"/>
  <c r="GE51" i="12"/>
  <c r="GH66" i="12" s="1"/>
  <c r="GE48" i="12"/>
  <c r="DJ38" i="12"/>
  <c r="DJ55" i="12" s="1"/>
  <c r="DJ30" i="12" s="1"/>
  <c r="DM63" i="12"/>
  <c r="DR37" i="12"/>
  <c r="DR35" i="12"/>
  <c r="DS33" i="12"/>
  <c r="DF8" i="12"/>
  <c r="DE28" i="12"/>
  <c r="DC15" i="12"/>
  <c r="DD12" i="12" s="1"/>
  <c r="DD17" i="12" s="1"/>
  <c r="AG38" i="2"/>
  <c r="AH35" i="2" s="1"/>
  <c r="AH38" i="2" s="1"/>
  <c r="AI35" i="2" s="1"/>
  <c r="DL9" i="12"/>
  <c r="DK18" i="12"/>
  <c r="DK43" i="12" s="1"/>
  <c r="DK42" i="12" s="1"/>
  <c r="C81" i="8"/>
  <c r="C80" i="8"/>
  <c r="C6" i="2"/>
  <c r="K7" i="2"/>
  <c r="C45" i="8" s="1"/>
  <c r="Y8" i="9"/>
  <c r="Y49" i="9"/>
  <c r="M63" i="3"/>
  <c r="M64" i="3" s="1"/>
  <c r="Z22" i="9"/>
  <c r="O62" i="3"/>
  <c r="Y18" i="9"/>
  <c r="Z23" i="9"/>
  <c r="Z20" i="9"/>
  <c r="N62" i="3"/>
  <c r="N63" i="3" s="1"/>
  <c r="N64" i="3" s="1"/>
  <c r="Z25" i="9"/>
  <c r="Z21" i="9"/>
  <c r="X28" i="3"/>
  <c r="I6" i="2"/>
  <c r="C49" i="2"/>
  <c r="AB10" i="9"/>
  <c r="AD10" i="9" s="1"/>
  <c r="O61" i="3"/>
  <c r="Z9" i="9"/>
  <c r="N8" i="8"/>
  <c r="P8" i="3"/>
  <c r="P7" i="3" s="1"/>
  <c r="AA12" i="9"/>
  <c r="AA11" i="9"/>
  <c r="Y17" i="9"/>
  <c r="D10" i="2"/>
  <c r="D9" i="2" s="1"/>
  <c r="D25" i="2" s="1"/>
  <c r="D27" i="2" s="1"/>
  <c r="E26" i="2" s="1"/>
  <c r="D53" i="2"/>
  <c r="D63" i="2" s="1"/>
  <c r="AA16" i="9"/>
  <c r="N12" i="2"/>
  <c r="D33" i="2"/>
  <c r="E33" i="2" s="1"/>
  <c r="D36" i="2"/>
  <c r="E36" i="2" s="1"/>
  <c r="I9" i="2"/>
  <c r="N9" i="2"/>
  <c r="D35" i="2"/>
  <c r="E35" i="2" s="1"/>
  <c r="I8" i="2"/>
  <c r="N5" i="2"/>
  <c r="V40" i="2"/>
  <c r="AE39" i="2"/>
  <c r="AE22" i="2" s="1"/>
  <c r="GH64" i="12" l="1"/>
  <c r="Z49" i="9"/>
  <c r="DK38" i="12"/>
  <c r="DK55" i="12" s="1"/>
  <c r="DK30" i="12" s="1"/>
  <c r="DN63" i="12"/>
  <c r="DT33" i="12"/>
  <c r="DS45" i="12"/>
  <c r="DS35" i="12"/>
  <c r="DS37" i="12"/>
  <c r="DG8" i="12"/>
  <c r="DF28" i="12"/>
  <c r="DD15" i="12"/>
  <c r="DE12" i="12" s="1"/>
  <c r="DE17" i="12" s="1"/>
  <c r="DM9" i="12"/>
  <c r="AG41" i="2"/>
  <c r="AG39" i="2" s="1"/>
  <c r="AG22" i="2" s="1"/>
  <c r="K14" i="2"/>
  <c r="J121" i="8"/>
  <c r="J122" i="8" s="1"/>
  <c r="J123" i="8" s="1"/>
  <c r="J136" i="8" s="1"/>
  <c r="J135" i="8" s="1"/>
  <c r="J144" i="8" s="1"/>
  <c r="I121" i="8"/>
  <c r="I122" i="8" s="1"/>
  <c r="I123" i="8" s="1"/>
  <c r="Z8" i="9"/>
  <c r="AA23" i="9"/>
  <c r="AA25" i="9"/>
  <c r="AA21" i="9"/>
  <c r="P62" i="3"/>
  <c r="Z18" i="9"/>
  <c r="AA22" i="9"/>
  <c r="AA20" i="9"/>
  <c r="O63" i="3"/>
  <c r="O64" i="3" s="1"/>
  <c r="AA9" i="9"/>
  <c r="AB12" i="9"/>
  <c r="AD12" i="9" s="1"/>
  <c r="P61" i="3"/>
  <c r="O8" i="8"/>
  <c r="AB11" i="9"/>
  <c r="AD11" i="9" s="1"/>
  <c r="Z17" i="9"/>
  <c r="Q8" i="3"/>
  <c r="AI38" i="2"/>
  <c r="AJ35" i="2" s="1"/>
  <c r="AE10" i="2"/>
  <c r="AE9" i="2" s="1"/>
  <c r="AE25" i="2" s="1"/>
  <c r="AE27" i="2" s="1"/>
  <c r="AF26" i="2" s="1"/>
  <c r="AF27" i="2" s="1"/>
  <c r="AG26" i="2" s="1"/>
  <c r="T40" i="2"/>
  <c r="AA49" i="9" l="1"/>
  <c r="DT37" i="12"/>
  <c r="DT35" i="12"/>
  <c r="DU33" i="12"/>
  <c r="DT45" i="12"/>
  <c r="DH8" i="12"/>
  <c r="DG28" i="12"/>
  <c r="DE15" i="12"/>
  <c r="DF12" i="12" s="1"/>
  <c r="DF17" i="12" s="1"/>
  <c r="DN9" i="12"/>
  <c r="DM18" i="12"/>
  <c r="DM43" i="12" s="1"/>
  <c r="AG10" i="2"/>
  <c r="AG9" i="2" s="1"/>
  <c r="AG25" i="2" s="1"/>
  <c r="AG27" i="2" s="1"/>
  <c r="AH26" i="2" s="1"/>
  <c r="I175" i="8"/>
  <c r="I136" i="8"/>
  <c r="I135" i="8" s="1"/>
  <c r="I144" i="8" s="1"/>
  <c r="I146" i="8" s="1"/>
  <c r="I157" i="8" s="1"/>
  <c r="AB16" i="9"/>
  <c r="AA8" i="9"/>
  <c r="C24" i="3"/>
  <c r="AC25" i="9"/>
  <c r="AB22" i="9"/>
  <c r="AB23" i="9"/>
  <c r="AB21" i="9"/>
  <c r="AB20" i="9"/>
  <c r="AC20" i="9"/>
  <c r="AB25" i="9"/>
  <c r="AA18" i="9"/>
  <c r="P63" i="3"/>
  <c r="P64" i="3" s="1"/>
  <c r="C8" i="3"/>
  <c r="C7" i="3" s="1"/>
  <c r="AD9" i="9"/>
  <c r="AB9" i="9"/>
  <c r="AA17" i="9"/>
  <c r="P8" i="8"/>
  <c r="Q61" i="3"/>
  <c r="C61" i="3" s="1"/>
  <c r="Q7" i="3"/>
  <c r="AJ38" i="2"/>
  <c r="AK35" i="2" s="1"/>
  <c r="DM42" i="12" l="1"/>
  <c r="DM38" i="12" s="1"/>
  <c r="DM55" i="12" s="1"/>
  <c r="DM30" i="12" s="1"/>
  <c r="DV33" i="12"/>
  <c r="DU35" i="12"/>
  <c r="DV35" i="12" s="1"/>
  <c r="DU37" i="12"/>
  <c r="DI8" i="12"/>
  <c r="DH28" i="12"/>
  <c r="DF15" i="12"/>
  <c r="DG12" i="12" s="1"/>
  <c r="DG17" i="12" s="1"/>
  <c r="DO9" i="12"/>
  <c r="DN18" i="12"/>
  <c r="DN43" i="12" s="1"/>
  <c r="DN42" i="12" s="1"/>
  <c r="AD20" i="9"/>
  <c r="J145" i="8"/>
  <c r="J146" i="8" s="1"/>
  <c r="J175" i="8"/>
  <c r="I176" i="8"/>
  <c r="AC16" i="9"/>
  <c r="AD16" i="9" s="1"/>
  <c r="C15" i="3"/>
  <c r="C22" i="3"/>
  <c r="AC23" i="9"/>
  <c r="AD23" i="9" s="1"/>
  <c r="C21" i="3"/>
  <c r="AC22" i="9"/>
  <c r="AD22" i="9" s="1"/>
  <c r="AD25" i="9"/>
  <c r="C20" i="3"/>
  <c r="AC21" i="9"/>
  <c r="AD21" i="9" s="1"/>
  <c r="AB49" i="9"/>
  <c r="S8" i="8"/>
  <c r="AB18" i="9"/>
  <c r="AC18" i="9"/>
  <c r="C19" i="3"/>
  <c r="Q62" i="3"/>
  <c r="AB8" i="9"/>
  <c r="AB17" i="9"/>
  <c r="AD17" i="9" s="1"/>
  <c r="AD8" i="9"/>
  <c r="AK38" i="2"/>
  <c r="AL35" i="2" s="1"/>
  <c r="DP63" i="12" l="1"/>
  <c r="DN38" i="12"/>
  <c r="DN55" i="12" s="1"/>
  <c r="DN30" i="12" s="1"/>
  <c r="DQ63" i="12"/>
  <c r="DV37" i="12"/>
  <c r="DW33" i="12"/>
  <c r="DV45" i="12"/>
  <c r="DJ8" i="12"/>
  <c r="DI28" i="12"/>
  <c r="DG15" i="12"/>
  <c r="DH12" i="12" s="1"/>
  <c r="DH17" i="12" s="1"/>
  <c r="DP9" i="12"/>
  <c r="I156" i="8"/>
  <c r="I166" i="8" s="1"/>
  <c r="I177" i="8" s="1"/>
  <c r="L121" i="8"/>
  <c r="L122" i="8" s="1"/>
  <c r="L123" i="8" s="1"/>
  <c r="L136" i="8" s="1"/>
  <c r="L135" i="8" s="1"/>
  <c r="L144" i="8" s="1"/>
  <c r="M121" i="8"/>
  <c r="M122" i="8" s="1"/>
  <c r="M123" i="8" s="1"/>
  <c r="M136" i="8" s="1"/>
  <c r="M135" i="8" s="1"/>
  <c r="M144" i="8" s="1"/>
  <c r="K121" i="8"/>
  <c r="K122" i="8" s="1"/>
  <c r="K123" i="8" s="1"/>
  <c r="K136" i="8" s="1"/>
  <c r="K135" i="8" s="1"/>
  <c r="K144" i="8" s="1"/>
  <c r="J176" i="8"/>
  <c r="J157" i="8"/>
  <c r="J156" i="8" s="1"/>
  <c r="J166" i="8" s="1"/>
  <c r="K145" i="8"/>
  <c r="AD18" i="9"/>
  <c r="C17" i="3"/>
  <c r="R62" i="3"/>
  <c r="Q63" i="3"/>
  <c r="Q64" i="3" s="1"/>
  <c r="AL38" i="2"/>
  <c r="AM35" i="2" s="1"/>
  <c r="DX33" i="12" l="1"/>
  <c r="DW45" i="12"/>
  <c r="DW35" i="12"/>
  <c r="DX35" i="12" s="1"/>
  <c r="DW37" i="12"/>
  <c r="DX37" i="12" s="1"/>
  <c r="DK8" i="12"/>
  <c r="DJ28" i="12"/>
  <c r="DH15" i="12"/>
  <c r="DI12" i="12" s="1"/>
  <c r="DI17" i="12" s="1"/>
  <c r="DQ9" i="12"/>
  <c r="DP18" i="12"/>
  <c r="DP43" i="12" s="1"/>
  <c r="DP42" i="12" s="1"/>
  <c r="J177" i="8"/>
  <c r="K146" i="8"/>
  <c r="K175" i="8"/>
  <c r="R63" i="3"/>
  <c r="C62" i="3"/>
  <c r="C63" i="3" s="1"/>
  <c r="C64" i="3" s="1"/>
  <c r="AM38" i="2"/>
  <c r="AN35" i="2" s="1"/>
  <c r="DP38" i="12" l="1"/>
  <c r="DP55" i="12" s="1"/>
  <c r="DP30" i="12" s="1"/>
  <c r="DS63" i="12"/>
  <c r="DY33" i="12"/>
  <c r="DL8" i="12"/>
  <c r="DK28" i="12"/>
  <c r="DI15" i="12"/>
  <c r="DJ12" i="12" s="1"/>
  <c r="DJ17" i="12" s="1"/>
  <c r="DR9" i="12"/>
  <c r="DQ18" i="12"/>
  <c r="DQ43" i="12" s="1"/>
  <c r="DQ42" i="12" s="1"/>
  <c r="K176" i="8"/>
  <c r="L175" i="8"/>
  <c r="K157" i="8"/>
  <c r="K156" i="8" s="1"/>
  <c r="K166" i="8" s="1"/>
  <c r="K177" i="8" s="1"/>
  <c r="L145" i="8"/>
  <c r="L146" i="8" s="1"/>
  <c r="R64" i="3"/>
  <c r="AN38" i="2"/>
  <c r="AO35" i="2" s="1"/>
  <c r="AM41" i="2"/>
  <c r="DQ38" i="12" l="1"/>
  <c r="DQ55" i="12" s="1"/>
  <c r="DQ30" i="12" s="1"/>
  <c r="DT63" i="12"/>
  <c r="DZ33" i="12"/>
  <c r="DY45" i="12"/>
  <c r="DY35" i="12"/>
  <c r="DZ35" i="12" s="1"/>
  <c r="DY37" i="12"/>
  <c r="DZ37" i="12" s="1"/>
  <c r="DM8" i="12"/>
  <c r="DL28" i="12"/>
  <c r="DJ15" i="12"/>
  <c r="DK12" i="12" s="1"/>
  <c r="DK17" i="12" s="1"/>
  <c r="DS9" i="12"/>
  <c r="M145" i="8"/>
  <c r="M146" i="8" s="1"/>
  <c r="M157" i="8" s="1"/>
  <c r="M156" i="8" s="1"/>
  <c r="M166" i="8" s="1"/>
  <c r="L157" i="8"/>
  <c r="L156" i="8" s="1"/>
  <c r="L166" i="8" s="1"/>
  <c r="L176" i="8"/>
  <c r="M175" i="8"/>
  <c r="M176" i="8" s="1"/>
  <c r="AM39" i="2"/>
  <c r="AM22" i="2" s="1"/>
  <c r="AO38" i="2"/>
  <c r="AP35" i="2" s="1"/>
  <c r="EA33" i="12" l="1"/>
  <c r="DZ45" i="12"/>
  <c r="DM28" i="12"/>
  <c r="DN8" i="12"/>
  <c r="DK15" i="12"/>
  <c r="DL12" i="12" s="1"/>
  <c r="DL17" i="12" s="1"/>
  <c r="DT9" i="12"/>
  <c r="DS18" i="12"/>
  <c r="DS43" i="12" s="1"/>
  <c r="DS42" i="12" s="1"/>
  <c r="L177" i="8"/>
  <c r="M177" i="8"/>
  <c r="AP38" i="2"/>
  <c r="AQ35" i="2" s="1"/>
  <c r="AM10" i="2"/>
  <c r="AM9" i="2" s="1"/>
  <c r="AM25" i="2" s="1"/>
  <c r="DS38" i="12" l="1"/>
  <c r="DS55" i="12" s="1"/>
  <c r="DS30" i="12" s="1"/>
  <c r="DV63" i="12"/>
  <c r="EB33" i="12"/>
  <c r="EA37" i="12"/>
  <c r="EA35" i="12"/>
  <c r="EB35" i="12" s="1"/>
  <c r="DO8" i="12"/>
  <c r="DN28" i="12"/>
  <c r="DL15" i="12"/>
  <c r="DM12" i="12" s="1"/>
  <c r="DM17" i="12" s="1"/>
  <c r="DU9" i="12"/>
  <c r="DT18" i="12"/>
  <c r="DT43" i="12" s="1"/>
  <c r="DT42" i="12" s="1"/>
  <c r="AP39" i="2"/>
  <c r="AP22" i="2" s="1"/>
  <c r="AQ38" i="2"/>
  <c r="AR35" i="2" s="1"/>
  <c r="DT38" i="12" l="1"/>
  <c r="DT55" i="12" s="1"/>
  <c r="DT30" i="12" s="1"/>
  <c r="DW63" i="12"/>
  <c r="EB37" i="12"/>
  <c r="EC33" i="12"/>
  <c r="EB45" i="12"/>
  <c r="DP8" i="12"/>
  <c r="DO28" i="12"/>
  <c r="DM15" i="12"/>
  <c r="DN12" i="12" s="1"/>
  <c r="DN17" i="12" s="1"/>
  <c r="DV9" i="12"/>
  <c r="AR38" i="2"/>
  <c r="AS35" i="2" s="1"/>
  <c r="AP10" i="2"/>
  <c r="AP9" i="2" s="1"/>
  <c r="AP25" i="2" s="1"/>
  <c r="ED33" i="12" l="1"/>
  <c r="EC45" i="12"/>
  <c r="EC37" i="12"/>
  <c r="ED37" i="12" s="1"/>
  <c r="EC35" i="12"/>
  <c r="ED35" i="12" s="1"/>
  <c r="DQ8" i="12"/>
  <c r="DP28" i="12"/>
  <c r="DN15" i="12"/>
  <c r="DO12" i="12" s="1"/>
  <c r="DO17" i="12" s="1"/>
  <c r="DW9" i="12"/>
  <c r="DV18" i="12"/>
  <c r="DV43" i="12" s="1"/>
  <c r="DV42" i="12" s="1"/>
  <c r="AS38" i="2"/>
  <c r="AT35" i="2" s="1"/>
  <c r="DV38" i="12" l="1"/>
  <c r="DV55" i="12" s="1"/>
  <c r="DV30" i="12" s="1"/>
  <c r="DY63" i="12"/>
  <c r="EE33" i="12"/>
  <c r="DR8" i="12"/>
  <c r="DQ28" i="12"/>
  <c r="DO15" i="12"/>
  <c r="DP12" i="12" s="1"/>
  <c r="DP17" i="12" s="1"/>
  <c r="DX9" i="12"/>
  <c r="DW18" i="12"/>
  <c r="DW43" i="12" s="1"/>
  <c r="DW42" i="12" s="1"/>
  <c r="AS39" i="2"/>
  <c r="AS22" i="2" s="1"/>
  <c r="AT38" i="2"/>
  <c r="D50" i="3" s="1"/>
  <c r="DW38" i="12" l="1"/>
  <c r="DW55" i="12" s="1"/>
  <c r="DW30" i="12" s="1"/>
  <c r="DZ63" i="12"/>
  <c r="EF33" i="12"/>
  <c r="EE45" i="12"/>
  <c r="EE37" i="12"/>
  <c r="EF37" i="12" s="1"/>
  <c r="EE35" i="12"/>
  <c r="EF35" i="12" s="1"/>
  <c r="DS8" i="12"/>
  <c r="DR28" i="12"/>
  <c r="DP15" i="12"/>
  <c r="DQ12" i="12" s="1"/>
  <c r="DQ17" i="12" s="1"/>
  <c r="DY9" i="12"/>
  <c r="C50" i="3"/>
  <c r="AS10" i="2"/>
  <c r="AS9" i="2" s="1"/>
  <c r="AS25" i="2" s="1"/>
  <c r="EG33" i="12" l="1"/>
  <c r="EF45" i="12"/>
  <c r="DT8" i="12"/>
  <c r="DS28" i="12"/>
  <c r="DQ15" i="12"/>
  <c r="DR12" i="12" s="1"/>
  <c r="DR17" i="12" s="1"/>
  <c r="DZ9" i="12"/>
  <c r="DY18" i="12"/>
  <c r="DY43" i="12" s="1"/>
  <c r="DY42" i="12" l="1"/>
  <c r="DY38" i="12" s="1"/>
  <c r="DY55" i="12" s="1"/>
  <c r="DY30" i="12" s="1"/>
  <c r="EH33" i="12"/>
  <c r="EG37" i="12"/>
  <c r="EG35" i="12"/>
  <c r="EH35" i="12" s="1"/>
  <c r="DU8" i="12"/>
  <c r="DT28" i="12"/>
  <c r="DR15" i="12"/>
  <c r="DS12" i="12" s="1"/>
  <c r="DS17" i="12" s="1"/>
  <c r="EA9" i="12"/>
  <c r="DZ18" i="12"/>
  <c r="DZ43" i="12" s="1"/>
  <c r="DZ42" i="12" s="1"/>
  <c r="AT39" i="2"/>
  <c r="AT22" i="2" s="1"/>
  <c r="EB63" i="12" l="1"/>
  <c r="DZ38" i="12"/>
  <c r="DZ55" i="12" s="1"/>
  <c r="DZ30" i="12" s="1"/>
  <c r="EC63" i="12"/>
  <c r="EH37" i="12"/>
  <c r="EI33" i="12"/>
  <c r="EH45" i="12"/>
  <c r="DV8" i="12"/>
  <c r="DU28" i="12"/>
  <c r="DS15" i="12"/>
  <c r="DT12" i="12" s="1"/>
  <c r="DT17" i="12" s="1"/>
  <c r="EB9" i="12"/>
  <c r="AT10" i="2"/>
  <c r="AT9" i="2" s="1"/>
  <c r="AT25" i="2" s="1"/>
  <c r="EJ33" i="12" l="1"/>
  <c r="EI45" i="12"/>
  <c r="EI37" i="12"/>
  <c r="EJ37" i="12" s="1"/>
  <c r="EI35" i="12"/>
  <c r="EJ35" i="12" s="1"/>
  <c r="DW8" i="12"/>
  <c r="DV28" i="12"/>
  <c r="DT15" i="12"/>
  <c r="DU12" i="12" s="1"/>
  <c r="DU17" i="12" s="1"/>
  <c r="EC9" i="12"/>
  <c r="EB18" i="12"/>
  <c r="EB43" i="12" s="1"/>
  <c r="EB42" i="12" s="1"/>
  <c r="EB38" i="12" l="1"/>
  <c r="EB55" i="12" s="1"/>
  <c r="EB30" i="12" s="1"/>
  <c r="EE63" i="12"/>
  <c r="EK33" i="12"/>
  <c r="DX8" i="12"/>
  <c r="DW28" i="12"/>
  <c r="DU15" i="12"/>
  <c r="DV12" i="12" s="1"/>
  <c r="DV17" i="12" s="1"/>
  <c r="ED9" i="12"/>
  <c r="EC18" i="12"/>
  <c r="EC43" i="12" s="1"/>
  <c r="EC42" i="12" s="1"/>
  <c r="EC38" i="12" l="1"/>
  <c r="EC55" i="12" s="1"/>
  <c r="EC30" i="12" s="1"/>
  <c r="EF63" i="12"/>
  <c r="EL33" i="12"/>
  <c r="EK45" i="12"/>
  <c r="EK37" i="12"/>
  <c r="EK35" i="12"/>
  <c r="EL35" i="12" s="1"/>
  <c r="DY8" i="12"/>
  <c r="DX28" i="12"/>
  <c r="DV15" i="12"/>
  <c r="DW12" i="12" s="1"/>
  <c r="DW17" i="12" s="1"/>
  <c r="EE9" i="12"/>
  <c r="EL37" i="12" l="1"/>
  <c r="EM33" i="12"/>
  <c r="EL45" i="12"/>
  <c r="DY28" i="12"/>
  <c r="DZ8" i="12"/>
  <c r="DW15" i="12"/>
  <c r="DX12" i="12" s="1"/>
  <c r="DX17" i="12" s="1"/>
  <c r="EF9" i="12"/>
  <c r="EE18" i="12"/>
  <c r="EE43" i="12" s="1"/>
  <c r="EE42" i="12" s="1"/>
  <c r="E11" i="2"/>
  <c r="F11" i="2"/>
  <c r="EE38" i="12" l="1"/>
  <c r="EE55" i="12" s="1"/>
  <c r="EE30" i="12" s="1"/>
  <c r="EH63" i="12"/>
  <c r="EN33" i="12"/>
  <c r="EM37" i="12"/>
  <c r="EM35" i="12"/>
  <c r="EA8" i="12"/>
  <c r="DZ28" i="12"/>
  <c r="DX15" i="12"/>
  <c r="DY12" i="12" s="1"/>
  <c r="DY17" i="12" s="1"/>
  <c r="EG9" i="12"/>
  <c r="EF18" i="12"/>
  <c r="EF43" i="12" s="1"/>
  <c r="EF42" i="12" s="1"/>
  <c r="F49" i="2"/>
  <c r="E49" i="2"/>
  <c r="EF38" i="12" l="1"/>
  <c r="EF55" i="12" s="1"/>
  <c r="EF30" i="12" s="1"/>
  <c r="EI63" i="12"/>
  <c r="EN35" i="12"/>
  <c r="EN37" i="12"/>
  <c r="EO33" i="12"/>
  <c r="EN45" i="12"/>
  <c r="EB8" i="12"/>
  <c r="EA28" i="12"/>
  <c r="DY15" i="12"/>
  <c r="DZ12" i="12" s="1"/>
  <c r="DZ17" i="12" s="1"/>
  <c r="EH9" i="12"/>
  <c r="EO37" i="12" l="1"/>
  <c r="EP33" i="12"/>
  <c r="EO45" i="12"/>
  <c r="EO35" i="12"/>
  <c r="EP35" i="12" s="1"/>
  <c r="EC8" i="12"/>
  <c r="EB28" i="12"/>
  <c r="DZ15" i="12"/>
  <c r="EA12" i="12" s="1"/>
  <c r="EA17" i="12" s="1"/>
  <c r="EI9" i="12"/>
  <c r="EH18" i="12"/>
  <c r="EH43" i="12" s="1"/>
  <c r="EH42" i="12" s="1"/>
  <c r="EH38" i="12" l="1"/>
  <c r="EH55" i="12" s="1"/>
  <c r="EH30" i="12" s="1"/>
  <c r="EK63" i="12"/>
  <c r="EQ33" i="12"/>
  <c r="EP37" i="12"/>
  <c r="EQ37" i="12" s="1"/>
  <c r="ED8" i="12"/>
  <c r="EC28" i="12"/>
  <c r="EA15" i="12"/>
  <c r="EB12" i="12" s="1"/>
  <c r="EB17" i="12" s="1"/>
  <c r="EJ9" i="12"/>
  <c r="EI18" i="12"/>
  <c r="EI43" i="12" s="1"/>
  <c r="EI42" i="12" s="1"/>
  <c r="EI38" i="12" l="1"/>
  <c r="EI55" i="12" s="1"/>
  <c r="EI30" i="12" s="1"/>
  <c r="EL63" i="12"/>
  <c r="ER33" i="12"/>
  <c r="EQ45" i="12"/>
  <c r="EQ35" i="12"/>
  <c r="EE8" i="12"/>
  <c r="ED28" i="12"/>
  <c r="EB15" i="12"/>
  <c r="EC12" i="12" s="1"/>
  <c r="EC17" i="12" s="1"/>
  <c r="EK9" i="12"/>
  <c r="ER35" i="12" l="1"/>
  <c r="ES33" i="12"/>
  <c r="ER45" i="12"/>
  <c r="ER37" i="12"/>
  <c r="EF8" i="12"/>
  <c r="EE28" i="12"/>
  <c r="EC15" i="12"/>
  <c r="ED12" i="12" s="1"/>
  <c r="ED17" i="12" s="1"/>
  <c r="EL9" i="12"/>
  <c r="EK18" i="12"/>
  <c r="EK43" i="12" s="1"/>
  <c r="EK42" i="12" l="1"/>
  <c r="EK38" i="12" s="1"/>
  <c r="EK55" i="12" s="1"/>
  <c r="EK30" i="12" s="1"/>
  <c r="ES37" i="12"/>
  <c r="ES35" i="12"/>
  <c r="ET33" i="12"/>
  <c r="EG8" i="12"/>
  <c r="EF28" i="12"/>
  <c r="ED15" i="12"/>
  <c r="EE12" i="12" s="1"/>
  <c r="EE17" i="12" s="1"/>
  <c r="EM9" i="12"/>
  <c r="EL18" i="12"/>
  <c r="EL43" i="12" s="1"/>
  <c r="EL42" i="12" s="1"/>
  <c r="EN63" i="12" l="1"/>
  <c r="EL38" i="12"/>
  <c r="EL55" i="12" s="1"/>
  <c r="EL30" i="12" s="1"/>
  <c r="EO63" i="12"/>
  <c r="EU33" i="12"/>
  <c r="ET45" i="12"/>
  <c r="ET35" i="12"/>
  <c r="ET37" i="12"/>
  <c r="EH8" i="12"/>
  <c r="EG28" i="12"/>
  <c r="EE15" i="12"/>
  <c r="EF12" i="12" s="1"/>
  <c r="EF17" i="12" s="1"/>
  <c r="EN9" i="12"/>
  <c r="EU35" i="12" l="1"/>
  <c r="EU37" i="12"/>
  <c r="EV33" i="12"/>
  <c r="EU45" i="12"/>
  <c r="EI8" i="12"/>
  <c r="EH28" i="12"/>
  <c r="EF15" i="12"/>
  <c r="EG12" i="12" s="1"/>
  <c r="EG17" i="12" s="1"/>
  <c r="EO9" i="12"/>
  <c r="EN18" i="12"/>
  <c r="EN43" i="12" s="1"/>
  <c r="EN42" i="12" s="1"/>
  <c r="EN38" i="12" l="1"/>
  <c r="EN55" i="12" s="1"/>
  <c r="EN30" i="12" s="1"/>
  <c r="EQ63" i="12"/>
  <c r="EW33" i="12"/>
  <c r="EV35" i="12"/>
  <c r="EW35" i="12" s="1"/>
  <c r="EV37" i="12"/>
  <c r="EW37" i="12" s="1"/>
  <c r="EJ8" i="12"/>
  <c r="EI28" i="12"/>
  <c r="EG15" i="12"/>
  <c r="EH12" i="12" s="1"/>
  <c r="EH17" i="12" s="1"/>
  <c r="EP9" i="12"/>
  <c r="EO18" i="12"/>
  <c r="EO43" i="12" s="1"/>
  <c r="EO42" i="12" s="1"/>
  <c r="EO38" i="12" l="1"/>
  <c r="EO55" i="12" s="1"/>
  <c r="EO30" i="12" s="1"/>
  <c r="ER63" i="12"/>
  <c r="EX33" i="12"/>
  <c r="EX35" i="12" s="1"/>
  <c r="EW45" i="12"/>
  <c r="EK8" i="12"/>
  <c r="EJ28" i="12"/>
  <c r="EH15" i="12"/>
  <c r="EI12" i="12" s="1"/>
  <c r="EI17" i="12" s="1"/>
  <c r="EQ9" i="12"/>
  <c r="EY33" i="12" l="1"/>
  <c r="EX45" i="12"/>
  <c r="EX37" i="12"/>
  <c r="EL8" i="12"/>
  <c r="EK28" i="12"/>
  <c r="EI15" i="12"/>
  <c r="EJ12" i="12" s="1"/>
  <c r="EJ17" i="12" s="1"/>
  <c r="ER9" i="12"/>
  <c r="EQ18" i="12"/>
  <c r="EQ43" i="12" s="1"/>
  <c r="EQ42" i="12" s="1"/>
  <c r="EQ38" i="12" l="1"/>
  <c r="EQ55" i="12" s="1"/>
  <c r="EQ30" i="12" s="1"/>
  <c r="ET63" i="12"/>
  <c r="EY37" i="12"/>
  <c r="EZ33" i="12"/>
  <c r="EY35" i="12"/>
  <c r="EM8" i="12"/>
  <c r="EL28" i="12"/>
  <c r="EJ15" i="12"/>
  <c r="EK12" i="12" s="1"/>
  <c r="EK17" i="12" s="1"/>
  <c r="ES9" i="12"/>
  <c r="ER18" i="12"/>
  <c r="ER43" i="12" s="1"/>
  <c r="ER42" i="12" s="1"/>
  <c r="ER38" i="12" l="1"/>
  <c r="ER55" i="12" s="1"/>
  <c r="ER30" i="12" s="1"/>
  <c r="EU63" i="12"/>
  <c r="EZ35" i="12"/>
  <c r="FA33" i="12"/>
  <c r="EZ45" i="12"/>
  <c r="EZ37" i="12"/>
  <c r="FA37" i="12" s="1"/>
  <c r="EN8" i="12"/>
  <c r="EM28" i="12"/>
  <c r="EK15" i="12"/>
  <c r="EL12" i="12" s="1"/>
  <c r="EL17" i="12" s="1"/>
  <c r="ET9" i="12"/>
  <c r="FB33" i="12" l="1"/>
  <c r="FA45" i="12"/>
  <c r="FA35" i="12"/>
  <c r="FB35" i="12" s="1"/>
  <c r="EO8" i="12"/>
  <c r="EN28" i="12"/>
  <c r="EL15" i="12"/>
  <c r="EM12" i="12" s="1"/>
  <c r="EM17" i="12" s="1"/>
  <c r="EU9" i="12"/>
  <c r="ET18" i="12"/>
  <c r="ET43" i="12" s="1"/>
  <c r="ET42" i="12" s="1"/>
  <c r="ET38" i="12" l="1"/>
  <c r="ET55" i="12" s="1"/>
  <c r="ET30" i="12" s="1"/>
  <c r="EW63" i="12"/>
  <c r="FC33" i="12"/>
  <c r="FC35" i="12" s="1"/>
  <c r="FB37" i="12"/>
  <c r="EP8" i="12"/>
  <c r="EO28" i="12"/>
  <c r="EM15" i="12"/>
  <c r="EN12" i="12" s="1"/>
  <c r="EN17" i="12" s="1"/>
  <c r="EV9" i="12"/>
  <c r="EU18" i="12"/>
  <c r="EU43" i="12" s="1"/>
  <c r="EU42" i="12" s="1"/>
  <c r="EU38" i="12" l="1"/>
  <c r="EU55" i="12" s="1"/>
  <c r="EU30" i="12" s="1"/>
  <c r="EX63" i="12"/>
  <c r="FC37" i="12"/>
  <c r="FD33" i="12"/>
  <c r="FC45" i="12"/>
  <c r="EQ8" i="12"/>
  <c r="EP28" i="12"/>
  <c r="EN15" i="12"/>
  <c r="EO12" i="12" s="1"/>
  <c r="EO17" i="12" s="1"/>
  <c r="EW9" i="12"/>
  <c r="FD37" i="12" l="1"/>
  <c r="FE33" i="12"/>
  <c r="FD45" i="12"/>
  <c r="FD35" i="12"/>
  <c r="FE35" i="12" s="1"/>
  <c r="ER8" i="12"/>
  <c r="EQ28" i="12"/>
  <c r="EO15" i="12"/>
  <c r="EP12" i="12" s="1"/>
  <c r="EP17" i="12" s="1"/>
  <c r="EX9" i="12"/>
  <c r="EW18" i="12"/>
  <c r="EW43" i="12" s="1"/>
  <c r="EW42" i="12" l="1"/>
  <c r="EW38" i="12" s="1"/>
  <c r="EW55" i="12" s="1"/>
  <c r="EW30" i="12" s="1"/>
  <c r="FF33" i="12"/>
  <c r="FF35" i="12" s="1"/>
  <c r="FE37" i="12"/>
  <c r="ES8" i="12"/>
  <c r="ER28" i="12"/>
  <c r="EP15" i="12"/>
  <c r="EQ12" i="12" s="1"/>
  <c r="EQ17" i="12" s="1"/>
  <c r="EY9" i="12"/>
  <c r="EX18" i="12"/>
  <c r="EX43" i="12" s="1"/>
  <c r="EX42" i="12" s="1"/>
  <c r="EZ63" i="12" l="1"/>
  <c r="FF37" i="12"/>
  <c r="EX38" i="12"/>
  <c r="EX55" i="12" s="1"/>
  <c r="EX30" i="12" s="1"/>
  <c r="FA63" i="12"/>
  <c r="FG33" i="12"/>
  <c r="FG37" i="12" s="1"/>
  <c r="FF45" i="12"/>
  <c r="ET8" i="12"/>
  <c r="ES28" i="12"/>
  <c r="EQ15" i="12"/>
  <c r="ER12" i="12" s="1"/>
  <c r="ER17" i="12" s="1"/>
  <c r="EZ9" i="12"/>
  <c r="FH33" i="12" l="1"/>
  <c r="FG45" i="12"/>
  <c r="FG35" i="12"/>
  <c r="FH35" i="12" s="1"/>
  <c r="EU8" i="12"/>
  <c r="ET28" i="12"/>
  <c r="ER15" i="12"/>
  <c r="ES12" i="12" s="1"/>
  <c r="ES17" i="12" s="1"/>
  <c r="FA9" i="12"/>
  <c r="EZ18" i="12"/>
  <c r="EZ43" i="12" s="1"/>
  <c r="EZ42" i="12" s="1"/>
  <c r="EZ38" i="12" l="1"/>
  <c r="EZ55" i="12" s="1"/>
  <c r="EZ30" i="12" s="1"/>
  <c r="FC63" i="12"/>
  <c r="FI33" i="12"/>
  <c r="FH37" i="12"/>
  <c r="EV8" i="12"/>
  <c r="EU28" i="12"/>
  <c r="ES15" i="12"/>
  <c r="ET12" i="12" s="1"/>
  <c r="ET17" i="12" s="1"/>
  <c r="FB9" i="12"/>
  <c r="FA18" i="12"/>
  <c r="FA43" i="12" s="1"/>
  <c r="FA42" i="12" s="1"/>
  <c r="FI37" i="12" l="1"/>
  <c r="FA38" i="12"/>
  <c r="FA55" i="12" s="1"/>
  <c r="FA30" i="12" s="1"/>
  <c r="FD63" i="12"/>
  <c r="FJ33" i="12"/>
  <c r="FI45" i="12"/>
  <c r="FI35" i="12"/>
  <c r="FJ35" i="12" s="1"/>
  <c r="EW8" i="12"/>
  <c r="EV28" i="12"/>
  <c r="ET15" i="12"/>
  <c r="EU12" i="12" s="1"/>
  <c r="EU17" i="12" s="1"/>
  <c r="FC9" i="12"/>
  <c r="FK33" i="12" l="1"/>
  <c r="FJ45" i="12"/>
  <c r="FJ37" i="12"/>
  <c r="FK37" i="12" s="1"/>
  <c r="EW28" i="12"/>
  <c r="EX8" i="12"/>
  <c r="EU15" i="12"/>
  <c r="EV12" i="12" s="1"/>
  <c r="EV17" i="12" s="1"/>
  <c r="FD9" i="12"/>
  <c r="FC18" i="12"/>
  <c r="FC43" i="12" s="1"/>
  <c r="FC42" i="12" s="1"/>
  <c r="FC38" i="12" l="1"/>
  <c r="FC55" i="12" s="1"/>
  <c r="FC30" i="12" s="1"/>
  <c r="FF63" i="12"/>
  <c r="FL33" i="12"/>
  <c r="FK35" i="12"/>
  <c r="FL35" i="12" s="1"/>
  <c r="EY8" i="12"/>
  <c r="EX28" i="12"/>
  <c r="EV15" i="12"/>
  <c r="EW12" i="12" s="1"/>
  <c r="EW17" i="12" s="1"/>
  <c r="FE9" i="12"/>
  <c r="FD18" i="12"/>
  <c r="FD43" i="12" s="1"/>
  <c r="FD42" i="12" s="1"/>
  <c r="FD38" i="12" l="1"/>
  <c r="FD55" i="12" s="1"/>
  <c r="FD30" i="12" s="1"/>
  <c r="FG63" i="12"/>
  <c r="FM33" i="12"/>
  <c r="FL45" i="12"/>
  <c r="FL37" i="12"/>
  <c r="EZ8" i="12"/>
  <c r="EY28" i="12"/>
  <c r="EW15" i="12"/>
  <c r="EX12" i="12" s="1"/>
  <c r="EX17" i="12" s="1"/>
  <c r="FF9" i="12"/>
  <c r="FM37" i="12" l="1"/>
  <c r="FN33" i="12"/>
  <c r="FM45" i="12"/>
  <c r="FM35" i="12"/>
  <c r="FN35" i="12" s="1"/>
  <c r="FA8" i="12"/>
  <c r="EZ28" i="12"/>
  <c r="EX15" i="12"/>
  <c r="EY12" i="12" s="1"/>
  <c r="EY17" i="12" s="1"/>
  <c r="FG9" i="12"/>
  <c r="FF18" i="12"/>
  <c r="FF43" i="12" s="1"/>
  <c r="FF42" i="12" s="1"/>
  <c r="FF38" i="12" l="1"/>
  <c r="FF55" i="12" s="1"/>
  <c r="FF30" i="12" s="1"/>
  <c r="FI63" i="12"/>
  <c r="FO33" i="12"/>
  <c r="FN37" i="12"/>
  <c r="FB8" i="12"/>
  <c r="FA28" i="12"/>
  <c r="EY15" i="12"/>
  <c r="EZ12" i="12" s="1"/>
  <c r="EZ17" i="12" s="1"/>
  <c r="FH9" i="12"/>
  <c r="FG18" i="12"/>
  <c r="FG43" i="12" s="1"/>
  <c r="FG42" i="12" s="1"/>
  <c r="FO37" i="12" l="1"/>
  <c r="FG38" i="12"/>
  <c r="FG55" i="12" s="1"/>
  <c r="FG30" i="12" s="1"/>
  <c r="FJ63" i="12"/>
  <c r="FP33" i="12"/>
  <c r="FO45" i="12"/>
  <c r="FO35" i="12"/>
  <c r="FP35" i="12" s="1"/>
  <c r="FC8" i="12"/>
  <c r="FB28" i="12"/>
  <c r="EZ15" i="12"/>
  <c r="FA12" i="12" s="1"/>
  <c r="FA17" i="12" s="1"/>
  <c r="FI9" i="12"/>
  <c r="FQ33" i="12" l="1"/>
  <c r="FP45" i="12"/>
  <c r="FP37" i="12"/>
  <c r="FQ37" i="12" s="1"/>
  <c r="FD8" i="12"/>
  <c r="FC28" i="12"/>
  <c r="FA15" i="12"/>
  <c r="FB12" i="12" s="1"/>
  <c r="FB17" i="12" s="1"/>
  <c r="FJ9" i="12"/>
  <c r="FI18" i="12"/>
  <c r="FI43" i="12" s="1"/>
  <c r="FI42" i="12" l="1"/>
  <c r="FI38" i="12" s="1"/>
  <c r="FI55" i="12" s="1"/>
  <c r="FI30" i="12" s="1"/>
  <c r="FR33" i="12"/>
  <c r="FQ35" i="12"/>
  <c r="FR35" i="12" s="1"/>
  <c r="FE8" i="12"/>
  <c r="FD28" i="12"/>
  <c r="FB15" i="12"/>
  <c r="FC12" i="12" s="1"/>
  <c r="FC17" i="12" s="1"/>
  <c r="FK9" i="12"/>
  <c r="FJ18" i="12"/>
  <c r="FJ43" i="12" s="1"/>
  <c r="FJ42" i="12" s="1"/>
  <c r="FL63" i="12" l="1"/>
  <c r="FJ38" i="12"/>
  <c r="FJ55" i="12" s="1"/>
  <c r="FJ30" i="12" s="1"/>
  <c r="FM63" i="12"/>
  <c r="FS33" i="12"/>
  <c r="FR45" i="12"/>
  <c r="FR37" i="12"/>
  <c r="FF8" i="12"/>
  <c r="FE28" i="12"/>
  <c r="FC15" i="12"/>
  <c r="FD12" i="12" s="1"/>
  <c r="FD17" i="12" s="1"/>
  <c r="FL9" i="12"/>
  <c r="FS37" i="12" l="1"/>
  <c r="FT33" i="12"/>
  <c r="FS45" i="12"/>
  <c r="FS35" i="12"/>
  <c r="FT35" i="12" s="1"/>
  <c r="FG8" i="12"/>
  <c r="FF28" i="12"/>
  <c r="FD15" i="12"/>
  <c r="FE12" i="12" s="1"/>
  <c r="FE17" i="12" s="1"/>
  <c r="FM9" i="12"/>
  <c r="FL18" i="12"/>
  <c r="FL43" i="12" s="1"/>
  <c r="FL42" i="12" s="1"/>
  <c r="FL38" i="12" l="1"/>
  <c r="FL55" i="12" s="1"/>
  <c r="FL30" i="12" s="1"/>
  <c r="FO63" i="12"/>
  <c r="FT37" i="12"/>
  <c r="FU33" i="12"/>
  <c r="FU37" i="12" s="1"/>
  <c r="FH8" i="12"/>
  <c r="FG28" i="12"/>
  <c r="FE15" i="12"/>
  <c r="FF12" i="12" s="1"/>
  <c r="FF17" i="12" s="1"/>
  <c r="FN9" i="12"/>
  <c r="FM18" i="12"/>
  <c r="FM43" i="12" s="1"/>
  <c r="FM42" i="12" s="1"/>
  <c r="FM38" i="12" l="1"/>
  <c r="FM55" i="12" s="1"/>
  <c r="FM30" i="12" s="1"/>
  <c r="FP63" i="12"/>
  <c r="FV33" i="12"/>
  <c r="FU35" i="12"/>
  <c r="FV35" i="12" s="1"/>
  <c r="FI8" i="12"/>
  <c r="FH28" i="12"/>
  <c r="FF15" i="12"/>
  <c r="FG12" i="12" s="1"/>
  <c r="FG17" i="12" s="1"/>
  <c r="FO9" i="12"/>
  <c r="FW33" i="12" l="1"/>
  <c r="FV45" i="12"/>
  <c r="FV37" i="12"/>
  <c r="FW37" i="12" s="1"/>
  <c r="FI28" i="12"/>
  <c r="FJ8" i="12"/>
  <c r="FG15" i="12"/>
  <c r="FH12" i="12" s="1"/>
  <c r="FH17" i="12" s="1"/>
  <c r="FP9" i="12"/>
  <c r="FO18" i="12"/>
  <c r="FO43" i="12" s="1"/>
  <c r="FO42" i="12" s="1"/>
  <c r="FO38" i="12" l="1"/>
  <c r="FO55" i="12" s="1"/>
  <c r="FO30" i="12" s="1"/>
  <c r="FR63" i="12"/>
  <c r="FX33" i="12"/>
  <c r="FW35" i="12"/>
  <c r="FK8" i="12"/>
  <c r="FJ28" i="12"/>
  <c r="FH15" i="12"/>
  <c r="FI12" i="12" s="1"/>
  <c r="FI17" i="12" s="1"/>
  <c r="FQ9" i="12"/>
  <c r="FP18" i="12"/>
  <c r="FP43" i="12" s="1"/>
  <c r="FP42" i="12" s="1"/>
  <c r="FP38" i="12" l="1"/>
  <c r="FP55" i="12" s="1"/>
  <c r="FP30" i="12" s="1"/>
  <c r="FS63" i="12"/>
  <c r="FX35" i="12"/>
  <c r="FY33" i="12"/>
  <c r="FX45" i="12"/>
  <c r="FX37" i="12"/>
  <c r="FL8" i="12"/>
  <c r="FK28" i="12"/>
  <c r="FI15" i="12"/>
  <c r="FJ12" i="12" s="1"/>
  <c r="FJ17" i="12" s="1"/>
  <c r="FR9" i="12"/>
  <c r="FY37" i="12" l="1"/>
  <c r="FZ33" i="12"/>
  <c r="FY45" i="12"/>
  <c r="FY35" i="12"/>
  <c r="FZ35" i="12" s="1"/>
  <c r="FM8" i="12"/>
  <c r="FL28" i="12"/>
  <c r="FJ15" i="12"/>
  <c r="FK12" i="12" s="1"/>
  <c r="FK17" i="12" s="1"/>
  <c r="FS9" i="12"/>
  <c r="FR18" i="12"/>
  <c r="FR43" i="12" s="1"/>
  <c r="FR42" i="12" s="1"/>
  <c r="FR38" i="12" l="1"/>
  <c r="FR55" i="12" s="1"/>
  <c r="FR30" i="12" s="1"/>
  <c r="FU63" i="12"/>
  <c r="GA33" i="12"/>
  <c r="FZ37" i="12"/>
  <c r="GA37" i="12" s="1"/>
  <c r="FN8" i="12"/>
  <c r="FM28" i="12"/>
  <c r="FK15" i="12"/>
  <c r="FL12" i="12" s="1"/>
  <c r="FL17" i="12" s="1"/>
  <c r="FT9" i="12"/>
  <c r="FS18" i="12"/>
  <c r="FS43" i="12" s="1"/>
  <c r="FS42" i="12" s="1"/>
  <c r="FS38" i="12" l="1"/>
  <c r="FS55" i="12" s="1"/>
  <c r="FS30" i="12" s="1"/>
  <c r="FV63" i="12"/>
  <c r="GB33" i="12"/>
  <c r="GA45" i="12"/>
  <c r="GA35" i="12"/>
  <c r="GB35" i="12" s="1"/>
  <c r="FO8" i="12"/>
  <c r="FN28" i="12"/>
  <c r="FL15" i="12"/>
  <c r="FM12" i="12" s="1"/>
  <c r="FM17" i="12" s="1"/>
  <c r="FU9" i="12"/>
  <c r="FU18" i="12" s="1"/>
  <c r="FU43" i="12" s="1"/>
  <c r="GC33" i="12" l="1"/>
  <c r="GB45" i="12"/>
  <c r="GB37" i="12"/>
  <c r="FP8" i="12"/>
  <c r="FO28" i="12"/>
  <c r="FM15" i="12"/>
  <c r="FN12" i="12" s="1"/>
  <c r="FN17" i="12" s="1"/>
  <c r="FV9" i="12"/>
  <c r="FV18" i="12" s="1"/>
  <c r="FV43" i="12" s="1"/>
  <c r="FV42" i="12" s="1"/>
  <c r="FY63" i="12" l="1"/>
  <c r="FV38" i="12"/>
  <c r="FV55" i="12" s="1"/>
  <c r="FV30" i="12" s="1"/>
  <c r="GC37" i="12"/>
  <c r="GD33" i="12"/>
  <c r="GC35" i="12"/>
  <c r="GD35" i="12" s="1"/>
  <c r="FQ8" i="12"/>
  <c r="FP28" i="12"/>
  <c r="FN15" i="12"/>
  <c r="FO12" i="12" s="1"/>
  <c r="FO17" i="12" s="1"/>
  <c r="FW9" i="12"/>
  <c r="GE33" i="12" l="1"/>
  <c r="GD45" i="12"/>
  <c r="GD37" i="12"/>
  <c r="GE37" i="12" s="1"/>
  <c r="FR8" i="12"/>
  <c r="FQ28" i="12"/>
  <c r="FO15" i="12"/>
  <c r="FP12" i="12" s="1"/>
  <c r="FP17" i="12" s="1"/>
  <c r="FX9" i="12"/>
  <c r="FX18" i="12" s="1"/>
  <c r="FX43" i="12" s="1"/>
  <c r="FX42" i="12" s="1"/>
  <c r="GA63" i="12" l="1"/>
  <c r="FX38" i="12"/>
  <c r="FX55" i="12" s="1"/>
  <c r="FX30" i="12" s="1"/>
  <c r="GF33" i="12"/>
  <c r="GE45" i="12"/>
  <c r="GE35" i="12"/>
  <c r="FS8" i="12"/>
  <c r="FR28" i="12"/>
  <c r="FP15" i="12"/>
  <c r="FQ12" i="12" s="1"/>
  <c r="FQ17" i="12" s="1"/>
  <c r="FY9" i="12"/>
  <c r="FY18" i="12" s="1"/>
  <c r="FY43" i="12" s="1"/>
  <c r="FY42" i="12" s="1"/>
  <c r="GB63" i="12" l="1"/>
  <c r="FY38" i="12"/>
  <c r="FY55" i="12" s="1"/>
  <c r="FY30" i="12" s="1"/>
  <c r="GF35" i="12"/>
  <c r="GF37" i="12"/>
  <c r="FT8" i="12"/>
  <c r="FS28" i="12"/>
  <c r="FQ15" i="12"/>
  <c r="FR12" i="12" s="1"/>
  <c r="FR17" i="12" s="1"/>
  <c r="FZ9" i="12"/>
  <c r="S16" i="11" l="1"/>
  <c r="G16" i="11"/>
  <c r="J16" i="11"/>
  <c r="R16" i="11"/>
  <c r="O16" i="11"/>
  <c r="L16" i="11"/>
  <c r="M16" i="11"/>
  <c r="K16" i="11"/>
  <c r="I10" i="11"/>
  <c r="H11" i="11"/>
  <c r="D23" i="11"/>
  <c r="Q10" i="11"/>
  <c r="F16" i="11"/>
  <c r="F23" i="11"/>
  <c r="M11" i="11"/>
  <c r="H16" i="11"/>
  <c r="I11" i="11"/>
  <c r="E14" i="11"/>
  <c r="G11" i="11"/>
  <c r="F14" i="11"/>
  <c r="D10" i="11"/>
  <c r="H10" i="11"/>
  <c r="H9" i="11" s="1"/>
  <c r="P11" i="11"/>
  <c r="Q16" i="11"/>
  <c r="P10" i="11"/>
  <c r="P9" i="11" s="1"/>
  <c r="M10" i="11"/>
  <c r="N11" i="11"/>
  <c r="G10" i="11"/>
  <c r="G9" i="11" s="1"/>
  <c r="J11" i="11"/>
  <c r="L11" i="11"/>
  <c r="D24" i="11"/>
  <c r="K11" i="11"/>
  <c r="R10" i="11"/>
  <c r="O10" i="11"/>
  <c r="O9" i="11" s="1"/>
  <c r="O11" i="11"/>
  <c r="L10" i="11"/>
  <c r="K10" i="11"/>
  <c r="F11" i="11"/>
  <c r="F10" i="11"/>
  <c r="D14" i="11"/>
  <c r="R11" i="11"/>
  <c r="S10" i="11"/>
  <c r="N10" i="11"/>
  <c r="N9" i="11" s="1"/>
  <c r="D11" i="11"/>
  <c r="Q11" i="11"/>
  <c r="I16" i="11"/>
  <c r="F24" i="11"/>
  <c r="N16" i="11"/>
  <c r="S11" i="11"/>
  <c r="J10" i="11"/>
  <c r="E11" i="11"/>
  <c r="P16" i="11"/>
  <c r="E10" i="11"/>
  <c r="O14" i="11"/>
  <c r="E16" i="11"/>
  <c r="I14" i="11"/>
  <c r="N24" i="11"/>
  <c r="E23" i="11"/>
  <c r="D16" i="11"/>
  <c r="P23" i="11"/>
  <c r="J14" i="11"/>
  <c r="L14" i="11"/>
  <c r="H14" i="11"/>
  <c r="M14" i="11"/>
  <c r="Q14" i="11"/>
  <c r="N14" i="11"/>
  <c r="E24" i="11"/>
  <c r="S14" i="11"/>
  <c r="P14" i="11"/>
  <c r="R14" i="11"/>
  <c r="K14" i="11"/>
  <c r="G14" i="11"/>
  <c r="J23" i="11"/>
  <c r="J24" i="11"/>
  <c r="I24" i="11"/>
  <c r="H23" i="11"/>
  <c r="G23" i="11"/>
  <c r="H24" i="11"/>
  <c r="I23" i="11"/>
  <c r="I22" i="11" s="1"/>
  <c r="G24" i="11"/>
  <c r="S24" i="11"/>
  <c r="K23" i="11"/>
  <c r="L23" i="11"/>
  <c r="O24" i="11"/>
  <c r="M23" i="11"/>
  <c r="N23" i="11"/>
  <c r="S23" i="11"/>
  <c r="M24" i="11"/>
  <c r="K24" i="11"/>
  <c r="Q24" i="11"/>
  <c r="R24" i="11"/>
  <c r="O23" i="11"/>
  <c r="O22" i="11" s="1"/>
  <c r="P24" i="11"/>
  <c r="P22" i="11" s="1"/>
  <c r="R23" i="11"/>
  <c r="R22" i="11" s="1"/>
  <c r="Q23" i="11"/>
  <c r="L24" i="11"/>
  <c r="D17" i="11"/>
  <c r="FU8" i="12"/>
  <c r="FT28" i="12"/>
  <c r="FR15" i="12"/>
  <c r="FS12" i="12" s="1"/>
  <c r="FS17" i="12" s="1"/>
  <c r="GA9" i="12"/>
  <c r="GA18" i="12" s="1"/>
  <c r="GA43" i="12" s="1"/>
  <c r="GA42" i="12" s="1"/>
  <c r="Q22" i="11" l="1"/>
  <c r="J9" i="11"/>
  <c r="J22" i="11"/>
  <c r="N22" i="11"/>
  <c r="F22" i="11"/>
  <c r="S22" i="11"/>
  <c r="M9" i="11"/>
  <c r="F9" i="11"/>
  <c r="C24" i="11"/>
  <c r="M22" i="11"/>
  <c r="G22" i="11"/>
  <c r="E9" i="11"/>
  <c r="K9" i="11"/>
  <c r="D9" i="11"/>
  <c r="C10" i="11"/>
  <c r="H22" i="11"/>
  <c r="C11" i="11"/>
  <c r="L9" i="11"/>
  <c r="Q9" i="11"/>
  <c r="L22" i="11"/>
  <c r="C16" i="11"/>
  <c r="D22" i="11"/>
  <c r="C23" i="11"/>
  <c r="K22" i="11"/>
  <c r="E22" i="11"/>
  <c r="S9" i="11"/>
  <c r="GD63" i="12"/>
  <c r="GA38" i="12"/>
  <c r="GA55" i="12" s="1"/>
  <c r="GA30" i="12" s="1"/>
  <c r="R9" i="11"/>
  <c r="I9" i="11"/>
  <c r="FV8" i="12"/>
  <c r="FU28" i="12"/>
  <c r="D28" i="12" s="1"/>
  <c r="FS15" i="12"/>
  <c r="FT12" i="12" s="1"/>
  <c r="FT17" i="12" s="1"/>
  <c r="GB9" i="12"/>
  <c r="GB18" i="12" s="1"/>
  <c r="GB43" i="12" s="1"/>
  <c r="GB42" i="12" s="1"/>
  <c r="C22" i="11" l="1"/>
  <c r="C9" i="11"/>
  <c r="D28" i="11"/>
  <c r="E28" i="11" s="1"/>
  <c r="F28" i="11" s="1"/>
  <c r="G28" i="11" s="1"/>
  <c r="GE63" i="12"/>
  <c r="GB38" i="12"/>
  <c r="GB55" i="12" s="1"/>
  <c r="GB30" i="12" s="1"/>
  <c r="FW8" i="12"/>
  <c r="FT15" i="12"/>
  <c r="FU12" i="12" s="1"/>
  <c r="FU17" i="12" s="1"/>
  <c r="GC9" i="12"/>
  <c r="FX8" i="12" l="1"/>
  <c r="FU15" i="12"/>
  <c r="FV12" i="12" s="1"/>
  <c r="FV17" i="12" s="1"/>
  <c r="GD9" i="12"/>
  <c r="GD18" i="12" s="1"/>
  <c r="GD43" i="12" s="1"/>
  <c r="GD42" i="12" s="1"/>
  <c r="GG63" i="12" l="1"/>
  <c r="GD38" i="12"/>
  <c r="GD55" i="12" s="1"/>
  <c r="GD30" i="12" s="1"/>
  <c r="FY8" i="12"/>
  <c r="FV15" i="12"/>
  <c r="FW12" i="12" s="1"/>
  <c r="FW17" i="12" s="1"/>
  <c r="GE9" i="12"/>
  <c r="GE18" i="12" s="1"/>
  <c r="GE43" i="12" s="1"/>
  <c r="GE42" i="12" s="1"/>
  <c r="GH63" i="12" l="1"/>
  <c r="GE38" i="12"/>
  <c r="GE55" i="12" s="1"/>
  <c r="GE30" i="12" s="1"/>
  <c r="FZ8" i="12"/>
  <c r="FW18" i="12"/>
  <c r="FW15" i="12"/>
  <c r="FX12" i="12" s="1"/>
  <c r="FX17" i="12" s="1"/>
  <c r="GF9" i="12"/>
  <c r="FW43" i="12" l="1"/>
  <c r="FW42" i="12" s="1"/>
  <c r="FW38" i="12" s="1"/>
  <c r="F86" i="13"/>
  <c r="G86" i="13" s="1"/>
  <c r="GA8" i="12"/>
  <c r="FX15" i="12"/>
  <c r="FY12" i="12" s="1"/>
  <c r="FY17" i="12" s="1"/>
  <c r="FZ63" i="12" l="1"/>
  <c r="GB8" i="12"/>
  <c r="FY15" i="12"/>
  <c r="FZ12" i="12" s="1"/>
  <c r="FZ17" i="12" s="1"/>
  <c r="GC8" i="12" l="1"/>
  <c r="FZ18" i="12"/>
  <c r="FZ15" i="12"/>
  <c r="GA12" i="12" s="1"/>
  <c r="GA17" i="12" s="1"/>
  <c r="FZ43" i="12" l="1"/>
  <c r="FZ42" i="12" s="1"/>
  <c r="F87" i="13"/>
  <c r="G87" i="13" s="1"/>
  <c r="GD8" i="12"/>
  <c r="GA15" i="12"/>
  <c r="GB12" i="12" s="1"/>
  <c r="GB17" i="12" s="1"/>
  <c r="D41" i="9"/>
  <c r="GC63" i="12" l="1"/>
  <c r="FZ38" i="12"/>
  <c r="GE8" i="12"/>
  <c r="GB15" i="12"/>
  <c r="GC12" i="12" s="1"/>
  <c r="GC17" i="12" s="1"/>
  <c r="GF8" i="12" l="1"/>
  <c r="GC18" i="12"/>
  <c r="GC15" i="12"/>
  <c r="GD12" i="12" s="1"/>
  <c r="GD17" i="12" s="1"/>
  <c r="V42" i="2"/>
  <c r="T42" i="2" s="1"/>
  <c r="GC43" i="12" l="1"/>
  <c r="GC42" i="12" s="1"/>
  <c r="F88" i="13"/>
  <c r="G88" i="13" s="1"/>
  <c r="D52" i="3"/>
  <c r="P52" i="3"/>
  <c r="P27" i="3" s="1"/>
  <c r="K52" i="3"/>
  <c r="K27" i="3" s="1"/>
  <c r="H52" i="3"/>
  <c r="H27" i="3" s="1"/>
  <c r="M52" i="3"/>
  <c r="M27" i="3" s="1"/>
  <c r="O52" i="3"/>
  <c r="O27" i="3" s="1"/>
  <c r="N52" i="3"/>
  <c r="N27" i="3" s="1"/>
  <c r="L52" i="3"/>
  <c r="L27" i="3" s="1"/>
  <c r="Q52" i="3"/>
  <c r="Q27" i="3" s="1"/>
  <c r="R52" i="3"/>
  <c r="R27" i="3" s="1"/>
  <c r="I52" i="3"/>
  <c r="I27" i="3" s="1"/>
  <c r="G52" i="3"/>
  <c r="F52" i="3"/>
  <c r="F27" i="3" s="1"/>
  <c r="E52" i="3"/>
  <c r="E27" i="3" s="1"/>
  <c r="J52" i="3"/>
  <c r="J27" i="3" s="1"/>
  <c r="GD15" i="12"/>
  <c r="GE12" i="12" s="1"/>
  <c r="GE17" i="12" s="1"/>
  <c r="AJ41" i="2"/>
  <c r="GF63" i="12" l="1"/>
  <c r="GC38" i="12"/>
  <c r="D18" i="8"/>
  <c r="P59" i="9" s="1"/>
  <c r="P28" i="9"/>
  <c r="Z28" i="9"/>
  <c r="N18" i="8"/>
  <c r="Z59" i="9" s="1"/>
  <c r="Q28" i="9"/>
  <c r="E18" i="8"/>
  <c r="Q59" i="9" s="1"/>
  <c r="X28" i="9"/>
  <c r="L18" i="8"/>
  <c r="X59" i="9" s="1"/>
  <c r="G27" i="3"/>
  <c r="S28" i="9"/>
  <c r="G18" i="8"/>
  <c r="S59" i="9" s="1"/>
  <c r="T28" i="9"/>
  <c r="H18" i="8"/>
  <c r="T59" i="9" s="1"/>
  <c r="J18" i="8"/>
  <c r="V59" i="9" s="1"/>
  <c r="V28" i="9"/>
  <c r="Q18" i="8"/>
  <c r="AC59" i="9" s="1"/>
  <c r="AC28" i="9"/>
  <c r="O18" i="8"/>
  <c r="AA59" i="9" s="1"/>
  <c r="AA28" i="9"/>
  <c r="U28" i="9"/>
  <c r="I18" i="8"/>
  <c r="U59" i="9" s="1"/>
  <c r="AB28" i="9"/>
  <c r="P18" i="8"/>
  <c r="AB59" i="9" s="1"/>
  <c r="C52" i="3"/>
  <c r="C53" i="3" s="1"/>
  <c r="D27" i="3"/>
  <c r="D53" i="3"/>
  <c r="E50" i="3" s="1"/>
  <c r="E53" i="3" s="1"/>
  <c r="F50" i="3" s="1"/>
  <c r="F53" i="3" s="1"/>
  <c r="G50" i="3" s="1"/>
  <c r="G53" i="3" s="1"/>
  <c r="H50" i="3" s="1"/>
  <c r="H53" i="3" s="1"/>
  <c r="I50" i="3" s="1"/>
  <c r="I53" i="3" s="1"/>
  <c r="J50" i="3" s="1"/>
  <c r="J53" i="3" s="1"/>
  <c r="K50" i="3" s="1"/>
  <c r="K53" i="3" s="1"/>
  <c r="L50" i="3" s="1"/>
  <c r="L53" i="3" s="1"/>
  <c r="M50" i="3" s="1"/>
  <c r="M53" i="3" s="1"/>
  <c r="N50" i="3" s="1"/>
  <c r="N53" i="3" s="1"/>
  <c r="O50" i="3" s="1"/>
  <c r="O53" i="3" s="1"/>
  <c r="P50" i="3" s="1"/>
  <c r="P53" i="3" s="1"/>
  <c r="Q50" i="3" s="1"/>
  <c r="Q53" i="3" s="1"/>
  <c r="R50" i="3" s="1"/>
  <c r="R53" i="3" s="1"/>
  <c r="M18" i="8"/>
  <c r="Y59" i="9" s="1"/>
  <c r="Y28" i="9"/>
  <c r="K18" i="8"/>
  <c r="W59" i="9" s="1"/>
  <c r="W28" i="9"/>
  <c r="GE15" i="12"/>
  <c r="GF12" i="12" s="1"/>
  <c r="GF17" i="12" s="1"/>
  <c r="AJ39" i="2"/>
  <c r="AJ22" i="2" s="1"/>
  <c r="F18" i="8" l="1"/>
  <c r="R59" i="9" s="1"/>
  <c r="R28" i="9"/>
  <c r="C18" i="8"/>
  <c r="O28" i="9"/>
  <c r="AD28" i="9" s="1"/>
  <c r="C27" i="3"/>
  <c r="GF18" i="12"/>
  <c r="GF43" i="12" s="1"/>
  <c r="GF15" i="12"/>
  <c r="AJ10" i="2"/>
  <c r="AJ9" i="2" s="1"/>
  <c r="AJ25" i="2" s="1"/>
  <c r="GF42" i="12" l="1"/>
  <c r="C14" i="11"/>
  <c r="O59" i="9"/>
  <c r="S18" i="8"/>
  <c r="H28" i="11"/>
  <c r="I28" i="11" s="1"/>
  <c r="J28" i="11" s="1"/>
  <c r="K28" i="11" s="1"/>
  <c r="L28" i="11" s="1"/>
  <c r="M28" i="11" s="1"/>
  <c r="N28" i="11" s="1"/>
  <c r="O28" i="11" s="1"/>
  <c r="P28" i="11" s="1"/>
  <c r="Q28" i="11" s="1"/>
  <c r="R28" i="11" s="1"/>
  <c r="S28" i="11" s="1"/>
  <c r="ES18" i="12"/>
  <c r="BA18" i="12"/>
  <c r="FH18" i="12"/>
  <c r="EJ18" i="12"/>
  <c r="CN18" i="12"/>
  <c r="CE18" i="12"/>
  <c r="AI18" i="12"/>
  <c r="CT18" i="12"/>
  <c r="CB18" i="12"/>
  <c r="CT43" i="12" l="1"/>
  <c r="CT42" i="12" s="1"/>
  <c r="CW63" i="12" s="1"/>
  <c r="F59" i="13"/>
  <c r="G59" i="13" s="1"/>
  <c r="BA43" i="12"/>
  <c r="BA42" i="12" s="1"/>
  <c r="BD63" i="12" s="1"/>
  <c r="F44" i="13"/>
  <c r="G44" i="13" s="1"/>
  <c r="CE43" i="12"/>
  <c r="F54" i="13"/>
  <c r="G54" i="13" s="1"/>
  <c r="CB43" i="12"/>
  <c r="CB42" i="12" s="1"/>
  <c r="CE63" i="12" s="1"/>
  <c r="F53" i="13"/>
  <c r="G53" i="13" s="1"/>
  <c r="CN43" i="12"/>
  <c r="CN42" i="12" s="1"/>
  <c r="CQ63" i="12" s="1"/>
  <c r="F57" i="13"/>
  <c r="G57" i="13" s="1"/>
  <c r="FH43" i="12"/>
  <c r="FH42" i="12" s="1"/>
  <c r="FK63" i="12" s="1"/>
  <c r="F81" i="13"/>
  <c r="G81" i="13" s="1"/>
  <c r="ES43" i="12"/>
  <c r="ES42" i="12" s="1"/>
  <c r="EV63" i="12" s="1"/>
  <c r="F76" i="13"/>
  <c r="G76" i="13" s="1"/>
  <c r="EJ43" i="12"/>
  <c r="EJ42" i="12" s="1"/>
  <c r="EM63" i="12" s="1"/>
  <c r="F73" i="13"/>
  <c r="G73" i="13" s="1"/>
  <c r="AI43" i="12"/>
  <c r="AI42" i="12" s="1"/>
  <c r="AL63" i="12" s="1"/>
  <c r="F38" i="13"/>
  <c r="G38" i="13" s="1"/>
  <c r="GI63" i="12"/>
  <c r="GF38" i="12"/>
  <c r="CE42" i="12"/>
  <c r="CH63" i="12" s="1"/>
  <c r="BA38" i="12"/>
  <c r="R56" i="3"/>
  <c r="S13" i="11"/>
  <c r="W18" i="12"/>
  <c r="Q18" i="12"/>
  <c r="FT18" i="12"/>
  <c r="DX18" i="12"/>
  <c r="FN18" i="12"/>
  <c r="CW18" i="12"/>
  <c r="D17" i="12"/>
  <c r="BP18" i="12"/>
  <c r="DI18" i="12"/>
  <c r="FQ18" i="12"/>
  <c r="EY18" i="12"/>
  <c r="F78" i="13" s="1"/>
  <c r="G78" i="13" s="1"/>
  <c r="DF18" i="12"/>
  <c r="CZ18" i="12"/>
  <c r="BY18" i="12"/>
  <c r="BS18" i="12"/>
  <c r="F50" i="13" s="1"/>
  <c r="G50" i="13" s="1"/>
  <c r="Z18" i="12"/>
  <c r="AC18" i="12"/>
  <c r="K18" i="12"/>
  <c r="DU18" i="12"/>
  <c r="BJ18" i="12"/>
  <c r="EM18" i="12"/>
  <c r="T18" i="12"/>
  <c r="N18" i="12"/>
  <c r="F31" i="13" s="1"/>
  <c r="G31" i="13" s="1"/>
  <c r="EV18" i="12"/>
  <c r="AX18" i="12"/>
  <c r="AO18" i="12"/>
  <c r="ED18" i="12"/>
  <c r="FE18" i="12"/>
  <c r="H18" i="12"/>
  <c r="F29" i="13" s="1"/>
  <c r="G29" i="13" s="1"/>
  <c r="DR18" i="12"/>
  <c r="DC18" i="12"/>
  <c r="EG18" i="12"/>
  <c r="CK18" i="12"/>
  <c r="F56" i="13" s="1"/>
  <c r="G56" i="13" s="1"/>
  <c r="CQ18" i="12"/>
  <c r="AF18" i="12"/>
  <c r="CH18" i="12"/>
  <c r="FK18" i="12"/>
  <c r="F82" i="13" s="1"/>
  <c r="G82" i="13" s="1"/>
  <c r="BV18" i="12"/>
  <c r="BG18" i="12"/>
  <c r="F46" i="13" s="1"/>
  <c r="G46" i="13" s="1"/>
  <c r="AR18" i="12"/>
  <c r="F41" i="13" s="1"/>
  <c r="G41" i="13" s="1"/>
  <c r="FB18" i="12"/>
  <c r="AU18" i="12"/>
  <c r="EP18" i="12"/>
  <c r="BM18" i="12"/>
  <c r="EA18" i="12"/>
  <c r="BD18" i="12"/>
  <c r="DL18" i="12"/>
  <c r="AL18" i="12"/>
  <c r="DO18" i="12"/>
  <c r="CT38" i="12" l="1"/>
  <c r="ES38" i="12"/>
  <c r="FH38" i="12"/>
  <c r="CN38" i="12"/>
  <c r="EG43" i="12"/>
  <c r="EG42" i="12" s="1"/>
  <c r="EJ63" i="12" s="1"/>
  <c r="F72" i="13"/>
  <c r="G72" i="13" s="1"/>
  <c r="DO43" i="12"/>
  <c r="DO42" i="12" s="1"/>
  <c r="DR63" i="12" s="1"/>
  <c r="F66" i="13"/>
  <c r="G66" i="13" s="1"/>
  <c r="FB43" i="12"/>
  <c r="FB42" i="12" s="1"/>
  <c r="FE63" i="12" s="1"/>
  <c r="F79" i="13"/>
  <c r="G79" i="13" s="1"/>
  <c r="AX43" i="12"/>
  <c r="AX42" i="12" s="1"/>
  <c r="BA63" i="12" s="1"/>
  <c r="F43" i="13"/>
  <c r="G43" i="13" s="1"/>
  <c r="DI43" i="12"/>
  <c r="DI42" i="12" s="1"/>
  <c r="DL63" i="12" s="1"/>
  <c r="F64" i="13"/>
  <c r="G64" i="13" s="1"/>
  <c r="BV43" i="12"/>
  <c r="BV42" i="12" s="1"/>
  <c r="BY63" i="12" s="1"/>
  <c r="F51" i="13"/>
  <c r="G51" i="13" s="1"/>
  <c r="DR43" i="12"/>
  <c r="DR42" i="12" s="1"/>
  <c r="DU63" i="12" s="1"/>
  <c r="F67" i="13"/>
  <c r="G67" i="13" s="1"/>
  <c r="BY43" i="12"/>
  <c r="BY42" i="12" s="1"/>
  <c r="CB63" i="12" s="1"/>
  <c r="F52" i="13"/>
  <c r="G52" i="13" s="1"/>
  <c r="CW43" i="12"/>
  <c r="CW42" i="12" s="1"/>
  <c r="CZ63" i="12" s="1"/>
  <c r="F60" i="13"/>
  <c r="G60" i="13" s="1"/>
  <c r="EJ38" i="12"/>
  <c r="EM43" i="12"/>
  <c r="EM42" i="12" s="1"/>
  <c r="EP63" i="12" s="1"/>
  <c r="F74" i="13"/>
  <c r="G74" i="13" s="1"/>
  <c r="CZ43" i="12"/>
  <c r="CZ42" i="12" s="1"/>
  <c r="DC63" i="12" s="1"/>
  <c r="F61" i="13"/>
  <c r="G61" i="13" s="1"/>
  <c r="FN43" i="12"/>
  <c r="FN42" i="12" s="1"/>
  <c r="FQ63" i="12" s="1"/>
  <c r="F83" i="13"/>
  <c r="G83" i="13" s="1"/>
  <c r="BD43" i="12"/>
  <c r="BD42" i="12" s="1"/>
  <c r="BG63" i="12" s="1"/>
  <c r="F45" i="13"/>
  <c r="G45" i="13" s="1"/>
  <c r="EA43" i="12"/>
  <c r="EA42" i="12" s="1"/>
  <c r="ED63" i="12" s="1"/>
  <c r="F70" i="13"/>
  <c r="G70" i="13" s="1"/>
  <c r="BM43" i="12"/>
  <c r="BM42" i="12" s="1"/>
  <c r="BP63" i="12" s="1"/>
  <c r="F48" i="13"/>
  <c r="G48" i="13" s="1"/>
  <c r="CH43" i="12"/>
  <c r="CH42" i="12" s="1"/>
  <c r="CK63" i="12" s="1"/>
  <c r="F55" i="13"/>
  <c r="G55" i="13" s="1"/>
  <c r="FE43" i="12"/>
  <c r="FE42" i="12" s="1"/>
  <c r="FH63" i="12" s="1"/>
  <c r="F80" i="13"/>
  <c r="G80" i="13" s="1"/>
  <c r="BJ43" i="12"/>
  <c r="BJ42" i="12" s="1"/>
  <c r="BM63" i="12" s="1"/>
  <c r="F47" i="13"/>
  <c r="G47" i="13" s="1"/>
  <c r="DF43" i="12"/>
  <c r="DF42" i="12" s="1"/>
  <c r="DI63" i="12" s="1"/>
  <c r="F63" i="13"/>
  <c r="G63" i="13" s="1"/>
  <c r="DX43" i="12"/>
  <c r="DX42" i="12" s="1"/>
  <c r="EA63" i="12" s="1"/>
  <c r="F69" i="13"/>
  <c r="G69" i="13" s="1"/>
  <c r="CB38" i="12"/>
  <c r="EV43" i="12"/>
  <c r="EV42" i="12" s="1"/>
  <c r="EY63" i="12" s="1"/>
  <c r="F77" i="13"/>
  <c r="G77" i="13" s="1"/>
  <c r="BP43" i="12"/>
  <c r="BP42" i="12" s="1"/>
  <c r="BS63" i="12" s="1"/>
  <c r="F49" i="13"/>
  <c r="G49" i="13" s="1"/>
  <c r="DL43" i="12"/>
  <c r="DL42" i="12" s="1"/>
  <c r="DO63" i="12" s="1"/>
  <c r="F65" i="13"/>
  <c r="G65" i="13" s="1"/>
  <c r="DC43" i="12"/>
  <c r="F62" i="13"/>
  <c r="G62" i="13" s="1"/>
  <c r="EP43" i="12"/>
  <c r="EP42" i="12" s="1"/>
  <c r="ES63" i="12" s="1"/>
  <c r="F75" i="13"/>
  <c r="G75" i="13" s="1"/>
  <c r="ED43" i="12"/>
  <c r="ED42" i="12" s="1"/>
  <c r="EG63" i="12" s="1"/>
  <c r="F71" i="13"/>
  <c r="G71" i="13" s="1"/>
  <c r="FT43" i="12"/>
  <c r="FT42" i="12" s="1"/>
  <c r="FW63" i="12" s="1"/>
  <c r="F85" i="13"/>
  <c r="G85" i="13" s="1"/>
  <c r="DU43" i="12"/>
  <c r="DU42" i="12" s="1"/>
  <c r="DX63" i="12" s="1"/>
  <c r="F68" i="13"/>
  <c r="G68" i="13" s="1"/>
  <c r="AU43" i="12"/>
  <c r="AU42" i="12" s="1"/>
  <c r="AX63" i="12" s="1"/>
  <c r="F42" i="13"/>
  <c r="G42" i="13" s="1"/>
  <c r="CQ43" i="12"/>
  <c r="CQ42" i="12" s="1"/>
  <c r="CT63" i="12" s="1"/>
  <c r="F58" i="13"/>
  <c r="G58" i="13" s="1"/>
  <c r="FQ43" i="12"/>
  <c r="FQ42" i="12" s="1"/>
  <c r="FT63" i="12" s="1"/>
  <c r="F84" i="13"/>
  <c r="G84" i="13" s="1"/>
  <c r="AC43" i="12"/>
  <c r="AC42" i="12" s="1"/>
  <c r="AF63" i="12" s="1"/>
  <c r="F36" i="13"/>
  <c r="G36" i="13" s="1"/>
  <c r="W43" i="12"/>
  <c r="W42" i="12" s="1"/>
  <c r="Z63" i="12" s="1"/>
  <c r="F34" i="13"/>
  <c r="G34" i="13" s="1"/>
  <c r="T43" i="12"/>
  <c r="T42" i="12" s="1"/>
  <c r="W63" i="12" s="1"/>
  <c r="F33" i="13"/>
  <c r="G33" i="13" s="1"/>
  <c r="AL43" i="12"/>
  <c r="AL42" i="12" s="1"/>
  <c r="AO63" i="12" s="1"/>
  <c r="F39" i="13"/>
  <c r="G39" i="13" s="1"/>
  <c r="Z43" i="12"/>
  <c r="Z42" i="12" s="1"/>
  <c r="AC63" i="12" s="1"/>
  <c r="F35" i="13"/>
  <c r="G35" i="13" s="1"/>
  <c r="AF43" i="12"/>
  <c r="AF42" i="12" s="1"/>
  <c r="AI63" i="12" s="1"/>
  <c r="F37" i="13"/>
  <c r="G37" i="13" s="1"/>
  <c r="AO43" i="12"/>
  <c r="AO42" i="12" s="1"/>
  <c r="AR63" i="12" s="1"/>
  <c r="F40" i="13"/>
  <c r="G40" i="13" s="1"/>
  <c r="K43" i="12"/>
  <c r="K42" i="12" s="1"/>
  <c r="M63" i="12" s="1"/>
  <c r="F30" i="13"/>
  <c r="G30" i="13" s="1"/>
  <c r="Q43" i="12"/>
  <c r="Q42" i="12" s="1"/>
  <c r="T63" i="12" s="1"/>
  <c r="F32" i="13"/>
  <c r="G32" i="13" s="1"/>
  <c r="AR43" i="12"/>
  <c r="AR42" i="12" s="1"/>
  <c r="AU63" i="12" s="1"/>
  <c r="CE38" i="12"/>
  <c r="AI38" i="12"/>
  <c r="DC42" i="12"/>
  <c r="DF63" i="12" s="1"/>
  <c r="DI38" i="12"/>
  <c r="EG38" i="12"/>
  <c r="CW38" i="12"/>
  <c r="FU42" i="12"/>
  <c r="J56" i="3"/>
  <c r="CK43" i="12"/>
  <c r="H56" i="3"/>
  <c r="H26" i="3" s="1"/>
  <c r="BG43" i="12"/>
  <c r="AN43" i="2"/>
  <c r="AN41" i="2" s="1"/>
  <c r="AN39" i="2" s="1"/>
  <c r="AN22" i="2" s="1"/>
  <c r="AN10" i="2" s="1"/>
  <c r="AN9" i="2" s="1"/>
  <c r="AN25" i="2" s="1"/>
  <c r="N43" i="12"/>
  <c r="N42" i="12" s="1"/>
  <c r="Q63" i="12" s="1"/>
  <c r="I56" i="3"/>
  <c r="BS43" i="12"/>
  <c r="R26" i="3"/>
  <c r="R68" i="3" s="1"/>
  <c r="Q56" i="3"/>
  <c r="FK43" i="12"/>
  <c r="P56" i="3"/>
  <c r="EY43" i="12"/>
  <c r="AH43" i="2"/>
  <c r="H43" i="12"/>
  <c r="D13" i="11" s="1"/>
  <c r="F56" i="3"/>
  <c r="L56" i="3"/>
  <c r="N56" i="3"/>
  <c r="G56" i="3"/>
  <c r="E56" i="3"/>
  <c r="M56" i="3"/>
  <c r="O56" i="3"/>
  <c r="K56" i="3"/>
  <c r="AK43" i="2"/>
  <c r="AK41" i="2" s="1"/>
  <c r="AK39" i="2" s="1"/>
  <c r="AK22" i="2" s="1"/>
  <c r="D18" i="12"/>
  <c r="BD38" i="12" l="1"/>
  <c r="AC38" i="12"/>
  <c r="Z38" i="12"/>
  <c r="Q38" i="12"/>
  <c r="DU38" i="12"/>
  <c r="FE38" i="12"/>
  <c r="G89" i="13"/>
  <c r="BJ38" i="12"/>
  <c r="P13" i="11"/>
  <c r="F89" i="13"/>
  <c r="F90" i="13" s="1"/>
  <c r="DR38" i="12"/>
  <c r="BP38" i="12"/>
  <c r="F13" i="11"/>
  <c r="AF38" i="12"/>
  <c r="BV38" i="12"/>
  <c r="AR38" i="12"/>
  <c r="EP38" i="12"/>
  <c r="EV38" i="12"/>
  <c r="BM38" i="12"/>
  <c r="AX38" i="12"/>
  <c r="H13" i="11"/>
  <c r="DL38" i="12"/>
  <c r="FQ38" i="12"/>
  <c r="BY38" i="12"/>
  <c r="AL38" i="12"/>
  <c r="DX38" i="12"/>
  <c r="CH38" i="12"/>
  <c r="FT38" i="12"/>
  <c r="FN38" i="12"/>
  <c r="AO38" i="12"/>
  <c r="ED38" i="12"/>
  <c r="M13" i="11"/>
  <c r="T38" i="12"/>
  <c r="L13" i="11"/>
  <c r="O13" i="11"/>
  <c r="CZ38" i="12"/>
  <c r="W38" i="12"/>
  <c r="DF38" i="12"/>
  <c r="FB38" i="12"/>
  <c r="N13" i="11"/>
  <c r="G13" i="11"/>
  <c r="EM38" i="12"/>
  <c r="DO38" i="12"/>
  <c r="AU38" i="12"/>
  <c r="CQ38" i="12"/>
  <c r="EA38" i="12"/>
  <c r="BG42" i="12"/>
  <c r="BJ63" i="12" s="1"/>
  <c r="I13" i="11"/>
  <c r="I12" i="11" s="1"/>
  <c r="I8" i="11" s="1"/>
  <c r="DC38" i="12"/>
  <c r="FK42" i="12"/>
  <c r="FN63" i="12" s="1"/>
  <c r="R13" i="11"/>
  <c r="CK42" i="12"/>
  <c r="CN63" i="12" s="1"/>
  <c r="K13" i="11"/>
  <c r="BS42" i="12"/>
  <c r="BV63" i="12" s="1"/>
  <c r="J13" i="11"/>
  <c r="EY42" i="12"/>
  <c r="FB63" i="12" s="1"/>
  <c r="Q13" i="11"/>
  <c r="K38" i="12"/>
  <c r="E13" i="11"/>
  <c r="FU38" i="12"/>
  <c r="FX63" i="12"/>
  <c r="R39" i="3"/>
  <c r="Q17" i="8"/>
  <c r="Q16" i="8" s="1"/>
  <c r="S12" i="11"/>
  <c r="S8" i="11" s="1"/>
  <c r="H49" i="12"/>
  <c r="FK38" i="12"/>
  <c r="N38" i="12"/>
  <c r="AC27" i="9"/>
  <c r="AC37" i="9" s="1"/>
  <c r="R25" i="3"/>
  <c r="R36" i="3" s="1"/>
  <c r="F26" i="3"/>
  <c r="F25" i="3" s="1"/>
  <c r="J26" i="3"/>
  <c r="J39" i="3" s="1"/>
  <c r="AH41" i="2"/>
  <c r="AH39" i="2" s="1"/>
  <c r="AH22" i="2" s="1"/>
  <c r="D56" i="3"/>
  <c r="D26" i="3" s="1"/>
  <c r="P26" i="3"/>
  <c r="AA27" i="9" s="1"/>
  <c r="Q26" i="3"/>
  <c r="I26" i="3"/>
  <c r="I39" i="3" s="1"/>
  <c r="H42" i="12"/>
  <c r="D43" i="12"/>
  <c r="D42" i="12" s="1"/>
  <c r="D38" i="12" s="1"/>
  <c r="N26" i="3"/>
  <c r="L26" i="3"/>
  <c r="K17" i="8" s="1"/>
  <c r="V43" i="2"/>
  <c r="T43" i="2" s="1"/>
  <c r="O26" i="3"/>
  <c r="K26" i="3"/>
  <c r="S27" i="9"/>
  <c r="H68" i="3"/>
  <c r="G17" i="8"/>
  <c r="H39" i="3"/>
  <c r="H25" i="3"/>
  <c r="M26" i="3"/>
  <c r="E26" i="3"/>
  <c r="G26" i="3"/>
  <c r="AK10" i="2"/>
  <c r="AK9" i="2" s="1"/>
  <c r="AK25" i="2" s="1"/>
  <c r="F22" i="2"/>
  <c r="O12" i="11" l="1"/>
  <c r="O8" i="11" s="1"/>
  <c r="BG38" i="12"/>
  <c r="AC26" i="9"/>
  <c r="AC34" i="9" s="1"/>
  <c r="AC58" i="9"/>
  <c r="AC57" i="9" s="1"/>
  <c r="CK38" i="12"/>
  <c r="R12" i="11"/>
  <c r="R8" i="11" s="1"/>
  <c r="EY38" i="12"/>
  <c r="BS38" i="12"/>
  <c r="H48" i="12"/>
  <c r="H45" i="12" s="1"/>
  <c r="H51" i="12"/>
  <c r="D21" i="11" s="1"/>
  <c r="H50" i="12"/>
  <c r="D20" i="11" s="1"/>
  <c r="H38" i="12"/>
  <c r="I63" i="12"/>
  <c r="D70" i="12" s="1"/>
  <c r="E17" i="8"/>
  <c r="Q58" i="9" s="1"/>
  <c r="Q57" i="9" s="1"/>
  <c r="Q27" i="9"/>
  <c r="Q37" i="9" s="1"/>
  <c r="R33" i="3"/>
  <c r="Q12" i="11"/>
  <c r="Q8" i="11" s="1"/>
  <c r="P25" i="3"/>
  <c r="P33" i="3" s="1"/>
  <c r="P68" i="3"/>
  <c r="P39" i="3"/>
  <c r="Q25" i="3"/>
  <c r="Q33" i="3" s="1"/>
  <c r="O17" i="8"/>
  <c r="AA58" i="9" s="1"/>
  <c r="AA57" i="9" s="1"/>
  <c r="P17" i="8"/>
  <c r="AB58" i="9" s="1"/>
  <c r="AB57" i="9" s="1"/>
  <c r="AB27" i="9"/>
  <c r="AB26" i="9" s="1"/>
  <c r="AB34" i="9" s="1"/>
  <c r="Q68" i="3"/>
  <c r="Q39" i="3"/>
  <c r="F39" i="3"/>
  <c r="F68" i="3"/>
  <c r="V41" i="2"/>
  <c r="T41" i="2" s="1"/>
  <c r="T39" i="2" s="1"/>
  <c r="G12" i="11"/>
  <c r="G8" i="11" s="1"/>
  <c r="K12" i="11"/>
  <c r="K8" i="11" s="1"/>
  <c r="U27" i="9"/>
  <c r="U37" i="9" s="1"/>
  <c r="I25" i="3"/>
  <c r="I33" i="3" s="1"/>
  <c r="I17" i="8"/>
  <c r="U58" i="9" s="1"/>
  <c r="U57" i="9" s="1"/>
  <c r="I68" i="3"/>
  <c r="J68" i="3"/>
  <c r="T27" i="9"/>
  <c r="T26" i="9" s="1"/>
  <c r="T34" i="9" s="1"/>
  <c r="J25" i="3"/>
  <c r="J36" i="3" s="1"/>
  <c r="H17" i="8"/>
  <c r="H16" i="8" s="1"/>
  <c r="M17" i="8"/>
  <c r="M16" i="8" s="1"/>
  <c r="C56" i="3"/>
  <c r="J12" i="11"/>
  <c r="J8" i="11" s="1"/>
  <c r="Y27" i="9"/>
  <c r="Y37" i="9" s="1"/>
  <c r="N68" i="3"/>
  <c r="N25" i="3"/>
  <c r="N36" i="3" s="1"/>
  <c r="N39" i="3"/>
  <c r="L25" i="3"/>
  <c r="L36" i="3" s="1"/>
  <c r="W27" i="9"/>
  <c r="W37" i="9" s="1"/>
  <c r="L39" i="3"/>
  <c r="L68" i="3"/>
  <c r="M12" i="11"/>
  <c r="M8" i="11" s="1"/>
  <c r="S37" i="9"/>
  <c r="S26" i="9"/>
  <c r="S34" i="9" s="1"/>
  <c r="R27" i="9"/>
  <c r="G68" i="3"/>
  <c r="G39" i="3"/>
  <c r="H12" i="11"/>
  <c r="H8" i="11" s="1"/>
  <c r="F17" i="8"/>
  <c r="G25" i="3"/>
  <c r="D68" i="3"/>
  <c r="O27" i="9"/>
  <c r="D25" i="3"/>
  <c r="D39" i="3"/>
  <c r="C17" i="8"/>
  <c r="C26" i="3"/>
  <c r="C25" i="3" s="1"/>
  <c r="C36" i="3" s="1"/>
  <c r="H33" i="3"/>
  <c r="H36" i="3"/>
  <c r="P12" i="11"/>
  <c r="P8" i="11" s="1"/>
  <c r="N17" i="8"/>
  <c r="O68" i="3"/>
  <c r="O39" i="3"/>
  <c r="Z27" i="9"/>
  <c r="O25" i="3"/>
  <c r="E25" i="3"/>
  <c r="F12" i="11"/>
  <c r="F8" i="11" s="1"/>
  <c r="E39" i="3"/>
  <c r="P27" i="9"/>
  <c r="E68" i="3"/>
  <c r="D17" i="8"/>
  <c r="W58" i="9"/>
  <c r="W57" i="9" s="1"/>
  <c r="K16" i="8"/>
  <c r="M39" i="3"/>
  <c r="L17" i="8"/>
  <c r="M68" i="3"/>
  <c r="N12" i="11"/>
  <c r="N8" i="11" s="1"/>
  <c r="X27" i="9"/>
  <c r="M25" i="3"/>
  <c r="S58" i="9"/>
  <c r="S57" i="9" s="1"/>
  <c r="G16" i="8"/>
  <c r="J17" i="8"/>
  <c r="K68" i="3"/>
  <c r="K39" i="3"/>
  <c r="L12" i="11"/>
  <c r="L8" i="11" s="1"/>
  <c r="V27" i="9"/>
  <c r="K25" i="3"/>
  <c r="AA37" i="9"/>
  <c r="AA26" i="9"/>
  <c r="AA34" i="9" s="1"/>
  <c r="F33" i="3"/>
  <c r="F36" i="3"/>
  <c r="F10" i="2"/>
  <c r="F9" i="2" s="1"/>
  <c r="F25" i="2" s="1"/>
  <c r="F60" i="2"/>
  <c r="F63" i="2" s="1"/>
  <c r="AH10" i="2"/>
  <c r="AH9" i="2" s="1"/>
  <c r="AH25" i="2" s="1"/>
  <c r="AH27" i="2" s="1"/>
  <c r="AI26" i="2" s="1"/>
  <c r="AI27" i="2" s="1"/>
  <c r="AJ26" i="2" s="1"/>
  <c r="AJ27" i="2" s="1"/>
  <c r="AK26" i="2" s="1"/>
  <c r="AK27" i="2" s="1"/>
  <c r="AL26" i="2" s="1"/>
  <c r="AL27" i="2" s="1"/>
  <c r="AM26" i="2" s="1"/>
  <c r="AM27" i="2" s="1"/>
  <c r="AN26" i="2" s="1"/>
  <c r="AN27" i="2" s="1"/>
  <c r="AO26" i="2" s="1"/>
  <c r="AO27" i="2" s="1"/>
  <c r="AP26" i="2" s="1"/>
  <c r="AP27" i="2" s="1"/>
  <c r="AQ26" i="2" s="1"/>
  <c r="AQ27" i="2" s="1"/>
  <c r="AR26" i="2" s="1"/>
  <c r="AR27" i="2" s="1"/>
  <c r="AS26" i="2" s="1"/>
  <c r="AS27" i="2" s="1"/>
  <c r="AT26" i="2" s="1"/>
  <c r="AT27" i="2" s="1"/>
  <c r="E22" i="2"/>
  <c r="V22" i="2"/>
  <c r="H55" i="12" l="1"/>
  <c r="H30" i="12" s="1"/>
  <c r="H26" i="12" s="1"/>
  <c r="D19" i="11"/>
  <c r="Q36" i="3"/>
  <c r="E16" i="8"/>
  <c r="Q26" i="9"/>
  <c r="Q34" i="9" s="1"/>
  <c r="I65" i="12"/>
  <c r="I66" i="12"/>
  <c r="P36" i="3"/>
  <c r="O16" i="8"/>
  <c r="P16" i="8"/>
  <c r="V39" i="2"/>
  <c r="T37" i="9"/>
  <c r="U26" i="9"/>
  <c r="U34" i="9" s="1"/>
  <c r="AB37" i="9"/>
  <c r="N33" i="3"/>
  <c r="Y58" i="9"/>
  <c r="Y57" i="9" s="1"/>
  <c r="L33" i="3"/>
  <c r="I36" i="3"/>
  <c r="I16" i="8"/>
  <c r="J33" i="3"/>
  <c r="T58" i="9"/>
  <c r="T57" i="9" s="1"/>
  <c r="Y26" i="9"/>
  <c r="Y34" i="9" s="1"/>
  <c r="W26" i="9"/>
  <c r="W34" i="9" s="1"/>
  <c r="D33" i="3"/>
  <c r="D36" i="3"/>
  <c r="E36" i="3"/>
  <c r="E33" i="3"/>
  <c r="V37" i="9"/>
  <c r="V26" i="9"/>
  <c r="V34" i="9" s="1"/>
  <c r="Z37" i="9"/>
  <c r="Z26" i="9"/>
  <c r="Z34" i="9" s="1"/>
  <c r="AD27" i="9"/>
  <c r="AD26" i="9" s="1"/>
  <c r="O37" i="9"/>
  <c r="O26" i="9"/>
  <c r="O34" i="9" s="1"/>
  <c r="R37" i="9"/>
  <c r="R26" i="9"/>
  <c r="R34" i="9" s="1"/>
  <c r="D16" i="8"/>
  <c r="P58" i="9"/>
  <c r="P57" i="9" s="1"/>
  <c r="E12" i="11"/>
  <c r="E8" i="11" s="1"/>
  <c r="K33" i="3"/>
  <c r="K36" i="3"/>
  <c r="O36" i="3"/>
  <c r="O33" i="3"/>
  <c r="M33" i="3"/>
  <c r="M36" i="3"/>
  <c r="G33" i="3"/>
  <c r="G36" i="3"/>
  <c r="X58" i="9"/>
  <c r="X57" i="9" s="1"/>
  <c r="L16" i="8"/>
  <c r="C68" i="3"/>
  <c r="V58" i="9"/>
  <c r="V57" i="9" s="1"/>
  <c r="J16" i="8"/>
  <c r="X37" i="9"/>
  <c r="X26" i="9"/>
  <c r="X34" i="9" s="1"/>
  <c r="P37" i="9"/>
  <c r="P26" i="9"/>
  <c r="P34" i="9" s="1"/>
  <c r="Z58" i="9"/>
  <c r="Z57" i="9" s="1"/>
  <c r="N16" i="8"/>
  <c r="S17" i="8"/>
  <c r="S16" i="8" s="1"/>
  <c r="O58" i="9"/>
  <c r="O57" i="9" s="1"/>
  <c r="C16" i="8"/>
  <c r="R58" i="9"/>
  <c r="R57" i="9" s="1"/>
  <c r="F16" i="8"/>
  <c r="E60" i="2"/>
  <c r="E63" i="2" s="1"/>
  <c r="E10" i="2"/>
  <c r="E9" i="2" s="1"/>
  <c r="E25" i="2" s="1"/>
  <c r="E27" i="2" s="1"/>
  <c r="F26" i="2" s="1"/>
  <c r="F27" i="2" s="1"/>
  <c r="D29" i="3" s="1"/>
  <c r="C22" i="2"/>
  <c r="V10" i="2"/>
  <c r="V9" i="2" s="1"/>
  <c r="V25" i="2" s="1"/>
  <c r="V27" i="2" s="1"/>
  <c r="T22" i="2"/>
  <c r="T10" i="2" s="1"/>
  <c r="T9" i="2" s="1"/>
  <c r="T25" i="2" s="1"/>
  <c r="T27" i="2" s="1"/>
  <c r="H57" i="12" l="1"/>
  <c r="I56" i="12" s="1"/>
  <c r="I57" i="12" s="1"/>
  <c r="J56" i="12" s="1"/>
  <c r="J57" i="12" s="1"/>
  <c r="K56" i="12" s="1"/>
  <c r="D18" i="11"/>
  <c r="I64" i="12"/>
  <c r="I29" i="12"/>
  <c r="I26" i="12"/>
  <c r="C29" i="3"/>
  <c r="C10" i="8"/>
  <c r="O51" i="9" s="1"/>
  <c r="O30" i="9"/>
  <c r="AD30" i="9" s="1"/>
  <c r="C10" i="2"/>
  <c r="C9" i="2" s="1"/>
  <c r="C25" i="2" s="1"/>
  <c r="C27" i="2" s="1"/>
  <c r="I13" i="2" s="1"/>
  <c r="I10" i="2"/>
  <c r="C60" i="2"/>
  <c r="C63" i="2" s="1"/>
  <c r="D37" i="2"/>
  <c r="N16" i="2"/>
  <c r="N19" i="2" s="1"/>
  <c r="I27" i="12" l="1"/>
  <c r="D15" i="11"/>
  <c r="J29" i="12"/>
  <c r="J27" i="12" s="1"/>
  <c r="J26" i="12"/>
  <c r="K29" i="12" s="1"/>
  <c r="K27" i="12" s="1"/>
  <c r="E37" i="2"/>
  <c r="D40" i="2"/>
  <c r="E40" i="2" s="1"/>
  <c r="G64" i="2"/>
  <c r="G63" i="2"/>
  <c r="O16" i="2"/>
  <c r="O11" i="2"/>
  <c r="O13" i="2"/>
  <c r="F39" i="8"/>
  <c r="K103" i="1"/>
  <c r="C103" i="1" s="1"/>
  <c r="O6" i="2"/>
  <c r="O17" i="2"/>
  <c r="O15" i="2"/>
  <c r="O7" i="2"/>
  <c r="O19" i="2"/>
  <c r="O8" i="2"/>
  <c r="O14" i="2"/>
  <c r="O12" i="2"/>
  <c r="O9" i="2"/>
  <c r="O10" i="2"/>
  <c r="O5" i="2"/>
  <c r="O18" i="2"/>
  <c r="I14" i="2"/>
  <c r="K47" i="12" l="1"/>
  <c r="D23" i="3"/>
  <c r="C105" i="1"/>
  <c r="E23" i="3"/>
  <c r="D103" i="1"/>
  <c r="K49" i="12" l="1"/>
  <c r="K48" i="12" s="1"/>
  <c r="P24" i="9"/>
  <c r="P15" i="9" s="1"/>
  <c r="P14" i="9" s="1"/>
  <c r="P29" i="9" s="1"/>
  <c r="E65" i="3"/>
  <c r="E66" i="3" s="1"/>
  <c r="F23" i="3"/>
  <c r="E14" i="3"/>
  <c r="D105" i="1"/>
  <c r="E103" i="1"/>
  <c r="D65" i="3"/>
  <c r="O24" i="9"/>
  <c r="D14" i="3"/>
  <c r="K50" i="12" l="1"/>
  <c r="M65" i="12" s="1"/>
  <c r="K51" i="12"/>
  <c r="M66" i="12" s="1"/>
  <c r="K45" i="12"/>
  <c r="K55" i="12" s="1"/>
  <c r="D9" i="8"/>
  <c r="E32" i="3"/>
  <c r="E31" i="3" s="1"/>
  <c r="E13" i="3"/>
  <c r="E28" i="3" s="1"/>
  <c r="F14" i="3"/>
  <c r="G23" i="3"/>
  <c r="Q24" i="9"/>
  <c r="Q15" i="9" s="1"/>
  <c r="Q14" i="9" s="1"/>
  <c r="Q29" i="9" s="1"/>
  <c r="F65" i="3"/>
  <c r="F66" i="3" s="1"/>
  <c r="E69" i="3"/>
  <c r="E70" i="3" s="1"/>
  <c r="E67" i="3"/>
  <c r="D66" i="3"/>
  <c r="E105" i="1"/>
  <c r="F103" i="1"/>
  <c r="C9" i="8"/>
  <c r="D35" i="3"/>
  <c r="D32" i="3"/>
  <c r="D31" i="3" s="1"/>
  <c r="D13" i="3"/>
  <c r="D28" i="3" s="1"/>
  <c r="D30" i="3" s="1"/>
  <c r="E29" i="3" s="1"/>
  <c r="D10" i="8" s="1"/>
  <c r="P51" i="9" s="1"/>
  <c r="O15" i="9"/>
  <c r="D19" i="8" l="1"/>
  <c r="D20" i="8"/>
  <c r="C19" i="8"/>
  <c r="C20" i="8"/>
  <c r="M64" i="12"/>
  <c r="K57" i="12"/>
  <c r="L56" i="12" s="1"/>
  <c r="L57" i="12" s="1"/>
  <c r="M56" i="12" s="1"/>
  <c r="M57" i="12" s="1"/>
  <c r="N56" i="12" s="1"/>
  <c r="K30" i="12"/>
  <c r="K26" i="12" s="1"/>
  <c r="O14" i="9"/>
  <c r="O29" i="9" s="1"/>
  <c r="O31" i="9" s="1"/>
  <c r="P30" i="9" s="1"/>
  <c r="O33" i="9"/>
  <c r="F32" i="3"/>
  <c r="F31" i="3" s="1"/>
  <c r="F13" i="3"/>
  <c r="F28" i="3" s="1"/>
  <c r="E9" i="8"/>
  <c r="D38" i="3"/>
  <c r="D37" i="3" s="1"/>
  <c r="D34" i="3"/>
  <c r="D67" i="3"/>
  <c r="D69" i="3"/>
  <c r="D70" i="3" s="1"/>
  <c r="O50" i="9"/>
  <c r="C7" i="8"/>
  <c r="E35" i="3"/>
  <c r="G65" i="3"/>
  <c r="G14" i="3"/>
  <c r="H23" i="3"/>
  <c r="R24" i="9"/>
  <c r="E30" i="3"/>
  <c r="F29" i="3" s="1"/>
  <c r="E10" i="8" s="1"/>
  <c r="Q51" i="9" s="1"/>
  <c r="F69" i="3"/>
  <c r="F70" i="3" s="1"/>
  <c r="F67" i="3"/>
  <c r="G103" i="1"/>
  <c r="G105" i="1" s="1"/>
  <c r="F105" i="1"/>
  <c r="D7" i="8"/>
  <c r="P50" i="9"/>
  <c r="P48" i="9" l="1"/>
  <c r="P55" i="9" s="1"/>
  <c r="P56" i="9" s="1"/>
  <c r="P63" i="9" s="1"/>
  <c r="P60" i="9"/>
  <c r="P61" i="9"/>
  <c r="O48" i="9"/>
  <c r="O55" i="9" s="1"/>
  <c r="O62" i="9" s="1"/>
  <c r="O61" i="9"/>
  <c r="O60" i="9"/>
  <c r="E19" i="8"/>
  <c r="E20" i="8"/>
  <c r="L29" i="12"/>
  <c r="L26" i="12"/>
  <c r="F35" i="3"/>
  <c r="D14" i="8"/>
  <c r="E66" i="8"/>
  <c r="E68" i="8" s="1"/>
  <c r="S24" i="9"/>
  <c r="S15" i="9" s="1"/>
  <c r="S14" i="9" s="1"/>
  <c r="S29" i="9" s="1"/>
  <c r="I23" i="3"/>
  <c r="H65" i="3"/>
  <c r="H66" i="3" s="1"/>
  <c r="H14" i="3"/>
  <c r="Q50" i="9"/>
  <c r="E7" i="8"/>
  <c r="D66" i="8"/>
  <c r="C14" i="8"/>
  <c r="C21" i="8" s="1"/>
  <c r="F30" i="3"/>
  <c r="G29" i="3" s="1"/>
  <c r="F10" i="8" s="1"/>
  <c r="R51" i="9" s="1"/>
  <c r="R15" i="9"/>
  <c r="R14" i="9" s="1"/>
  <c r="R29" i="9" s="1"/>
  <c r="F9" i="8"/>
  <c r="G32" i="3"/>
  <c r="G31" i="3" s="1"/>
  <c r="G13" i="3"/>
  <c r="G28" i="3" s="1"/>
  <c r="G66" i="3"/>
  <c r="E38" i="3"/>
  <c r="E37" i="3" s="1"/>
  <c r="E34" i="3"/>
  <c r="O36" i="9"/>
  <c r="O35" i="9" s="1"/>
  <c r="O32" i="9"/>
  <c r="P33" i="9"/>
  <c r="P31" i="9"/>
  <c r="Q30" i="9" s="1"/>
  <c r="L27" i="12" l="1"/>
  <c r="O56" i="9"/>
  <c r="O63" i="9" s="1"/>
  <c r="P62" i="9"/>
  <c r="Q48" i="9"/>
  <c r="Q55" i="9" s="1"/>
  <c r="Q56" i="9" s="1"/>
  <c r="Q63" i="9" s="1"/>
  <c r="Q60" i="9"/>
  <c r="Q61" i="9"/>
  <c r="F20" i="8"/>
  <c r="F19" i="8"/>
  <c r="M29" i="12"/>
  <c r="M27" i="12" s="1"/>
  <c r="M26" i="12"/>
  <c r="N29" i="12" s="1"/>
  <c r="N27" i="12" s="1"/>
  <c r="G35" i="3"/>
  <c r="G34" i="3" s="1"/>
  <c r="G30" i="3"/>
  <c r="H29" i="3" s="1"/>
  <c r="G10" i="8" s="1"/>
  <c r="S51" i="9" s="1"/>
  <c r="D68" i="8"/>
  <c r="D21" i="8"/>
  <c r="D15" i="8"/>
  <c r="D22" i="8" s="1"/>
  <c r="E14" i="8"/>
  <c r="F66" i="8"/>
  <c r="F68" i="8" s="1"/>
  <c r="F7" i="8"/>
  <c r="R50" i="9"/>
  <c r="H32" i="3"/>
  <c r="H31" i="3" s="1"/>
  <c r="U8" i="3"/>
  <c r="H13" i="3"/>
  <c r="H28" i="3" s="1"/>
  <c r="G9" i="8"/>
  <c r="F34" i="3"/>
  <c r="F38" i="3"/>
  <c r="F37" i="3" s="1"/>
  <c r="H69" i="3"/>
  <c r="H70" i="3" s="1"/>
  <c r="H67" i="3"/>
  <c r="Q33" i="9"/>
  <c r="Q31" i="9"/>
  <c r="R30" i="9" s="1"/>
  <c r="R33" i="9" s="1"/>
  <c r="J23" i="3"/>
  <c r="I14" i="3"/>
  <c r="I65" i="3"/>
  <c r="T24" i="9"/>
  <c r="C15" i="8"/>
  <c r="C22" i="8" s="1"/>
  <c r="P32" i="9"/>
  <c r="P36" i="9"/>
  <c r="P35" i="9" s="1"/>
  <c r="G69" i="3"/>
  <c r="G70" i="3" s="1"/>
  <c r="G67" i="3"/>
  <c r="Q62" i="9" l="1"/>
  <c r="R48" i="9"/>
  <c r="R55" i="9" s="1"/>
  <c r="R62" i="9" s="1"/>
  <c r="R61" i="9"/>
  <c r="R60" i="9"/>
  <c r="G20" i="8"/>
  <c r="G19" i="8"/>
  <c r="N47" i="12"/>
  <c r="H35" i="3"/>
  <c r="H38" i="3" s="1"/>
  <c r="H37" i="3" s="1"/>
  <c r="G38" i="3"/>
  <c r="G37" i="3" s="1"/>
  <c r="R31" i="9"/>
  <c r="S30" i="9" s="1"/>
  <c r="S33" i="9" s="1"/>
  <c r="S36" i="9" s="1"/>
  <c r="S35" i="9" s="1"/>
  <c r="G66" i="8"/>
  <c r="F14" i="8"/>
  <c r="I66" i="3"/>
  <c r="G7" i="8"/>
  <c r="S50" i="9"/>
  <c r="Q36" i="9"/>
  <c r="Q35" i="9" s="1"/>
  <c r="Q32" i="9"/>
  <c r="T15" i="9"/>
  <c r="T14" i="9" s="1"/>
  <c r="T29" i="9" s="1"/>
  <c r="I32" i="3"/>
  <c r="I31" i="3" s="1"/>
  <c r="H9" i="8"/>
  <c r="V8" i="3"/>
  <c r="I13" i="3"/>
  <c r="I28" i="3" s="1"/>
  <c r="K23" i="3"/>
  <c r="U24" i="9"/>
  <c r="U15" i="9" s="1"/>
  <c r="U14" i="9" s="1"/>
  <c r="U29" i="9" s="1"/>
  <c r="J65" i="3"/>
  <c r="J66" i="3" s="1"/>
  <c r="J14" i="3"/>
  <c r="H30" i="3"/>
  <c r="I29" i="3" s="1"/>
  <c r="H10" i="8" s="1"/>
  <c r="T51" i="9" s="1"/>
  <c r="E21" i="8"/>
  <c r="E15" i="8"/>
  <c r="E22" i="8" s="1"/>
  <c r="R36" i="9"/>
  <c r="R35" i="9" s="1"/>
  <c r="R32" i="9"/>
  <c r="R56" i="9" l="1"/>
  <c r="R63" i="9" s="1"/>
  <c r="S48" i="9"/>
  <c r="S55" i="9" s="1"/>
  <c r="S56" i="9" s="1"/>
  <c r="S63" i="9" s="1"/>
  <c r="S60" i="9"/>
  <c r="S61" i="9"/>
  <c r="H20" i="8"/>
  <c r="H19" i="8"/>
  <c r="H34" i="3"/>
  <c r="N49" i="12"/>
  <c r="N48" i="12" s="1"/>
  <c r="S32" i="9"/>
  <c r="S31" i="9"/>
  <c r="T30" i="9" s="1"/>
  <c r="T31" i="9" s="1"/>
  <c r="U30" i="9" s="1"/>
  <c r="K14" i="3"/>
  <c r="V24" i="9"/>
  <c r="V15" i="9" s="1"/>
  <c r="L23" i="3"/>
  <c r="K65" i="3"/>
  <c r="I35" i="3"/>
  <c r="I69" i="3"/>
  <c r="I70" i="3" s="1"/>
  <c r="I67" i="3"/>
  <c r="I30" i="3"/>
  <c r="J29" i="3" s="1"/>
  <c r="I10" i="8" s="1"/>
  <c r="U51" i="9" s="1"/>
  <c r="J32" i="3"/>
  <c r="J31" i="3" s="1"/>
  <c r="J13" i="3"/>
  <c r="J28" i="3" s="1"/>
  <c r="I9" i="8"/>
  <c r="W8" i="3"/>
  <c r="F21" i="8"/>
  <c r="F15" i="8"/>
  <c r="F22" i="8" s="1"/>
  <c r="G14" i="8"/>
  <c r="H66" i="8"/>
  <c r="H68" i="8" s="1"/>
  <c r="J69" i="3"/>
  <c r="J70" i="3" s="1"/>
  <c r="J67" i="3"/>
  <c r="T50" i="9"/>
  <c r="H7" i="8"/>
  <c r="G68" i="8"/>
  <c r="S62" i="9" l="1"/>
  <c r="T33" i="9"/>
  <c r="T32" i="9" s="1"/>
  <c r="T48" i="9"/>
  <c r="T55" i="9" s="1"/>
  <c r="T62" i="9" s="1"/>
  <c r="T60" i="9"/>
  <c r="T61" i="9"/>
  <c r="I20" i="8"/>
  <c r="I19" i="8"/>
  <c r="N50" i="12"/>
  <c r="Q65" i="12" s="1"/>
  <c r="N51" i="12"/>
  <c r="Q66" i="12" s="1"/>
  <c r="U31" i="9"/>
  <c r="V30" i="9" s="1"/>
  <c r="V33" i="9" s="1"/>
  <c r="U33" i="9"/>
  <c r="U36" i="9" s="1"/>
  <c r="U35" i="9" s="1"/>
  <c r="N45" i="12"/>
  <c r="N55" i="12" s="1"/>
  <c r="J35" i="3"/>
  <c r="J34" i="3" s="1"/>
  <c r="K66" i="3"/>
  <c r="M23" i="3"/>
  <c r="W24" i="9"/>
  <c r="L65" i="3"/>
  <c r="L66" i="3" s="1"/>
  <c r="L14" i="3"/>
  <c r="H14" i="8"/>
  <c r="I66" i="8"/>
  <c r="V14" i="9"/>
  <c r="V29" i="9" s="1"/>
  <c r="G15" i="8"/>
  <c r="G22" i="8" s="1"/>
  <c r="G21" i="8"/>
  <c r="X8" i="3"/>
  <c r="K13" i="3"/>
  <c r="K28" i="3" s="1"/>
  <c r="J9" i="8"/>
  <c r="K32" i="3"/>
  <c r="K31" i="3" s="1"/>
  <c r="I7" i="8"/>
  <c r="U50" i="9"/>
  <c r="I38" i="3"/>
  <c r="I37" i="3" s="1"/>
  <c r="I34" i="3"/>
  <c r="J30" i="3"/>
  <c r="K29" i="3" s="1"/>
  <c r="J10" i="8" s="1"/>
  <c r="V51" i="9" s="1"/>
  <c r="T36" i="9" l="1"/>
  <c r="T35" i="9" s="1"/>
  <c r="T56" i="9"/>
  <c r="T63" i="9" s="1"/>
  <c r="U48" i="9"/>
  <c r="U55" i="9" s="1"/>
  <c r="U62" i="9" s="1"/>
  <c r="U60" i="9"/>
  <c r="U61" i="9"/>
  <c r="J20" i="8"/>
  <c r="J19" i="8"/>
  <c r="U32" i="9"/>
  <c r="J38" i="3"/>
  <c r="J37" i="3" s="1"/>
  <c r="Q64" i="12"/>
  <c r="V31" i="9"/>
  <c r="W30" i="9" s="1"/>
  <c r="N57" i="12"/>
  <c r="O56" i="12" s="1"/>
  <c r="O57" i="12" s="1"/>
  <c r="P56" i="12" s="1"/>
  <c r="P57" i="12" s="1"/>
  <c r="Q56" i="12" s="1"/>
  <c r="N30" i="12"/>
  <c r="N26" i="12" s="1"/>
  <c r="K35" i="3"/>
  <c r="H15" i="8"/>
  <c r="H22" i="8" s="1"/>
  <c r="H21" i="8"/>
  <c r="K9" i="8"/>
  <c r="L13" i="3"/>
  <c r="L28" i="3" s="1"/>
  <c r="L32" i="3"/>
  <c r="L31" i="3" s="1"/>
  <c r="Y8" i="3"/>
  <c r="V50" i="9"/>
  <c r="J7" i="8"/>
  <c r="L67" i="3"/>
  <c r="L69" i="3"/>
  <c r="L70" i="3" s="1"/>
  <c r="I14" i="8"/>
  <c r="J66" i="8"/>
  <c r="J68" i="8" s="1"/>
  <c r="V36" i="9"/>
  <c r="V35" i="9" s="1"/>
  <c r="V32" i="9"/>
  <c r="K30" i="3"/>
  <c r="L29" i="3" s="1"/>
  <c r="K10" i="8" s="1"/>
  <c r="W51" i="9" s="1"/>
  <c r="W15" i="9"/>
  <c r="W14" i="9" s="1"/>
  <c r="W29" i="9" s="1"/>
  <c r="K67" i="3"/>
  <c r="K69" i="3"/>
  <c r="K70" i="3" s="1"/>
  <c r="I68" i="8"/>
  <c r="M14" i="3"/>
  <c r="N23" i="3"/>
  <c r="M65" i="3"/>
  <c r="M66" i="3" s="1"/>
  <c r="X24" i="9"/>
  <c r="X15" i="9" s="1"/>
  <c r="X14" i="9" s="1"/>
  <c r="X29" i="9" s="1"/>
  <c r="U56" i="9" l="1"/>
  <c r="U63" i="9" s="1"/>
  <c r="W31" i="9"/>
  <c r="X30" i="9" s="1"/>
  <c r="X33" i="9" s="1"/>
  <c r="X36" i="9" s="1"/>
  <c r="X35" i="9" s="1"/>
  <c r="V48" i="9"/>
  <c r="V55" i="9" s="1"/>
  <c r="V62" i="9" s="1"/>
  <c r="V61" i="9"/>
  <c r="V60" i="9"/>
  <c r="K20" i="8"/>
  <c r="K19" i="8"/>
  <c r="O29" i="12"/>
  <c r="O27" i="12" s="1"/>
  <c r="O26" i="12"/>
  <c r="L35" i="3"/>
  <c r="L34" i="3" s="1"/>
  <c r="M67" i="3"/>
  <c r="M69" i="3"/>
  <c r="M70" i="3" s="1"/>
  <c r="L30" i="3"/>
  <c r="M29" i="3" s="1"/>
  <c r="L10" i="8" s="1"/>
  <c r="X51" i="9" s="1"/>
  <c r="N14" i="3"/>
  <c r="O23" i="3"/>
  <c r="N65" i="3"/>
  <c r="N66" i="3" s="1"/>
  <c r="Y24" i="9"/>
  <c r="Y15" i="9" s="1"/>
  <c r="Y14" i="9" s="1"/>
  <c r="Y29" i="9" s="1"/>
  <c r="W50" i="9"/>
  <c r="K7" i="8"/>
  <c r="L9" i="8"/>
  <c r="Z8" i="3"/>
  <c r="M13" i="3"/>
  <c r="M28" i="3" s="1"/>
  <c r="M32" i="3"/>
  <c r="M31" i="3" s="1"/>
  <c r="K38" i="3"/>
  <c r="K37" i="3" s="1"/>
  <c r="K34" i="3"/>
  <c r="W33" i="9"/>
  <c r="K66" i="8"/>
  <c r="K68" i="8" s="1"/>
  <c r="J14" i="8"/>
  <c r="I21" i="8"/>
  <c r="I15" i="8"/>
  <c r="I22" i="8" s="1"/>
  <c r="V56" i="9" l="1"/>
  <c r="V63" i="9" s="1"/>
  <c r="X31" i="9"/>
  <c r="Y30" i="9" s="1"/>
  <c r="Y31" i="9" s="1"/>
  <c r="Z30" i="9" s="1"/>
  <c r="W48" i="9"/>
  <c r="W55" i="9" s="1"/>
  <c r="W62" i="9" s="1"/>
  <c r="W61" i="9"/>
  <c r="W60" i="9"/>
  <c r="L20" i="8"/>
  <c r="L19" i="8"/>
  <c r="X32" i="9"/>
  <c r="M35" i="3"/>
  <c r="M38" i="3" s="1"/>
  <c r="M37" i="3" s="1"/>
  <c r="M30" i="3"/>
  <c r="N29" i="3" s="1"/>
  <c r="M10" i="8" s="1"/>
  <c r="Y51" i="9" s="1"/>
  <c r="L38" i="3"/>
  <c r="L37" i="3" s="1"/>
  <c r="P26" i="12"/>
  <c r="P29" i="12"/>
  <c r="P27" i="12" s="1"/>
  <c r="M9" i="8"/>
  <c r="N13" i="3"/>
  <c r="N28" i="3" s="1"/>
  <c r="N32" i="3"/>
  <c r="N31" i="3" s="1"/>
  <c r="AA8" i="3"/>
  <c r="J15" i="8"/>
  <c r="J22" i="8" s="1"/>
  <c r="J21" i="8"/>
  <c r="K14" i="8"/>
  <c r="L66" i="8"/>
  <c r="L68" i="8" s="1"/>
  <c r="X50" i="9"/>
  <c r="L7" i="8"/>
  <c r="P23" i="3"/>
  <c r="Z24" i="9"/>
  <c r="Z15" i="9" s="1"/>
  <c r="Z14" i="9" s="1"/>
  <c r="Z29" i="9" s="1"/>
  <c r="O65" i="3"/>
  <c r="O66" i="3" s="1"/>
  <c r="O14" i="3"/>
  <c r="W32" i="9"/>
  <c r="W36" i="9"/>
  <c r="W35" i="9" s="1"/>
  <c r="N69" i="3"/>
  <c r="N70" i="3" s="1"/>
  <c r="N67" i="3"/>
  <c r="W56" i="9" l="1"/>
  <c r="W63" i="9" s="1"/>
  <c r="Y33" i="9"/>
  <c r="Y32" i="9" s="1"/>
  <c r="X48" i="9"/>
  <c r="X55" i="9" s="1"/>
  <c r="X62" i="9" s="1"/>
  <c r="X60" i="9"/>
  <c r="X61" i="9"/>
  <c r="M20" i="8"/>
  <c r="M19" i="8"/>
  <c r="M34" i="3"/>
  <c r="N30" i="3"/>
  <c r="O29" i="3" s="1"/>
  <c r="N10" i="8" s="1"/>
  <c r="Z51" i="9" s="1"/>
  <c r="N35" i="3"/>
  <c r="N34" i="3" s="1"/>
  <c r="Z31" i="9"/>
  <c r="AA30" i="9" s="1"/>
  <c r="Q29" i="12"/>
  <c r="Q27" i="12" s="1"/>
  <c r="Q47" i="12" s="1"/>
  <c r="Z33" i="9"/>
  <c r="M7" i="8"/>
  <c r="Y50" i="9"/>
  <c r="AA24" i="9"/>
  <c r="AA15" i="9" s="1"/>
  <c r="AA14" i="9" s="1"/>
  <c r="AA29" i="9" s="1"/>
  <c r="P65" i="3"/>
  <c r="P66" i="3" s="1"/>
  <c r="P14" i="3"/>
  <c r="Q23" i="3"/>
  <c r="K15" i="8"/>
  <c r="K22" i="8" s="1"/>
  <c r="K21" i="8"/>
  <c r="L14" i="8"/>
  <c r="M66" i="8"/>
  <c r="M68" i="8" s="1"/>
  <c r="AB8" i="3"/>
  <c r="N9" i="8"/>
  <c r="O13" i="3"/>
  <c r="O28" i="3" s="1"/>
  <c r="O32" i="3"/>
  <c r="O31" i="3" s="1"/>
  <c r="O69" i="3"/>
  <c r="O70" i="3" s="1"/>
  <c r="O67" i="3"/>
  <c r="Y36" i="9" l="1"/>
  <c r="Y35" i="9" s="1"/>
  <c r="X56" i="9"/>
  <c r="X63" i="9" s="1"/>
  <c r="Y48" i="9"/>
  <c r="Y55" i="9" s="1"/>
  <c r="Y56" i="9" s="1"/>
  <c r="Y63" i="9" s="1"/>
  <c r="Y60" i="9"/>
  <c r="Y61" i="9"/>
  <c r="N19" i="8"/>
  <c r="N20" i="8"/>
  <c r="O35" i="3"/>
  <c r="O34" i="3" s="1"/>
  <c r="AA31" i="9"/>
  <c r="AB30" i="9" s="1"/>
  <c r="Q49" i="12"/>
  <c r="Q48" i="12" s="1"/>
  <c r="N38" i="3"/>
  <c r="N37" i="3" s="1"/>
  <c r="AA33" i="9"/>
  <c r="AA32" i="9" s="1"/>
  <c r="R23" i="3"/>
  <c r="Q65" i="3"/>
  <c r="Q66" i="3" s="1"/>
  <c r="AB24" i="9"/>
  <c r="AB15" i="9" s="1"/>
  <c r="AB14" i="9" s="1"/>
  <c r="AB29" i="9" s="1"/>
  <c r="Q14" i="3"/>
  <c r="O9" i="8"/>
  <c r="AC8" i="3"/>
  <c r="P32" i="3"/>
  <c r="P31" i="3" s="1"/>
  <c r="P13" i="3"/>
  <c r="P28" i="3" s="1"/>
  <c r="P67" i="3"/>
  <c r="P69" i="3"/>
  <c r="P70" i="3" s="1"/>
  <c r="O30" i="3"/>
  <c r="P29" i="3" s="1"/>
  <c r="O10" i="8" s="1"/>
  <c r="AA51" i="9" s="1"/>
  <c r="L21" i="8"/>
  <c r="L15" i="8"/>
  <c r="L22" i="8" s="1"/>
  <c r="N7" i="8"/>
  <c r="Z50" i="9"/>
  <c r="N66" i="8"/>
  <c r="N68" i="8" s="1"/>
  <c r="M14" i="8"/>
  <c r="Z32" i="9"/>
  <c r="Z36" i="9"/>
  <c r="Z35" i="9" s="1"/>
  <c r="O38" i="3" l="1"/>
  <c r="O37" i="3" s="1"/>
  <c r="Y62" i="9"/>
  <c r="AB31" i="9"/>
  <c r="AC30" i="9" s="1"/>
  <c r="Z48" i="9"/>
  <c r="Z55" i="9" s="1"/>
  <c r="Z56" i="9" s="1"/>
  <c r="Z63" i="9" s="1"/>
  <c r="Z60" i="9"/>
  <c r="Z61" i="9"/>
  <c r="O20" i="8"/>
  <c r="O19" i="8"/>
  <c r="Q50" i="12"/>
  <c r="T65" i="12" s="1"/>
  <c r="Q51" i="12"/>
  <c r="T66" i="12" s="1"/>
  <c r="AA36" i="9"/>
  <c r="AA35" i="9" s="1"/>
  <c r="AB33" i="9"/>
  <c r="AB32" i="9" s="1"/>
  <c r="O7" i="8"/>
  <c r="AA50" i="9"/>
  <c r="N14" i="8"/>
  <c r="O66" i="8"/>
  <c r="O68" i="8" s="1"/>
  <c r="M21" i="8"/>
  <c r="M15" i="8"/>
  <c r="M22" i="8" s="1"/>
  <c r="Q13" i="3"/>
  <c r="Q28" i="3" s="1"/>
  <c r="P9" i="8"/>
  <c r="AD8" i="3"/>
  <c r="Q32" i="3"/>
  <c r="Q31" i="3" s="1"/>
  <c r="P35" i="3"/>
  <c r="P30" i="3"/>
  <c r="Q29" i="3" s="1"/>
  <c r="P10" i="8" s="1"/>
  <c r="AB51" i="9" s="1"/>
  <c r="Q69" i="3"/>
  <c r="Q70" i="3" s="1"/>
  <c r="Q67" i="3"/>
  <c r="AC24" i="9"/>
  <c r="R14" i="3"/>
  <c r="R65" i="3"/>
  <c r="C23" i="3"/>
  <c r="C14" i="3" s="1"/>
  <c r="Z62" i="9" l="1"/>
  <c r="T64" i="12"/>
  <c r="AA48" i="9"/>
  <c r="AA55" i="9" s="1"/>
  <c r="AA56" i="9" s="1"/>
  <c r="AA63" i="9" s="1"/>
  <c r="AA60" i="9"/>
  <c r="AA61" i="9"/>
  <c r="P20" i="8"/>
  <c r="P19" i="8"/>
  <c r="AB36" i="9"/>
  <c r="AB35" i="9" s="1"/>
  <c r="Q45" i="12"/>
  <c r="Q55" i="12" s="1"/>
  <c r="N21" i="8"/>
  <c r="N15" i="8"/>
  <c r="N22" i="8" s="1"/>
  <c r="R66" i="3"/>
  <c r="C65" i="3"/>
  <c r="C66" i="3" s="1"/>
  <c r="AC15" i="9"/>
  <c r="AD24" i="9"/>
  <c r="AD15" i="9" s="1"/>
  <c r="AD14" i="9" s="1"/>
  <c r="AD29" i="9" s="1"/>
  <c r="AD31" i="9" s="1"/>
  <c r="Q30" i="3"/>
  <c r="R29" i="3" s="1"/>
  <c r="Q10" i="8" s="1"/>
  <c r="AC51" i="9" s="1"/>
  <c r="AB50" i="9"/>
  <c r="P7" i="8"/>
  <c r="P38" i="3"/>
  <c r="P37" i="3" s="1"/>
  <c r="P34" i="3"/>
  <c r="R32" i="3"/>
  <c r="R31" i="3" s="1"/>
  <c r="Q9" i="8"/>
  <c r="R13" i="3"/>
  <c r="R28" i="3" s="1"/>
  <c r="AE8" i="3"/>
  <c r="C35" i="3"/>
  <c r="C13" i="3"/>
  <c r="C28" i="3" s="1"/>
  <c r="C30" i="3" s="1"/>
  <c r="Q35" i="3"/>
  <c r="O14" i="8"/>
  <c r="P66" i="8"/>
  <c r="P68" i="8" s="1"/>
  <c r="AA62" i="9" l="1"/>
  <c r="AB48" i="9"/>
  <c r="AB55" i="9" s="1"/>
  <c r="AB56" i="9" s="1"/>
  <c r="AB63" i="9" s="1"/>
  <c r="AB60" i="9"/>
  <c r="AB61" i="9"/>
  <c r="Q20" i="8"/>
  <c r="Q19" i="8"/>
  <c r="Q57" i="12"/>
  <c r="R56" i="12" s="1"/>
  <c r="R57" i="12" s="1"/>
  <c r="S56" i="12" s="1"/>
  <c r="S57" i="12" s="1"/>
  <c r="T56" i="12" s="1"/>
  <c r="Q30" i="12"/>
  <c r="Q26" i="12" s="1"/>
  <c r="R35" i="3"/>
  <c r="R38" i="3" s="1"/>
  <c r="R37" i="3" s="1"/>
  <c r="AC33" i="9"/>
  <c r="AC14" i="9"/>
  <c r="AC29" i="9" s="1"/>
  <c r="AC31" i="9" s="1"/>
  <c r="Q7" i="8"/>
  <c r="Q14" i="8" s="1"/>
  <c r="AC50" i="9"/>
  <c r="S9" i="8"/>
  <c r="S7" i="8" s="1"/>
  <c r="S14" i="8" s="1"/>
  <c r="S15" i="8" s="1"/>
  <c r="R30" i="3"/>
  <c r="W28" i="3"/>
  <c r="Y28" i="3" s="1"/>
  <c r="C69" i="3"/>
  <c r="C70" i="3" s="1"/>
  <c r="C67" i="3"/>
  <c r="R69" i="3"/>
  <c r="R70" i="3" s="1"/>
  <c r="R67" i="3"/>
  <c r="P14" i="8"/>
  <c r="Q66" i="8"/>
  <c r="Q34" i="3"/>
  <c r="Q38" i="3"/>
  <c r="Q37" i="3" s="1"/>
  <c r="O21" i="8"/>
  <c r="O15" i="8"/>
  <c r="O22" i="8" s="1"/>
  <c r="AB62" i="9" l="1"/>
  <c r="AC48" i="9"/>
  <c r="AC55" i="9" s="1"/>
  <c r="AC56" i="9" s="1"/>
  <c r="AC63" i="9" s="1"/>
  <c r="AC60" i="9"/>
  <c r="AC61" i="9"/>
  <c r="T19" i="8"/>
  <c r="U19" i="8"/>
  <c r="U20" i="8"/>
  <c r="T20" i="8"/>
  <c r="R26" i="12"/>
  <c r="R29" i="12"/>
  <c r="R27" i="12" s="1"/>
  <c r="R34" i="3"/>
  <c r="T34" i="3" s="1"/>
  <c r="Q21" i="8"/>
  <c r="Q15" i="8"/>
  <c r="Q22" i="8" s="1"/>
  <c r="Q68" i="8"/>
  <c r="R66" i="8"/>
  <c r="P21" i="8"/>
  <c r="P15" i="8"/>
  <c r="P22" i="8" s="1"/>
  <c r="AC36" i="9"/>
  <c r="AC35" i="9" s="1"/>
  <c r="AC32" i="9"/>
  <c r="AC62" i="9" l="1"/>
  <c r="AE62" i="9" s="1"/>
  <c r="B217" i="9" s="1"/>
  <c r="AG61" i="9"/>
  <c r="AF61" i="9"/>
  <c r="AE61" i="9"/>
  <c r="J206" i="9" s="1"/>
  <c r="AF60" i="9"/>
  <c r="AG60" i="9"/>
  <c r="AE60" i="9"/>
  <c r="V34" i="3"/>
  <c r="W34" i="3"/>
  <c r="S26" i="12"/>
  <c r="S29" i="12"/>
  <c r="S27" i="12" s="1"/>
  <c r="U22" i="8"/>
  <c r="T22" i="8"/>
  <c r="R68" i="8"/>
  <c r="S66" i="8"/>
  <c r="U21" i="8"/>
  <c r="T21" i="8"/>
  <c r="AE63" i="9"/>
  <c r="J217" i="9" s="1"/>
  <c r="AG63" i="9"/>
  <c r="AF63" i="9"/>
  <c r="M80" i="9" s="1"/>
  <c r="M115" i="9" l="1"/>
  <c r="M112" i="9"/>
  <c r="B115" i="9"/>
  <c r="M107" i="9"/>
  <c r="M104" i="9"/>
  <c r="B107" i="9"/>
  <c r="M99" i="9"/>
  <c r="M96" i="9"/>
  <c r="B99" i="9"/>
  <c r="M91" i="9"/>
  <c r="M88" i="9"/>
  <c r="B91" i="9"/>
  <c r="R206" i="9"/>
  <c r="B83" i="9"/>
  <c r="Z217" i="9"/>
  <c r="Z206" i="9"/>
  <c r="M83" i="9"/>
  <c r="B179" i="9"/>
  <c r="B206" i="9"/>
  <c r="R153" i="9"/>
  <c r="R179" i="9"/>
  <c r="J153" i="9"/>
  <c r="J179" i="9"/>
  <c r="Z164" i="9"/>
  <c r="Z190" i="9"/>
  <c r="Z153" i="9"/>
  <c r="Z179" i="9"/>
  <c r="J164" i="9"/>
  <c r="J190" i="9"/>
  <c r="B164" i="9"/>
  <c r="B190" i="9"/>
  <c r="B127" i="9"/>
  <c r="B153" i="9"/>
  <c r="Z138" i="9"/>
  <c r="J138" i="9"/>
  <c r="B138" i="9"/>
  <c r="R127" i="9"/>
  <c r="J127" i="9"/>
  <c r="Z127" i="9"/>
  <c r="AF62" i="9"/>
  <c r="AG62" i="9"/>
  <c r="T29" i="12"/>
  <c r="T27" i="12" s="1"/>
  <c r="T47" i="12" s="1"/>
  <c r="T49" i="12" s="1"/>
  <c r="S68" i="8"/>
  <c r="T66" i="8"/>
  <c r="B112" i="9" l="1"/>
  <c r="B104" i="9"/>
  <c r="B96" i="9"/>
  <c r="B88" i="9"/>
  <c r="B80" i="9"/>
  <c r="R190" i="9"/>
  <c r="R217" i="9"/>
  <c r="R138" i="9"/>
  <c r="R164" i="9"/>
  <c r="T48" i="12"/>
  <c r="T51" i="12"/>
  <c r="W66" i="12" s="1"/>
  <c r="T50" i="12"/>
  <c r="W65" i="12" s="1"/>
  <c r="T68" i="8"/>
  <c r="U66" i="8"/>
  <c r="W64" i="12" l="1"/>
  <c r="U68" i="8"/>
  <c r="V66" i="8"/>
  <c r="T45" i="12" l="1"/>
  <c r="T55" i="12" s="1"/>
  <c r="V68" i="8"/>
  <c r="W66" i="8"/>
  <c r="T57" i="12" l="1"/>
  <c r="T30" i="12"/>
  <c r="T26" i="12" s="1"/>
  <c r="X66" i="8"/>
  <c r="W68" i="8"/>
  <c r="U29" i="12" l="1"/>
  <c r="U27" i="12" s="1"/>
  <c r="X68" i="8"/>
  <c r="Y66" i="8"/>
  <c r="Z66" i="8" l="1"/>
  <c r="Y68" i="8"/>
  <c r="AA66" i="8" l="1"/>
  <c r="Z68" i="8"/>
  <c r="AB66" i="8" l="1"/>
  <c r="AA68" i="8"/>
  <c r="AB68" i="8" l="1"/>
  <c r="AC66" i="8"/>
  <c r="AC68" i="8" l="1"/>
  <c r="AD66" i="8"/>
  <c r="AE66" i="8" l="1"/>
  <c r="AD68" i="8"/>
  <c r="AF66" i="8" l="1"/>
  <c r="AE68" i="8"/>
  <c r="AF68" i="8" l="1"/>
  <c r="AG66" i="8"/>
  <c r="AH66" i="8" l="1"/>
  <c r="AG68" i="8"/>
  <c r="AH68" i="8" l="1"/>
  <c r="AI66" i="8"/>
  <c r="AI68" i="8" l="1"/>
  <c r="AJ66" i="8"/>
  <c r="AK66" i="8" l="1"/>
  <c r="AJ68" i="8"/>
  <c r="AL66" i="8" l="1"/>
  <c r="AK68" i="8"/>
  <c r="AL68" i="8" l="1"/>
  <c r="AM66" i="8"/>
  <c r="AN66" i="8" l="1"/>
  <c r="AM68" i="8"/>
  <c r="AN68" i="8" l="1"/>
  <c r="AO66" i="8"/>
  <c r="AP66" i="8" l="1"/>
  <c r="AO68" i="8"/>
  <c r="AQ66" i="8" l="1"/>
  <c r="AP68" i="8"/>
  <c r="AR66" i="8" l="1"/>
  <c r="AQ68" i="8"/>
  <c r="AR68" i="8" l="1"/>
  <c r="AS66" i="8"/>
  <c r="AT66" i="8" l="1"/>
  <c r="AS68" i="8"/>
  <c r="AU66" i="8" l="1"/>
  <c r="AT68" i="8"/>
  <c r="AV66" i="8" l="1"/>
  <c r="AU68" i="8"/>
  <c r="AW66" i="8" l="1"/>
  <c r="AV68" i="8"/>
  <c r="AW68" i="8" l="1"/>
  <c r="AX66" i="8"/>
  <c r="AY66" i="8" l="1"/>
  <c r="AX68" i="8"/>
  <c r="AY68" i="8" l="1"/>
  <c r="C66" i="8"/>
  <c r="C68" i="8" l="1"/>
  <c r="AY69" i="8" s="1"/>
  <c r="C78" i="8" l="1"/>
  <c r="E69" i="8"/>
  <c r="F69" i="8"/>
  <c r="D69" i="8"/>
  <c r="G69" i="8"/>
  <c r="H69" i="8"/>
  <c r="J69" i="8"/>
  <c r="I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J69" i="8"/>
  <c r="AK69" i="8"/>
  <c r="AL69" i="8"/>
  <c r="AM69" i="8"/>
  <c r="AN69" i="8"/>
  <c r="AO69" i="8"/>
  <c r="AP69" i="8"/>
  <c r="AQ69" i="8"/>
  <c r="AR69" i="8"/>
  <c r="AS69" i="8"/>
  <c r="AT69" i="8"/>
  <c r="AU69" i="8"/>
  <c r="AV69" i="8"/>
  <c r="AW69" i="8"/>
  <c r="AX69" i="8"/>
  <c r="D70" i="8" l="1"/>
  <c r="E70" i="8" s="1"/>
  <c r="F70" i="8" s="1"/>
  <c r="G70" i="8" s="1"/>
  <c r="H70" i="8" s="1"/>
  <c r="I70" i="8" s="1"/>
  <c r="J70" i="8" s="1"/>
  <c r="K70" i="8" s="1"/>
  <c r="L70" i="8" s="1"/>
  <c r="M70" i="8" s="1"/>
  <c r="N70" i="8" s="1"/>
  <c r="O70" i="8" s="1"/>
  <c r="P70" i="8" s="1"/>
  <c r="Q70" i="8" s="1"/>
  <c r="R70" i="8" s="1"/>
  <c r="S70" i="8" s="1"/>
  <c r="T70" i="8" s="1"/>
  <c r="U70" i="8" s="1"/>
  <c r="V70" i="8" s="1"/>
  <c r="W70" i="8" s="1"/>
  <c r="X70" i="8" s="1"/>
  <c r="Y70" i="8" s="1"/>
  <c r="Z70" i="8" s="1"/>
  <c r="AA70" i="8" s="1"/>
  <c r="AB70" i="8" s="1"/>
  <c r="AC70" i="8" s="1"/>
  <c r="AD70" i="8" s="1"/>
  <c r="AE70" i="8" s="1"/>
  <c r="AF70" i="8" s="1"/>
  <c r="AG70" i="8" s="1"/>
  <c r="AH70" i="8" s="1"/>
  <c r="AI70" i="8" s="1"/>
  <c r="AJ70" i="8" s="1"/>
  <c r="AK70" i="8" s="1"/>
  <c r="AL70" i="8" s="1"/>
  <c r="AM70" i="8" s="1"/>
  <c r="AN70" i="8" s="1"/>
  <c r="AO70" i="8" s="1"/>
  <c r="AP70" i="8" s="1"/>
  <c r="AQ70" i="8" s="1"/>
  <c r="AR70" i="8" s="1"/>
  <c r="AS70" i="8" s="1"/>
  <c r="AT70" i="8" s="1"/>
  <c r="AU70" i="8" s="1"/>
  <c r="AV70" i="8" s="1"/>
  <c r="AW70" i="8" s="1"/>
  <c r="AX70" i="8" s="1"/>
  <c r="AY70" i="8" s="1"/>
  <c r="C69" i="8"/>
  <c r="D79" i="8"/>
  <c r="U45" i="12" l="1"/>
  <c r="U55" i="12" s="1"/>
  <c r="U30" i="12" s="1"/>
  <c r="U26" i="12" s="1"/>
  <c r="V29" i="12" s="1"/>
  <c r="V27" i="12" s="1"/>
  <c r="U57" i="12" l="1"/>
  <c r="V26" i="12"/>
  <c r="W29" i="12" l="1"/>
  <c r="W27" i="12" s="1"/>
  <c r="W47" i="12" s="1"/>
  <c r="W49" i="12" l="1"/>
  <c r="W51" i="12" l="1"/>
  <c r="W50" i="12"/>
  <c r="W48" i="12"/>
  <c r="Z65" i="12" l="1"/>
  <c r="Z66" i="12"/>
  <c r="W45" i="12"/>
  <c r="W55" i="12" s="1"/>
  <c r="Z64" i="12" l="1"/>
  <c r="W30" i="12"/>
  <c r="W26" i="12" s="1"/>
  <c r="W57" i="12"/>
  <c r="X56" i="12" s="1"/>
  <c r="X57" i="12" s="1"/>
  <c r="Y56" i="12" s="1"/>
  <c r="Y57" i="12" s="1"/>
  <c r="Z56" i="12" s="1"/>
  <c r="X26" i="12" l="1"/>
  <c r="X29" i="12"/>
  <c r="X27" i="12" s="1"/>
  <c r="Y26" i="12" l="1"/>
  <c r="Y29" i="12"/>
  <c r="Y27" i="12" s="1"/>
  <c r="Z29" i="12" l="1"/>
  <c r="Z27" i="12" s="1"/>
  <c r="Z47" i="12" s="1"/>
  <c r="Z49" i="12" l="1"/>
  <c r="Z51" i="12" l="1"/>
  <c r="Z50" i="12"/>
  <c r="Z48" i="12"/>
  <c r="AC65" i="12" l="1"/>
  <c r="AC66" i="12"/>
  <c r="Z45" i="12"/>
  <c r="Z55" i="12" s="1"/>
  <c r="AC64" i="12" l="1"/>
  <c r="Z30" i="12"/>
  <c r="Z26" i="12" s="1"/>
  <c r="Z57" i="12"/>
  <c r="AA56" i="12" s="1"/>
  <c r="AA57" i="12" s="1"/>
  <c r="AB56" i="12" s="1"/>
  <c r="AB57" i="12" s="1"/>
  <c r="AC56" i="12" s="1"/>
  <c r="AA29" i="12" l="1"/>
  <c r="AA27" i="12" s="1"/>
  <c r="AA26" i="12"/>
  <c r="AB29" i="12" l="1"/>
  <c r="AB27" i="12" s="1"/>
  <c r="AB26" i="12"/>
  <c r="AC29" i="12" l="1"/>
  <c r="AC27" i="12" s="1"/>
  <c r="AC47" i="12" s="1"/>
  <c r="AC49" i="12" l="1"/>
  <c r="AC51" i="12" l="1"/>
  <c r="AC50" i="12"/>
  <c r="AC48" i="12"/>
  <c r="AF65" i="12" l="1"/>
  <c r="AF66" i="12"/>
  <c r="AC45" i="12"/>
  <c r="AC55" i="12" s="1"/>
  <c r="AF64" i="12" l="1"/>
  <c r="AC30" i="12"/>
  <c r="AC26" i="12" s="1"/>
  <c r="AC57" i="12"/>
  <c r="AD56" i="12" s="1"/>
  <c r="AD57" i="12" s="1"/>
  <c r="AE56" i="12" s="1"/>
  <c r="AE57" i="12" s="1"/>
  <c r="AF56" i="12" s="1"/>
  <c r="AD29" i="12" l="1"/>
  <c r="AD27" i="12" s="1"/>
  <c r="AD26" i="12"/>
  <c r="AE29" i="12" l="1"/>
  <c r="AE27" i="12" s="1"/>
  <c r="AE26" i="12"/>
  <c r="AF29" i="12" l="1"/>
  <c r="AF27" i="12" s="1"/>
  <c r="AF47" i="12" s="1"/>
  <c r="AF49" i="12" l="1"/>
  <c r="AF51" i="12" l="1"/>
  <c r="AF50" i="12"/>
  <c r="AF48" i="12"/>
  <c r="AI65" i="12" l="1"/>
  <c r="F20" i="11"/>
  <c r="AI66" i="12"/>
  <c r="F21" i="11"/>
  <c r="AF45" i="12"/>
  <c r="AF55" i="12" s="1"/>
  <c r="F19" i="11" l="1"/>
  <c r="F18" i="11" s="1"/>
  <c r="AI64" i="12"/>
  <c r="AF30" i="12"/>
  <c r="AF26" i="12" s="1"/>
  <c r="AF57" i="12"/>
  <c r="AG56" i="12" s="1"/>
  <c r="AG57" i="12" s="1"/>
  <c r="AH56" i="12" s="1"/>
  <c r="AH57" i="12" s="1"/>
  <c r="AI56" i="12" s="1"/>
  <c r="AG26" i="12" l="1"/>
  <c r="AG29" i="12"/>
  <c r="AG27" i="12" s="1"/>
  <c r="AH26" i="12" l="1"/>
  <c r="AH29" i="12"/>
  <c r="AH27" i="12" s="1"/>
  <c r="AI29" i="12" l="1"/>
  <c r="AI27" i="12" s="1"/>
  <c r="AI47" i="12" s="1"/>
  <c r="AI49" i="12" l="1"/>
  <c r="AI51" i="12" l="1"/>
  <c r="AI50" i="12"/>
  <c r="AI48" i="12"/>
  <c r="AL65" i="12" l="1"/>
  <c r="AL66" i="12"/>
  <c r="AI45" i="12"/>
  <c r="AI55" i="12" s="1"/>
  <c r="AL64" i="12" l="1"/>
  <c r="AI30" i="12"/>
  <c r="AI26" i="12" s="1"/>
  <c r="AI57" i="12"/>
  <c r="AJ56" i="12" s="1"/>
  <c r="AJ57" i="12" s="1"/>
  <c r="AK56" i="12" s="1"/>
  <c r="AK57" i="12" s="1"/>
  <c r="AL56" i="12" s="1"/>
  <c r="AJ29" i="12" l="1"/>
  <c r="AJ27" i="12" s="1"/>
  <c r="AJ26" i="12"/>
  <c r="AK29" i="12" l="1"/>
  <c r="AK27" i="12" s="1"/>
  <c r="AK26" i="12"/>
  <c r="AL29" i="12" l="1"/>
  <c r="AL27" i="12" s="1"/>
  <c r="AL47" i="12" s="1"/>
  <c r="AL49" i="12" l="1"/>
  <c r="AL48" i="12" l="1"/>
  <c r="AL45" i="12" s="1"/>
  <c r="AL55" i="12" s="1"/>
  <c r="AL30" i="12" s="1"/>
  <c r="AL26" i="12" s="1"/>
  <c r="AL51" i="12"/>
  <c r="AL50" i="12"/>
  <c r="AL57" i="12" l="1"/>
  <c r="AM56" i="12" s="1"/>
  <c r="AM57" i="12" s="1"/>
  <c r="AN56" i="12" s="1"/>
  <c r="AN57" i="12" s="1"/>
  <c r="AO56" i="12" s="1"/>
  <c r="AO66" i="12"/>
  <c r="AO65" i="12"/>
  <c r="AM29" i="12"/>
  <c r="AM27" i="12" s="1"/>
  <c r="AM26" i="12"/>
  <c r="AO64" i="12" l="1"/>
  <c r="AN26" i="12"/>
  <c r="AN29" i="12"/>
  <c r="AN27" i="12" s="1"/>
  <c r="AO29" i="12" l="1"/>
  <c r="AO27" i="12" s="1"/>
  <c r="AO47" i="12" s="1"/>
  <c r="AO49" i="12" l="1"/>
  <c r="AO48" i="12" l="1"/>
  <c r="AO45" i="12" s="1"/>
  <c r="AO55" i="12" s="1"/>
  <c r="AO30" i="12" s="1"/>
  <c r="AO26" i="12" s="1"/>
  <c r="AO51" i="12"/>
  <c r="AO50" i="12"/>
  <c r="AO57" i="12" l="1"/>
  <c r="AP56" i="12" s="1"/>
  <c r="AP57" i="12" s="1"/>
  <c r="AQ56" i="12" s="1"/>
  <c r="AQ57" i="12" s="1"/>
  <c r="AR56" i="12" s="1"/>
  <c r="AR65" i="12"/>
  <c r="AR66" i="12"/>
  <c r="AP26" i="12"/>
  <c r="AP29" i="12"/>
  <c r="AP27" i="12" s="1"/>
  <c r="AR64" i="12" l="1"/>
  <c r="AQ29" i="12"/>
  <c r="AQ27" i="12" s="1"/>
  <c r="AQ26" i="12"/>
  <c r="AR29" i="12" l="1"/>
  <c r="AR27" i="12" s="1"/>
  <c r="AR47" i="12" s="1"/>
  <c r="AR49" i="12" l="1"/>
  <c r="AR48" i="12" l="1"/>
  <c r="AR45" i="12" s="1"/>
  <c r="AR55" i="12" s="1"/>
  <c r="AR30" i="12" s="1"/>
  <c r="AR26" i="12" s="1"/>
  <c r="AR51" i="12"/>
  <c r="AU66" i="12" s="1"/>
  <c r="AR50" i="12"/>
  <c r="AU65" i="12" s="1"/>
  <c r="AR57" i="12" l="1"/>
  <c r="AS56" i="12" s="1"/>
  <c r="AS57" i="12" s="1"/>
  <c r="AT56" i="12" s="1"/>
  <c r="AT57" i="12" s="1"/>
  <c r="AU56" i="12" s="1"/>
  <c r="AU64" i="12"/>
  <c r="AS29" i="12"/>
  <c r="AS27" i="12" s="1"/>
  <c r="AS26" i="12"/>
  <c r="AT29" i="12" l="1"/>
  <c r="AT27" i="12" s="1"/>
  <c r="AT26" i="12"/>
  <c r="AU29" i="12" l="1"/>
  <c r="AU27" i="12" s="1"/>
  <c r="AU47" i="12" s="1"/>
  <c r="AU49" i="12" l="1"/>
  <c r="AU48" i="12" l="1"/>
  <c r="AU45" i="12" s="1"/>
  <c r="AU55" i="12" s="1"/>
  <c r="AU30" i="12" s="1"/>
  <c r="AU26" i="12" s="1"/>
  <c r="AU50" i="12"/>
  <c r="AU51" i="12"/>
  <c r="AU57" i="12" l="1"/>
  <c r="AV56" i="12" s="1"/>
  <c r="AV57" i="12" s="1"/>
  <c r="AW56" i="12" s="1"/>
  <c r="AW57" i="12" s="1"/>
  <c r="AX56" i="12" s="1"/>
  <c r="AX66" i="12"/>
  <c r="AX65" i="12"/>
  <c r="AV26" i="12"/>
  <c r="AV29" i="12"/>
  <c r="AV27" i="12" s="1"/>
  <c r="AX64" i="12" l="1"/>
  <c r="AW26" i="12"/>
  <c r="AW29" i="12"/>
  <c r="AW27" i="12" s="1"/>
  <c r="AX29" i="12" l="1"/>
  <c r="AX27" i="12" s="1"/>
  <c r="AX47" i="12" s="1"/>
  <c r="AX49" i="12" l="1"/>
  <c r="AX48" i="12" l="1"/>
  <c r="AX45" i="12" s="1"/>
  <c r="AX55" i="12" s="1"/>
  <c r="AX57" i="12" s="1"/>
  <c r="AY56" i="12" s="1"/>
  <c r="AY57" i="12" s="1"/>
  <c r="AZ56" i="12" s="1"/>
  <c r="AZ57" i="12" s="1"/>
  <c r="BA56" i="12" s="1"/>
  <c r="AX51" i="12"/>
  <c r="AX50" i="12"/>
  <c r="AX30" i="12" l="1"/>
  <c r="AX26" i="12" s="1"/>
  <c r="AY29" i="12" s="1"/>
  <c r="AY27" i="12" s="1"/>
  <c r="BA66" i="12"/>
  <c r="BA65" i="12"/>
  <c r="AY26" i="12" l="1"/>
  <c r="AZ26" i="12" s="1"/>
  <c r="BA64" i="12"/>
  <c r="AZ29" i="12" l="1"/>
  <c r="AZ27" i="12" s="1"/>
  <c r="BA29" i="12"/>
  <c r="BA27" i="12" s="1"/>
  <c r="BA47" i="12" l="1"/>
  <c r="BA49" i="12" s="1"/>
  <c r="BA48" i="12" l="1"/>
  <c r="BA45" i="12" s="1"/>
  <c r="BA55" i="12" s="1"/>
  <c r="BA30" i="12" s="1"/>
  <c r="BA26" i="12" s="1"/>
  <c r="BA51" i="12"/>
  <c r="BA50" i="12"/>
  <c r="BA57" i="12" l="1"/>
  <c r="BB56" i="12" s="1"/>
  <c r="BB57" i="12" s="1"/>
  <c r="BC56" i="12" s="1"/>
  <c r="BC57" i="12" s="1"/>
  <c r="BD56" i="12" s="1"/>
  <c r="BD66" i="12"/>
  <c r="BD65" i="12"/>
  <c r="BB29" i="12"/>
  <c r="BB27" i="12" s="1"/>
  <c r="BB26" i="12"/>
  <c r="BD64" i="12" l="1"/>
  <c r="BC29" i="12"/>
  <c r="BC27" i="12" s="1"/>
  <c r="BC26" i="12"/>
  <c r="BD29" i="12" l="1"/>
  <c r="BD27" i="12" s="1"/>
  <c r="BD47" i="12" s="1"/>
  <c r="BD49" i="12" l="1"/>
  <c r="BD48" i="12" l="1"/>
  <c r="BD45" i="12" s="1"/>
  <c r="BD55" i="12" s="1"/>
  <c r="BD30" i="12" s="1"/>
  <c r="BD26" i="12" s="1"/>
  <c r="BD51" i="12"/>
  <c r="BG66" i="12" s="1"/>
  <c r="BD50" i="12"/>
  <c r="BG65" i="12" s="1"/>
  <c r="BG64" i="12" l="1"/>
  <c r="BD57" i="12"/>
  <c r="BE56" i="12" s="1"/>
  <c r="BE57" i="12" s="1"/>
  <c r="BF56" i="12" s="1"/>
  <c r="BF57" i="12" s="1"/>
  <c r="BG56" i="12" s="1"/>
  <c r="BE26" i="12"/>
  <c r="BE29" i="12"/>
  <c r="BE27" i="12" s="1"/>
  <c r="BF26" i="12" l="1"/>
  <c r="BF29" i="12"/>
  <c r="BF27" i="12" s="1"/>
  <c r="BG29" i="12" l="1"/>
  <c r="BG27" i="12" s="1"/>
  <c r="BG47" i="12" s="1"/>
  <c r="BG49" i="12" l="1"/>
  <c r="BG48" i="12" l="1"/>
  <c r="BG45" i="12" s="1"/>
  <c r="BG55" i="12" s="1"/>
  <c r="BG57" i="12" s="1"/>
  <c r="BH56" i="12" s="1"/>
  <c r="BH57" i="12" s="1"/>
  <c r="BI56" i="12" s="1"/>
  <c r="BI57" i="12" s="1"/>
  <c r="BJ56" i="12" s="1"/>
  <c r="BG51" i="12"/>
  <c r="BG50" i="12"/>
  <c r="BG30" i="12" l="1"/>
  <c r="BG26" i="12" s="1"/>
  <c r="BH29" i="12" s="1"/>
  <c r="BH27" i="12" s="1"/>
  <c r="BJ66" i="12"/>
  <c r="BJ65" i="12"/>
  <c r="BH26" i="12" l="1"/>
  <c r="BI29" i="12" s="1"/>
  <c r="BI27" i="12" s="1"/>
  <c r="BJ64" i="12"/>
  <c r="BI26" i="12" l="1"/>
  <c r="BJ29" i="12" s="1"/>
  <c r="BJ27" i="12" s="1"/>
  <c r="BJ47" i="12" s="1"/>
  <c r="BJ49" i="12" l="1"/>
  <c r="BJ48" i="12" l="1"/>
  <c r="BJ45" i="12" s="1"/>
  <c r="BJ55" i="12" s="1"/>
  <c r="BJ30" i="12" s="1"/>
  <c r="BJ26" i="12" s="1"/>
  <c r="BJ51" i="12"/>
  <c r="BJ50" i="12"/>
  <c r="BJ57" i="12" l="1"/>
  <c r="BK56" i="12" s="1"/>
  <c r="BK57" i="12" s="1"/>
  <c r="BL56" i="12" s="1"/>
  <c r="BL57" i="12" s="1"/>
  <c r="BM56" i="12" s="1"/>
  <c r="BM65" i="12"/>
  <c r="BM66" i="12"/>
  <c r="BK29" i="12"/>
  <c r="BK27" i="12" s="1"/>
  <c r="BK26" i="12"/>
  <c r="BM64" i="12" l="1"/>
  <c r="BL26" i="12"/>
  <c r="BL29" i="12"/>
  <c r="BL27" i="12" s="1"/>
  <c r="BM29" i="12" l="1"/>
  <c r="BM27" i="12" s="1"/>
  <c r="BM47" i="12" s="1"/>
  <c r="BM49" i="12" l="1"/>
  <c r="BM48" i="12" l="1"/>
  <c r="BM45" i="12" s="1"/>
  <c r="BM55" i="12" s="1"/>
  <c r="BM30" i="12" s="1"/>
  <c r="BM26" i="12" s="1"/>
  <c r="BM51" i="12"/>
  <c r="BM50" i="12"/>
  <c r="BM57" i="12" l="1"/>
  <c r="BN56" i="12" s="1"/>
  <c r="BN57" i="12" s="1"/>
  <c r="BO56" i="12" s="1"/>
  <c r="BO57" i="12" s="1"/>
  <c r="BP56" i="12" s="1"/>
  <c r="BP65" i="12"/>
  <c r="BP66" i="12"/>
  <c r="BN26" i="12"/>
  <c r="BN29" i="12"/>
  <c r="BN27" i="12" s="1"/>
  <c r="BP64" i="12" l="1"/>
  <c r="BO29" i="12"/>
  <c r="BO27" i="12" s="1"/>
  <c r="BO26" i="12"/>
  <c r="BP29" i="12" l="1"/>
  <c r="BP27" i="12" s="1"/>
  <c r="BP47" i="12" s="1"/>
  <c r="BP49" i="12" l="1"/>
  <c r="BP48" i="12" l="1"/>
  <c r="BP45" i="12" s="1"/>
  <c r="BP55" i="12" s="1"/>
  <c r="BP30" i="12" s="1"/>
  <c r="BP26" i="12" s="1"/>
  <c r="BP51" i="12"/>
  <c r="BP50" i="12"/>
  <c r="BP57" i="12" l="1"/>
  <c r="BQ56" i="12" s="1"/>
  <c r="BQ57" i="12" s="1"/>
  <c r="BR56" i="12" s="1"/>
  <c r="BR57" i="12" s="1"/>
  <c r="BS56" i="12" s="1"/>
  <c r="BS66" i="12"/>
  <c r="I21" i="11"/>
  <c r="BS65" i="12"/>
  <c r="I20" i="11"/>
  <c r="BQ29" i="12"/>
  <c r="BQ27" i="12" s="1"/>
  <c r="BQ26" i="12"/>
  <c r="BS64" i="12" l="1"/>
  <c r="I19" i="11"/>
  <c r="I18" i="11" s="1"/>
  <c r="BR29" i="12"/>
  <c r="BR27" i="12" s="1"/>
  <c r="BR26" i="12"/>
  <c r="BS29" i="12" l="1"/>
  <c r="BS27" i="12" s="1"/>
  <c r="BS47" i="12" s="1"/>
  <c r="BS49" i="12" l="1"/>
  <c r="BS48" i="12" l="1"/>
  <c r="BS45" i="12" s="1"/>
  <c r="BS55" i="12" s="1"/>
  <c r="BS30" i="12" s="1"/>
  <c r="BS26" i="12" s="1"/>
  <c r="BS51" i="12"/>
  <c r="BS50" i="12"/>
  <c r="BV65" i="12" l="1"/>
  <c r="BV66" i="12"/>
  <c r="BS57" i="12"/>
  <c r="BT56" i="12" s="1"/>
  <c r="BT57" i="12" s="1"/>
  <c r="BU56" i="12" s="1"/>
  <c r="BU57" i="12" s="1"/>
  <c r="BV56" i="12" s="1"/>
  <c r="BT26" i="12"/>
  <c r="BT29" i="12"/>
  <c r="BT27" i="12" s="1"/>
  <c r="BV64" i="12" l="1"/>
  <c r="BU26" i="12"/>
  <c r="BU29" i="12"/>
  <c r="BU27" i="12" s="1"/>
  <c r="BV29" i="12" l="1"/>
  <c r="BV27" i="12" s="1"/>
  <c r="BV47" i="12" s="1"/>
  <c r="BV49" i="12" l="1"/>
  <c r="BV48" i="12" l="1"/>
  <c r="BV45" i="12" s="1"/>
  <c r="BV55" i="12" s="1"/>
  <c r="BV30" i="12" s="1"/>
  <c r="BV26" i="12" s="1"/>
  <c r="BV51" i="12"/>
  <c r="BV50" i="12"/>
  <c r="BV57" i="12" l="1"/>
  <c r="BW56" i="12" s="1"/>
  <c r="BW57" i="12" s="1"/>
  <c r="BX56" i="12" s="1"/>
  <c r="BX57" i="12" s="1"/>
  <c r="BY56" i="12" s="1"/>
  <c r="BY66" i="12"/>
  <c r="BY65" i="12"/>
  <c r="BW29" i="12"/>
  <c r="BW27" i="12" s="1"/>
  <c r="BW26" i="12"/>
  <c r="BY64" i="12" l="1"/>
  <c r="BX29" i="12"/>
  <c r="BX27" i="12" s="1"/>
  <c r="BX26" i="12"/>
  <c r="BY29" i="12" l="1"/>
  <c r="BY27" i="12" s="1"/>
  <c r="BY47" i="12" s="1"/>
  <c r="BY49" i="12" l="1"/>
  <c r="BY48" i="12" l="1"/>
  <c r="BY45" i="12" s="1"/>
  <c r="BY55" i="12" s="1"/>
  <c r="BY30" i="12" s="1"/>
  <c r="BY26" i="12" s="1"/>
  <c r="BY51" i="12"/>
  <c r="BY50" i="12"/>
  <c r="BY57" i="12" l="1"/>
  <c r="BZ56" i="12" s="1"/>
  <c r="BZ57" i="12" s="1"/>
  <c r="CA56" i="12" s="1"/>
  <c r="CA57" i="12" s="1"/>
  <c r="CB56" i="12" s="1"/>
  <c r="CB66" i="12"/>
  <c r="CB65" i="12"/>
  <c r="BZ29" i="12"/>
  <c r="BZ27" i="12" s="1"/>
  <c r="BZ26" i="12"/>
  <c r="CB64" i="12" l="1"/>
  <c r="CA29" i="12"/>
  <c r="CA27" i="12" s="1"/>
  <c r="CA26" i="12"/>
  <c r="CB29" i="12" l="1"/>
  <c r="CB27" i="12" s="1"/>
  <c r="CB47" i="12" s="1"/>
  <c r="CB49" i="12" l="1"/>
  <c r="CB48" i="12" l="1"/>
  <c r="CB45" i="12" s="1"/>
  <c r="CB55" i="12" s="1"/>
  <c r="CB30" i="12" s="1"/>
  <c r="CB26" i="12" s="1"/>
  <c r="CB51" i="12"/>
  <c r="CB50" i="12"/>
  <c r="CB57" i="12" l="1"/>
  <c r="CC56" i="12" s="1"/>
  <c r="CC57" i="12" s="1"/>
  <c r="CD56" i="12" s="1"/>
  <c r="CD57" i="12" s="1"/>
  <c r="CE56" i="12" s="1"/>
  <c r="CE65" i="12"/>
  <c r="J20" i="11"/>
  <c r="CE66" i="12"/>
  <c r="J21" i="11"/>
  <c r="CC26" i="12"/>
  <c r="CC29" i="12"/>
  <c r="CC27" i="12" s="1"/>
  <c r="CE64" i="12" l="1"/>
  <c r="J19" i="11"/>
  <c r="J18" i="11" s="1"/>
  <c r="CD26" i="12"/>
  <c r="CD29" i="12"/>
  <c r="CD27" i="12" s="1"/>
  <c r="CE29" i="12" l="1"/>
  <c r="CE27" i="12" s="1"/>
  <c r="CE47" i="12" s="1"/>
  <c r="CE49" i="12" l="1"/>
  <c r="CE48" i="12" l="1"/>
  <c r="CE45" i="12" s="1"/>
  <c r="CE55" i="12" s="1"/>
  <c r="CE30" i="12" s="1"/>
  <c r="CE26" i="12" s="1"/>
  <c r="CE51" i="12"/>
  <c r="CE50" i="12"/>
  <c r="CE57" i="12" l="1"/>
  <c r="CF56" i="12" s="1"/>
  <c r="CF57" i="12" s="1"/>
  <c r="CG56" i="12" s="1"/>
  <c r="CG57" i="12" s="1"/>
  <c r="CH56" i="12" s="1"/>
  <c r="CH66" i="12"/>
  <c r="CH65" i="12"/>
  <c r="CF29" i="12"/>
  <c r="CF27" i="12" s="1"/>
  <c r="CF26" i="12"/>
  <c r="CH64" i="12" l="1"/>
  <c r="CG29" i="12"/>
  <c r="CG27" i="12" s="1"/>
  <c r="CG26" i="12"/>
  <c r="CH29" i="12" l="1"/>
  <c r="CH27" i="12" s="1"/>
  <c r="CH47" i="12" s="1"/>
  <c r="CH49" i="12" l="1"/>
  <c r="CH48" i="12" l="1"/>
  <c r="CH45" i="12" s="1"/>
  <c r="CH55" i="12" s="1"/>
  <c r="CH30" i="12" s="1"/>
  <c r="CH26" i="12" s="1"/>
  <c r="CH51" i="12"/>
  <c r="CH50" i="12"/>
  <c r="CH57" i="12" l="1"/>
  <c r="CI56" i="12" s="1"/>
  <c r="CI57" i="12" s="1"/>
  <c r="CJ56" i="12" s="1"/>
  <c r="CJ57" i="12" s="1"/>
  <c r="CK56" i="12" s="1"/>
  <c r="CK65" i="12"/>
  <c r="CK66" i="12"/>
  <c r="CI29" i="12"/>
  <c r="CI27" i="12" s="1"/>
  <c r="CI26" i="12"/>
  <c r="CK64" i="12" l="1"/>
  <c r="CJ26" i="12"/>
  <c r="CJ29" i="12"/>
  <c r="CJ27" i="12" s="1"/>
  <c r="CK29" i="12" l="1"/>
  <c r="CK27" i="12" s="1"/>
  <c r="CK47" i="12" s="1"/>
  <c r="CK49" i="12" l="1"/>
  <c r="CK48" i="12" l="1"/>
  <c r="CK45" i="12" s="1"/>
  <c r="CK55" i="12" s="1"/>
  <c r="CK30" i="12" s="1"/>
  <c r="CK26" i="12" s="1"/>
  <c r="CK51" i="12"/>
  <c r="CK50" i="12"/>
  <c r="CK57" i="12" l="1"/>
  <c r="CL56" i="12" s="1"/>
  <c r="CL57" i="12" s="1"/>
  <c r="CM56" i="12" s="1"/>
  <c r="CM57" i="12" s="1"/>
  <c r="CN56" i="12" s="1"/>
  <c r="CN65" i="12"/>
  <c r="CN66" i="12"/>
  <c r="CL26" i="12"/>
  <c r="CL29" i="12"/>
  <c r="CL27" i="12" s="1"/>
  <c r="CN64" i="12" l="1"/>
  <c r="CM29" i="12"/>
  <c r="CM27" i="12" s="1"/>
  <c r="CM26" i="12"/>
  <c r="CN29" i="12" l="1"/>
  <c r="CN27" i="12" s="1"/>
  <c r="CN47" i="12" s="1"/>
  <c r="CN49" i="12" l="1"/>
  <c r="CN48" i="12" l="1"/>
  <c r="CN45" i="12" s="1"/>
  <c r="CN55" i="12" s="1"/>
  <c r="CN30" i="12" s="1"/>
  <c r="CN26" i="12" s="1"/>
  <c r="CN51" i="12"/>
  <c r="CN50" i="12"/>
  <c r="CQ65" i="12" l="1"/>
  <c r="K20" i="11"/>
  <c r="CQ66" i="12"/>
  <c r="K21" i="11"/>
  <c r="CN57" i="12"/>
  <c r="CO56" i="12" s="1"/>
  <c r="CO57" i="12" s="1"/>
  <c r="CP56" i="12" s="1"/>
  <c r="CP57" i="12" s="1"/>
  <c r="CQ56" i="12" s="1"/>
  <c r="CO29" i="12"/>
  <c r="CO27" i="12" s="1"/>
  <c r="CO26" i="12"/>
  <c r="CQ64" i="12" l="1"/>
  <c r="K19" i="11"/>
  <c r="K18" i="11" s="1"/>
  <c r="CP29" i="12"/>
  <c r="CP27" i="12" s="1"/>
  <c r="CP26" i="12"/>
  <c r="CQ29" i="12" l="1"/>
  <c r="CQ27" i="12" s="1"/>
  <c r="CQ47" i="12" s="1"/>
  <c r="CQ49" i="12" l="1"/>
  <c r="CQ48" i="12" l="1"/>
  <c r="CQ45" i="12" s="1"/>
  <c r="CQ55" i="12" s="1"/>
  <c r="CQ57" i="12" s="1"/>
  <c r="CR56" i="12" s="1"/>
  <c r="CR57" i="12" s="1"/>
  <c r="CS56" i="12" s="1"/>
  <c r="CS57" i="12" s="1"/>
  <c r="CT56" i="12" s="1"/>
  <c r="CQ51" i="12"/>
  <c r="CQ50" i="12"/>
  <c r="CQ30" i="12" l="1"/>
  <c r="CQ26" i="12" s="1"/>
  <c r="CR29" i="12" s="1"/>
  <c r="CR27" i="12" s="1"/>
  <c r="CT65" i="12"/>
  <c r="CT66" i="12"/>
  <c r="CR26" i="12" l="1"/>
  <c r="CS26" i="12" s="1"/>
  <c r="CT64" i="12"/>
  <c r="CS29" i="12" l="1"/>
  <c r="CS27" i="12" s="1"/>
  <c r="CT29" i="12"/>
  <c r="CT27" i="12" s="1"/>
  <c r="CT47" i="12" l="1"/>
  <c r="CT49" i="12" s="1"/>
  <c r="CT48" i="12" l="1"/>
  <c r="CT45" i="12" s="1"/>
  <c r="CT55" i="12" s="1"/>
  <c r="CT30" i="12" s="1"/>
  <c r="CT26" i="12" s="1"/>
  <c r="CT51" i="12"/>
  <c r="CT50" i="12"/>
  <c r="CT57" i="12" l="1"/>
  <c r="CU56" i="12" s="1"/>
  <c r="CU57" i="12" s="1"/>
  <c r="CV56" i="12" s="1"/>
  <c r="CV57" i="12" s="1"/>
  <c r="CW56" i="12" s="1"/>
  <c r="CW66" i="12"/>
  <c r="CW65" i="12"/>
  <c r="CU29" i="12"/>
  <c r="CU27" i="12" s="1"/>
  <c r="CU26" i="12"/>
  <c r="CW64" i="12" l="1"/>
  <c r="CV29" i="12"/>
  <c r="CV27" i="12" s="1"/>
  <c r="CV26" i="12"/>
  <c r="CW29" i="12" l="1"/>
  <c r="CW27" i="12" s="1"/>
  <c r="CW47" i="12" s="1"/>
  <c r="CW49" i="12" l="1"/>
  <c r="CW48" i="12" l="1"/>
  <c r="CW45" i="12" s="1"/>
  <c r="CW55" i="12" s="1"/>
  <c r="CW57" i="12" s="1"/>
  <c r="CX56" i="12" s="1"/>
  <c r="CX57" i="12" s="1"/>
  <c r="CY56" i="12" s="1"/>
  <c r="CY57" i="12" s="1"/>
  <c r="CZ56" i="12" s="1"/>
  <c r="CW51" i="12"/>
  <c r="CW50" i="12"/>
  <c r="CW30" i="12" l="1"/>
  <c r="CW26" i="12" s="1"/>
  <c r="CX29" i="12" s="1"/>
  <c r="CX27" i="12" s="1"/>
  <c r="CZ66" i="12"/>
  <c r="CZ65" i="12"/>
  <c r="CZ64" i="12" l="1"/>
  <c r="CX26" i="12"/>
  <c r="CY29" i="12" s="1"/>
  <c r="CY27" i="12" s="1"/>
  <c r="CY26" i="12" l="1"/>
  <c r="CZ29" i="12" s="1"/>
  <c r="CZ27" i="12" s="1"/>
  <c r="CZ47" i="12" s="1"/>
  <c r="CZ49" i="12" l="1"/>
  <c r="CZ48" i="12" l="1"/>
  <c r="CZ45" i="12" s="1"/>
  <c r="CZ55" i="12" s="1"/>
  <c r="CZ30" i="12" s="1"/>
  <c r="CZ26" i="12" s="1"/>
  <c r="CZ51" i="12"/>
  <c r="CZ50" i="12"/>
  <c r="CZ57" i="12" l="1"/>
  <c r="DA56" i="12" s="1"/>
  <c r="DA57" i="12" s="1"/>
  <c r="DB56" i="12" s="1"/>
  <c r="DB57" i="12" s="1"/>
  <c r="DC56" i="12" s="1"/>
  <c r="DC66" i="12"/>
  <c r="L21" i="11"/>
  <c r="DC65" i="12"/>
  <c r="L20" i="11"/>
  <c r="DA26" i="12"/>
  <c r="DA29" i="12"/>
  <c r="DA27" i="12" s="1"/>
  <c r="DC64" i="12" l="1"/>
  <c r="L19" i="11"/>
  <c r="L18" i="11" s="1"/>
  <c r="DB26" i="12"/>
  <c r="DB29" i="12"/>
  <c r="DB27" i="12" s="1"/>
  <c r="DC29" i="12" l="1"/>
  <c r="DC27" i="12" s="1"/>
  <c r="DC47" i="12" s="1"/>
  <c r="DC49" i="12" l="1"/>
  <c r="DC48" i="12" l="1"/>
  <c r="DC45" i="12" s="1"/>
  <c r="DC55" i="12" s="1"/>
  <c r="DC30" i="12" s="1"/>
  <c r="DC26" i="12" s="1"/>
  <c r="DC51" i="12"/>
  <c r="DC50" i="12"/>
  <c r="DC57" i="12" l="1"/>
  <c r="DD56" i="12" s="1"/>
  <c r="DD57" i="12" s="1"/>
  <c r="DE56" i="12" s="1"/>
  <c r="DE57" i="12" s="1"/>
  <c r="DF56" i="12" s="1"/>
  <c r="DF66" i="12"/>
  <c r="DF65" i="12"/>
  <c r="DD29" i="12"/>
  <c r="DD27" i="12" s="1"/>
  <c r="DD26" i="12"/>
  <c r="DF64" i="12" l="1"/>
  <c r="DE29" i="12"/>
  <c r="DE27" i="12" s="1"/>
  <c r="DE26" i="12"/>
  <c r="DF29" i="12" l="1"/>
  <c r="DF27" i="12" s="1"/>
  <c r="DF47" i="12" s="1"/>
  <c r="DF49" i="12" l="1"/>
  <c r="DF48" i="12" l="1"/>
  <c r="DF45" i="12" s="1"/>
  <c r="DF55" i="12" s="1"/>
  <c r="DF30" i="12" s="1"/>
  <c r="DF26" i="12" s="1"/>
  <c r="DF51" i="12"/>
  <c r="DF50" i="12"/>
  <c r="DI65" i="12" l="1"/>
  <c r="DI66" i="12"/>
  <c r="DF57" i="12"/>
  <c r="DG56" i="12" s="1"/>
  <c r="DG57" i="12" s="1"/>
  <c r="DH56" i="12" s="1"/>
  <c r="DH57" i="12" s="1"/>
  <c r="DI56" i="12" s="1"/>
  <c r="DG29" i="12"/>
  <c r="DG27" i="12" s="1"/>
  <c r="DG26" i="12"/>
  <c r="DI64" i="12" l="1"/>
  <c r="DH26" i="12"/>
  <c r="DH29" i="12"/>
  <c r="DH27" i="12" s="1"/>
  <c r="DI29" i="12" l="1"/>
  <c r="DI27" i="12" s="1"/>
  <c r="DI47" i="12" s="1"/>
  <c r="DI49" i="12" l="1"/>
  <c r="DI48" i="12" l="1"/>
  <c r="DI45" i="12" s="1"/>
  <c r="DI55" i="12" s="1"/>
  <c r="DI30" i="12" s="1"/>
  <c r="DI26" i="12" s="1"/>
  <c r="DI51" i="12"/>
  <c r="DI50" i="12"/>
  <c r="DI57" i="12" l="1"/>
  <c r="DJ56" i="12" s="1"/>
  <c r="DJ57" i="12" s="1"/>
  <c r="DK56" i="12" s="1"/>
  <c r="DK57" i="12" s="1"/>
  <c r="DL56" i="12" s="1"/>
  <c r="DL66" i="12"/>
  <c r="DL65" i="12"/>
  <c r="DJ26" i="12"/>
  <c r="DJ29" i="12"/>
  <c r="DJ27" i="12" s="1"/>
  <c r="DL64" i="12" l="1"/>
  <c r="DK29" i="12"/>
  <c r="DK27" i="12" s="1"/>
  <c r="DK26" i="12"/>
  <c r="DL29" i="12" l="1"/>
  <c r="DL27" i="12" s="1"/>
  <c r="DL47" i="12" s="1"/>
  <c r="DL49" i="12" l="1"/>
  <c r="DL48" i="12" l="1"/>
  <c r="DL45" i="12" s="1"/>
  <c r="DL55" i="12" s="1"/>
  <c r="DL57" i="12" s="1"/>
  <c r="DM56" i="12" s="1"/>
  <c r="DM57" i="12" s="1"/>
  <c r="DN56" i="12" s="1"/>
  <c r="DN57" i="12" s="1"/>
  <c r="DO56" i="12" s="1"/>
  <c r="DL51" i="12"/>
  <c r="DL50" i="12"/>
  <c r="DL30" i="12" l="1"/>
  <c r="DL26" i="12" s="1"/>
  <c r="DM26" i="12" s="1"/>
  <c r="DO65" i="12"/>
  <c r="M20" i="11"/>
  <c r="DO66" i="12"/>
  <c r="M21" i="11"/>
  <c r="DM29" i="12" l="1"/>
  <c r="DM27" i="12" s="1"/>
  <c r="M19" i="11"/>
  <c r="M18" i="11" s="1"/>
  <c r="DO64" i="12"/>
  <c r="DN29" i="12"/>
  <c r="DN27" i="12" s="1"/>
  <c r="DN26" i="12"/>
  <c r="DO29" i="12" l="1"/>
  <c r="DO27" i="12" s="1"/>
  <c r="DO47" i="12" s="1"/>
  <c r="DO49" i="12" l="1"/>
  <c r="DO48" i="12" l="1"/>
  <c r="DO45" i="12" s="1"/>
  <c r="DO55" i="12" s="1"/>
  <c r="DO57" i="12" s="1"/>
  <c r="DP56" i="12" s="1"/>
  <c r="DP57" i="12" s="1"/>
  <c r="DQ56" i="12" s="1"/>
  <c r="DQ57" i="12" s="1"/>
  <c r="DR56" i="12" s="1"/>
  <c r="DO51" i="12"/>
  <c r="DO50" i="12"/>
  <c r="DO30" i="12" l="1"/>
  <c r="DO26" i="12" s="1"/>
  <c r="DP26" i="12" s="1"/>
  <c r="DR66" i="12"/>
  <c r="DR65" i="12"/>
  <c r="DP29" i="12" l="1"/>
  <c r="DP27" i="12" s="1"/>
  <c r="DR64" i="12"/>
  <c r="DQ26" i="12"/>
  <c r="DQ29" i="12"/>
  <c r="DQ27" i="12" s="1"/>
  <c r="DR29" i="12" l="1"/>
  <c r="DR27" i="12" s="1"/>
  <c r="DR47" i="12" s="1"/>
  <c r="DR49" i="12" l="1"/>
  <c r="DR48" i="12" l="1"/>
  <c r="DR45" i="12" s="1"/>
  <c r="DR55" i="12" s="1"/>
  <c r="DR30" i="12" s="1"/>
  <c r="DR26" i="12" s="1"/>
  <c r="DR51" i="12"/>
  <c r="DR50" i="12"/>
  <c r="DR57" i="12" l="1"/>
  <c r="DS56" i="12" s="1"/>
  <c r="DS57" i="12" s="1"/>
  <c r="DT56" i="12" s="1"/>
  <c r="DT57" i="12" s="1"/>
  <c r="DU56" i="12" s="1"/>
  <c r="DU65" i="12"/>
  <c r="DU66" i="12"/>
  <c r="DS29" i="12"/>
  <c r="DS27" i="12" s="1"/>
  <c r="DS26" i="12"/>
  <c r="DU64" i="12" l="1"/>
  <c r="DT29" i="12"/>
  <c r="DT27" i="12" s="1"/>
  <c r="DT26" i="12"/>
  <c r="DU29" i="12" l="1"/>
  <c r="DU27" i="12" s="1"/>
  <c r="DU47" i="12" s="1"/>
  <c r="DU49" i="12" l="1"/>
  <c r="DU48" i="12" l="1"/>
  <c r="DU45" i="12" s="1"/>
  <c r="DU55" i="12" s="1"/>
  <c r="DU57" i="12" s="1"/>
  <c r="DV56" i="12" s="1"/>
  <c r="DV57" i="12" s="1"/>
  <c r="DW56" i="12" s="1"/>
  <c r="DW57" i="12" s="1"/>
  <c r="DX56" i="12" s="1"/>
  <c r="DU51" i="12"/>
  <c r="DU50" i="12"/>
  <c r="DU30" i="12" l="1"/>
  <c r="DU26" i="12" s="1"/>
  <c r="DV29" i="12" s="1"/>
  <c r="DV27" i="12" s="1"/>
  <c r="DX65" i="12"/>
  <c r="DX66" i="12"/>
  <c r="DV26" i="12" l="1"/>
  <c r="DW29" i="12" s="1"/>
  <c r="DW27" i="12" s="1"/>
  <c r="DX64" i="12"/>
  <c r="DW26" i="12" l="1"/>
  <c r="DX29" i="12" s="1"/>
  <c r="DX27" i="12" s="1"/>
  <c r="DX47" i="12" s="1"/>
  <c r="DX49" i="12" l="1"/>
  <c r="DX48" i="12" l="1"/>
  <c r="DX45" i="12" s="1"/>
  <c r="DX55" i="12" s="1"/>
  <c r="DX30" i="12" s="1"/>
  <c r="DX26" i="12" s="1"/>
  <c r="DX51" i="12"/>
  <c r="DX50" i="12"/>
  <c r="DX57" i="12" l="1"/>
  <c r="DY56" i="12" s="1"/>
  <c r="DY57" i="12" s="1"/>
  <c r="DZ56" i="12" s="1"/>
  <c r="DZ57" i="12" s="1"/>
  <c r="EA56" i="12" s="1"/>
  <c r="EA65" i="12"/>
  <c r="N20" i="11"/>
  <c r="EA66" i="12"/>
  <c r="N21" i="11"/>
  <c r="DY26" i="12"/>
  <c r="DY29" i="12"/>
  <c r="DY27" i="12" s="1"/>
  <c r="N19" i="11" l="1"/>
  <c r="N18" i="11" s="1"/>
  <c r="EA64" i="12"/>
  <c r="DZ26" i="12"/>
  <c r="DZ29" i="12"/>
  <c r="DZ27" i="12" s="1"/>
  <c r="EA29" i="12" l="1"/>
  <c r="EA27" i="12" s="1"/>
  <c r="EA47" i="12" s="1"/>
  <c r="EA49" i="12" l="1"/>
  <c r="EA48" i="12" l="1"/>
  <c r="EA45" i="12" s="1"/>
  <c r="EA55" i="12" s="1"/>
  <c r="EA30" i="12" s="1"/>
  <c r="EA26" i="12" s="1"/>
  <c r="EA51" i="12"/>
  <c r="EA50" i="12"/>
  <c r="EA57" i="12" l="1"/>
  <c r="EB56" i="12" s="1"/>
  <c r="EB57" i="12" s="1"/>
  <c r="EC56" i="12" s="1"/>
  <c r="EC57" i="12" s="1"/>
  <c r="ED56" i="12" s="1"/>
  <c r="ED66" i="12"/>
  <c r="ED65" i="12"/>
  <c r="EB29" i="12"/>
  <c r="EB27" i="12" s="1"/>
  <c r="EB26" i="12"/>
  <c r="ED64" i="12" l="1"/>
  <c r="EC29" i="12"/>
  <c r="EC27" i="12" s="1"/>
  <c r="EC26" i="12"/>
  <c r="ED29" i="12" l="1"/>
  <c r="ED27" i="12" s="1"/>
  <c r="ED47" i="12" s="1"/>
  <c r="ED49" i="12" l="1"/>
  <c r="ED48" i="12" l="1"/>
  <c r="ED45" i="12" s="1"/>
  <c r="ED55" i="12" s="1"/>
  <c r="ED57" i="12" s="1"/>
  <c r="EE56" i="12" s="1"/>
  <c r="EE57" i="12" s="1"/>
  <c r="EF56" i="12" s="1"/>
  <c r="EF57" i="12" s="1"/>
  <c r="EG56" i="12" s="1"/>
  <c r="ED51" i="12"/>
  <c r="ED50" i="12"/>
  <c r="ED30" i="12" l="1"/>
  <c r="ED26" i="12" s="1"/>
  <c r="EE29" i="12" s="1"/>
  <c r="EE27" i="12" s="1"/>
  <c r="EG65" i="12"/>
  <c r="EG66" i="12"/>
  <c r="EE26" i="12" l="1"/>
  <c r="EF29" i="12" s="1"/>
  <c r="EF27" i="12" s="1"/>
  <c r="EG64" i="12"/>
  <c r="EF26" i="12" l="1"/>
  <c r="EG29" i="12" s="1"/>
  <c r="EG27" i="12" s="1"/>
  <c r="EG47" i="12" s="1"/>
  <c r="EG49" i="12" l="1"/>
  <c r="EG48" i="12" l="1"/>
  <c r="EG45" i="12" s="1"/>
  <c r="EG55" i="12" s="1"/>
  <c r="EG57" i="12" s="1"/>
  <c r="EH56" i="12" s="1"/>
  <c r="EH57" i="12" s="1"/>
  <c r="EI56" i="12" s="1"/>
  <c r="EI57" i="12" s="1"/>
  <c r="EJ56" i="12" s="1"/>
  <c r="EG51" i="12"/>
  <c r="EG50" i="12"/>
  <c r="EG30" i="12" l="1"/>
  <c r="EG26" i="12" s="1"/>
  <c r="EH26" i="12" s="1"/>
  <c r="EJ65" i="12"/>
  <c r="EJ66" i="12"/>
  <c r="EH29" i="12" l="1"/>
  <c r="EH27" i="12" s="1"/>
  <c r="EJ64" i="12"/>
  <c r="EI29" i="12"/>
  <c r="EI27" i="12" s="1"/>
  <c r="EI26" i="12"/>
  <c r="EJ29" i="12" l="1"/>
  <c r="EJ27" i="12" s="1"/>
  <c r="EJ47" i="12" s="1"/>
  <c r="EJ49" i="12" l="1"/>
  <c r="EJ48" i="12" l="1"/>
  <c r="EJ45" i="12" s="1"/>
  <c r="EJ55" i="12" s="1"/>
  <c r="EJ57" i="12" s="1"/>
  <c r="EK56" i="12" s="1"/>
  <c r="EK57" i="12" s="1"/>
  <c r="EL56" i="12" s="1"/>
  <c r="EL57" i="12" s="1"/>
  <c r="EM56" i="12" s="1"/>
  <c r="EJ51" i="12"/>
  <c r="EJ50" i="12"/>
  <c r="EJ30" i="12" l="1"/>
  <c r="EJ26" i="12" s="1"/>
  <c r="EK29" i="12" s="1"/>
  <c r="EK27" i="12" s="1"/>
  <c r="EM65" i="12"/>
  <c r="O20" i="11"/>
  <c r="EM66" i="12"/>
  <c r="O21" i="11"/>
  <c r="EK26" i="12" l="1"/>
  <c r="EL29" i="12" s="1"/>
  <c r="EL27" i="12" s="1"/>
  <c r="EM64" i="12"/>
  <c r="O19" i="11"/>
  <c r="O18" i="11" s="1"/>
  <c r="EL26" i="12" l="1"/>
  <c r="EM29" i="12" s="1"/>
  <c r="EM27" i="12" s="1"/>
  <c r="EM47" i="12" s="1"/>
  <c r="EM49" i="12" l="1"/>
  <c r="EM48" i="12" l="1"/>
  <c r="EM45" i="12" s="1"/>
  <c r="EM55" i="12" s="1"/>
  <c r="EM30" i="12" s="1"/>
  <c r="EM26" i="12" s="1"/>
  <c r="EM51" i="12"/>
  <c r="EM50" i="12"/>
  <c r="EM57" i="12" l="1"/>
  <c r="EN56" i="12" s="1"/>
  <c r="EN57" i="12" s="1"/>
  <c r="EO56" i="12" s="1"/>
  <c r="EO57" i="12" s="1"/>
  <c r="EP56" i="12" s="1"/>
  <c r="EP66" i="12"/>
  <c r="EP65" i="12"/>
  <c r="EN26" i="12"/>
  <c r="EN29" i="12"/>
  <c r="EN27" i="12" s="1"/>
  <c r="EP64" i="12" l="1"/>
  <c r="EO26" i="12"/>
  <c r="EO29" i="12"/>
  <c r="EO27" i="12" s="1"/>
  <c r="EP29" i="12" l="1"/>
  <c r="EP27" i="12" s="1"/>
  <c r="EP47" i="12" s="1"/>
  <c r="EP49" i="12" l="1"/>
  <c r="EP48" i="12" l="1"/>
  <c r="EP45" i="12" s="1"/>
  <c r="EP55" i="12" s="1"/>
  <c r="EP30" i="12" s="1"/>
  <c r="EP26" i="12" s="1"/>
  <c r="EP51" i="12"/>
  <c r="EP50" i="12"/>
  <c r="EP57" i="12" l="1"/>
  <c r="EQ56" i="12" s="1"/>
  <c r="EQ57" i="12" s="1"/>
  <c r="ER56" i="12" s="1"/>
  <c r="ER57" i="12" s="1"/>
  <c r="ES56" i="12" s="1"/>
  <c r="ES66" i="12"/>
  <c r="ES65" i="12"/>
  <c r="EQ29" i="12"/>
  <c r="EQ27" i="12" s="1"/>
  <c r="EQ26" i="12"/>
  <c r="ES64" i="12" l="1"/>
  <c r="ER29" i="12"/>
  <c r="ER27" i="12" s="1"/>
  <c r="ER26" i="12"/>
  <c r="ES29" i="12" l="1"/>
  <c r="ES27" i="12" s="1"/>
  <c r="ES47" i="12" s="1"/>
  <c r="ES49" i="12" l="1"/>
  <c r="ES48" i="12" l="1"/>
  <c r="ES45" i="12" s="1"/>
  <c r="ES55" i="12" s="1"/>
  <c r="ES30" i="12" s="1"/>
  <c r="ES26" i="12" s="1"/>
  <c r="ES51" i="12"/>
  <c r="ES50" i="12"/>
  <c r="ES57" i="12" l="1"/>
  <c r="ET56" i="12" s="1"/>
  <c r="ET57" i="12" s="1"/>
  <c r="EU56" i="12" s="1"/>
  <c r="EU57" i="12" s="1"/>
  <c r="EV56" i="12" s="1"/>
  <c r="EV66" i="12"/>
  <c r="EV65" i="12"/>
  <c r="ET29" i="12"/>
  <c r="ET27" i="12" s="1"/>
  <c r="ET26" i="12"/>
  <c r="EV64" i="12" l="1"/>
  <c r="EU29" i="12"/>
  <c r="EU27" i="12" s="1"/>
  <c r="EU26" i="12"/>
  <c r="EV29" i="12" l="1"/>
  <c r="EV27" i="12" s="1"/>
  <c r="EV47" i="12" s="1"/>
  <c r="EV49" i="12" l="1"/>
  <c r="EV48" i="12" l="1"/>
  <c r="EV45" i="12" s="1"/>
  <c r="EV55" i="12" s="1"/>
  <c r="EV30" i="12" s="1"/>
  <c r="EV26" i="12" s="1"/>
  <c r="EV51" i="12"/>
  <c r="EV50" i="12"/>
  <c r="EV57" i="12" l="1"/>
  <c r="EW56" i="12" s="1"/>
  <c r="EW57" i="12" s="1"/>
  <c r="EX56" i="12" s="1"/>
  <c r="EX57" i="12" s="1"/>
  <c r="EY56" i="12" s="1"/>
  <c r="EY65" i="12"/>
  <c r="P20" i="11"/>
  <c r="EY66" i="12"/>
  <c r="P21" i="11"/>
  <c r="EW26" i="12"/>
  <c r="EW29" i="12"/>
  <c r="EW27" i="12" s="1"/>
  <c r="P19" i="11" l="1"/>
  <c r="P18" i="11" s="1"/>
  <c r="EY64" i="12"/>
  <c r="EX26" i="12"/>
  <c r="EX29" i="12"/>
  <c r="EX27" i="12" s="1"/>
  <c r="EY29" i="12" l="1"/>
  <c r="EY27" i="12" s="1"/>
  <c r="EY47" i="12" s="1"/>
  <c r="EY49" i="12" l="1"/>
  <c r="EY48" i="12" l="1"/>
  <c r="EY45" i="12" s="1"/>
  <c r="EY55" i="12" s="1"/>
  <c r="EY57" i="12" s="1"/>
  <c r="EZ56" i="12" s="1"/>
  <c r="EZ57" i="12" s="1"/>
  <c r="FA56" i="12" s="1"/>
  <c r="FA57" i="12" s="1"/>
  <c r="FB56" i="12" s="1"/>
  <c r="EY51" i="12"/>
  <c r="EY50" i="12"/>
  <c r="EY30" i="12" l="1"/>
  <c r="EY26" i="12" s="1"/>
  <c r="EZ29" i="12" s="1"/>
  <c r="EZ27" i="12" s="1"/>
  <c r="FB65" i="12"/>
  <c r="FB66" i="12"/>
  <c r="EZ26" i="12" l="1"/>
  <c r="FA29" i="12" s="1"/>
  <c r="FA27" i="12" s="1"/>
  <c r="FB64" i="12"/>
  <c r="FA26" i="12" l="1"/>
  <c r="FB29" i="12" s="1"/>
  <c r="FB27" i="12" s="1"/>
  <c r="FB47" i="12" s="1"/>
  <c r="FB49" i="12" l="1"/>
  <c r="FB48" i="12" l="1"/>
  <c r="FB45" i="12" s="1"/>
  <c r="FB55" i="12" s="1"/>
  <c r="FB30" i="12" s="1"/>
  <c r="FB26" i="12" s="1"/>
  <c r="FB51" i="12"/>
  <c r="FB50" i="12"/>
  <c r="FB57" i="12" l="1"/>
  <c r="FC56" i="12" s="1"/>
  <c r="FC57" i="12" s="1"/>
  <c r="FD56" i="12" s="1"/>
  <c r="FD57" i="12" s="1"/>
  <c r="FE56" i="12" s="1"/>
  <c r="FE66" i="12"/>
  <c r="FE65" i="12"/>
  <c r="FC29" i="12"/>
  <c r="FC27" i="12" s="1"/>
  <c r="FC26" i="12"/>
  <c r="FE64" i="12" l="1"/>
  <c r="FD26" i="12"/>
  <c r="FD29" i="12"/>
  <c r="FD27" i="12" s="1"/>
  <c r="FE29" i="12" l="1"/>
  <c r="FE27" i="12" s="1"/>
  <c r="FE47" i="12" s="1"/>
  <c r="FE49" i="12" l="1"/>
  <c r="FE48" i="12" l="1"/>
  <c r="FE45" i="12" s="1"/>
  <c r="FE55" i="12" s="1"/>
  <c r="FE30" i="12" s="1"/>
  <c r="FE26" i="12" s="1"/>
  <c r="FE51" i="12"/>
  <c r="FE50" i="12"/>
  <c r="FH65" i="12" l="1"/>
  <c r="FH66" i="12"/>
  <c r="FE57" i="12"/>
  <c r="FF56" i="12" s="1"/>
  <c r="FF57" i="12" s="1"/>
  <c r="FG56" i="12" s="1"/>
  <c r="FG57" i="12" s="1"/>
  <c r="FH56" i="12" s="1"/>
  <c r="FF26" i="12"/>
  <c r="FF29" i="12"/>
  <c r="FF27" i="12" s="1"/>
  <c r="FH64" i="12" l="1"/>
  <c r="FG29" i="12"/>
  <c r="FG27" i="12" s="1"/>
  <c r="FG26" i="12"/>
  <c r="FH29" i="12" l="1"/>
  <c r="FH27" i="12" s="1"/>
  <c r="FH47" i="12" s="1"/>
  <c r="FH49" i="12" l="1"/>
  <c r="FH48" i="12" l="1"/>
  <c r="FH45" i="12" s="1"/>
  <c r="FH55" i="12" s="1"/>
  <c r="FH30" i="12" s="1"/>
  <c r="FH26" i="12" s="1"/>
  <c r="FH51" i="12"/>
  <c r="FH50" i="12"/>
  <c r="FH57" i="12" l="1"/>
  <c r="FI56" i="12" s="1"/>
  <c r="FI57" i="12" s="1"/>
  <c r="FJ56" i="12" s="1"/>
  <c r="FJ57" i="12" s="1"/>
  <c r="FK56" i="12" s="1"/>
  <c r="FK65" i="12"/>
  <c r="Q20" i="11"/>
  <c r="FK66" i="12"/>
  <c r="Q21" i="11"/>
  <c r="FI29" i="12"/>
  <c r="FI27" i="12" s="1"/>
  <c r="FI26" i="12"/>
  <c r="FK64" i="12" l="1"/>
  <c r="Q19" i="11"/>
  <c r="Q18" i="11" s="1"/>
  <c r="FJ29" i="12"/>
  <c r="FJ27" i="12" s="1"/>
  <c r="FJ26" i="12"/>
  <c r="FK29" i="12" l="1"/>
  <c r="FK27" i="12" s="1"/>
  <c r="FK47" i="12" s="1"/>
  <c r="FK49" i="12" l="1"/>
  <c r="FK48" i="12" l="1"/>
  <c r="FK45" i="12" s="1"/>
  <c r="FK55" i="12" s="1"/>
  <c r="FK30" i="12" s="1"/>
  <c r="FK26" i="12" s="1"/>
  <c r="FK51" i="12"/>
  <c r="FK50" i="12"/>
  <c r="FK57" i="12" l="1"/>
  <c r="FL56" i="12" s="1"/>
  <c r="FL57" i="12" s="1"/>
  <c r="FM56" i="12" s="1"/>
  <c r="FM57" i="12" s="1"/>
  <c r="FN56" i="12" s="1"/>
  <c r="FN65" i="12"/>
  <c r="FN66" i="12"/>
  <c r="FL26" i="12"/>
  <c r="FL29" i="12"/>
  <c r="FL27" i="12" s="1"/>
  <c r="FN64" i="12" l="1"/>
  <c r="FM26" i="12"/>
  <c r="FM29" i="12"/>
  <c r="FM27" i="12" s="1"/>
  <c r="FN29" i="12" l="1"/>
  <c r="FN27" i="12" s="1"/>
  <c r="FN47" i="12" s="1"/>
  <c r="FN49" i="12" l="1"/>
  <c r="FN48" i="12" l="1"/>
  <c r="FN45" i="12" s="1"/>
  <c r="FN55" i="12" s="1"/>
  <c r="FN57" i="12" s="1"/>
  <c r="FO56" i="12" s="1"/>
  <c r="FO57" i="12" s="1"/>
  <c r="FP56" i="12" s="1"/>
  <c r="FP57" i="12" s="1"/>
  <c r="FQ56" i="12" s="1"/>
  <c r="FN51" i="12"/>
  <c r="FN50" i="12"/>
  <c r="FN30" i="12" l="1"/>
  <c r="FN26" i="12" s="1"/>
  <c r="FO26" i="12" s="1"/>
  <c r="FQ66" i="12"/>
  <c r="FQ65" i="12"/>
  <c r="FO29" i="12" l="1"/>
  <c r="FO27" i="12" s="1"/>
  <c r="FQ64" i="12"/>
  <c r="FP29" i="12"/>
  <c r="FP27" i="12" s="1"/>
  <c r="FP26" i="12"/>
  <c r="FQ29" i="12" l="1"/>
  <c r="FQ27" i="12" s="1"/>
  <c r="FQ47" i="12" s="1"/>
  <c r="FQ49" i="12" l="1"/>
  <c r="FQ48" i="12" l="1"/>
  <c r="FQ45" i="12" s="1"/>
  <c r="FQ55" i="12" s="1"/>
  <c r="FQ30" i="12" s="1"/>
  <c r="FQ26" i="12" s="1"/>
  <c r="FQ51" i="12"/>
  <c r="FQ50" i="12"/>
  <c r="FQ57" i="12" l="1"/>
  <c r="FR56" i="12" s="1"/>
  <c r="FR57" i="12" s="1"/>
  <c r="FS56" i="12" s="1"/>
  <c r="FS57" i="12" s="1"/>
  <c r="FT56" i="12" s="1"/>
  <c r="FT66" i="12"/>
  <c r="FT65" i="12"/>
  <c r="FR29" i="12"/>
  <c r="FR27" i="12" s="1"/>
  <c r="FR26" i="12"/>
  <c r="FT64" i="12" l="1"/>
  <c r="FS29" i="12"/>
  <c r="FS27" i="12" s="1"/>
  <c r="FS26" i="12"/>
  <c r="FT29" i="12" l="1"/>
  <c r="FT27" i="12" s="1"/>
  <c r="FT47" i="12" s="1"/>
  <c r="FT49" i="12" l="1"/>
  <c r="FT48" i="12" l="1"/>
  <c r="FT45" i="12" s="1"/>
  <c r="FT55" i="12" s="1"/>
  <c r="FT30" i="12" s="1"/>
  <c r="FT26" i="12" s="1"/>
  <c r="FT51" i="12"/>
  <c r="FT50" i="12"/>
  <c r="FW65" i="12" l="1"/>
  <c r="R20" i="11"/>
  <c r="FW66" i="12"/>
  <c r="R21" i="11"/>
  <c r="FT57" i="12"/>
  <c r="FU56" i="12" s="1"/>
  <c r="FU29" i="12"/>
  <c r="FU27" i="12" l="1"/>
  <c r="D29" i="12"/>
  <c r="FW64" i="12"/>
  <c r="E17" i="11"/>
  <c r="F17" i="11"/>
  <c r="F15" i="11" s="1"/>
  <c r="F25" i="11" s="1"/>
  <c r="G17" i="11"/>
  <c r="H17" i="11"/>
  <c r="I17" i="11"/>
  <c r="I15" i="11" s="1"/>
  <c r="I25" i="11" s="1"/>
  <c r="J17" i="11"/>
  <c r="J15" i="11" s="1"/>
  <c r="J25" i="11" s="1"/>
  <c r="K17" i="11"/>
  <c r="K15" i="11" s="1"/>
  <c r="K25" i="11" s="1"/>
  <c r="L17" i="11"/>
  <c r="L15" i="11" s="1"/>
  <c r="L25" i="11" s="1"/>
  <c r="M17" i="11"/>
  <c r="M15" i="11" s="1"/>
  <c r="M25" i="11" s="1"/>
  <c r="N17" i="11"/>
  <c r="N15" i="11" s="1"/>
  <c r="N25" i="11" s="1"/>
  <c r="O17" i="11"/>
  <c r="O15" i="11" s="1"/>
  <c r="O25" i="11" s="1"/>
  <c r="P17" i="11"/>
  <c r="P15" i="11" s="1"/>
  <c r="P25" i="11" s="1"/>
  <c r="Q17" i="11"/>
  <c r="Q15" i="11" s="1"/>
  <c r="Q25" i="11" s="1"/>
  <c r="R17" i="11"/>
  <c r="R19" i="11"/>
  <c r="R18" i="11" s="1"/>
  <c r="FV27" i="12"/>
  <c r="FU45" i="12" l="1"/>
  <c r="FU55" i="12" s="1"/>
  <c r="FU30" i="12" s="1"/>
  <c r="FU26" i="12" s="1"/>
  <c r="FV26" i="12" s="1"/>
  <c r="R15" i="11"/>
  <c r="R25" i="11" s="1"/>
  <c r="FW27" i="12"/>
  <c r="FW47" i="12" s="1"/>
  <c r="FW49" i="12" l="1"/>
  <c r="E20" i="11"/>
  <c r="G20" i="11"/>
  <c r="H20" i="11"/>
  <c r="E21" i="11"/>
  <c r="G21" i="11"/>
  <c r="H21" i="11"/>
  <c r="FU57" i="12"/>
  <c r="FV56" i="12" s="1"/>
  <c r="FV57" i="12" s="1"/>
  <c r="FW56" i="12" s="1"/>
  <c r="FW48" i="12" l="1"/>
  <c r="FW45" i="12" s="1"/>
  <c r="FW55" i="12" s="1"/>
  <c r="FW57" i="12" s="1"/>
  <c r="FX56" i="12" s="1"/>
  <c r="FX57" i="12" s="1"/>
  <c r="FY56" i="12" s="1"/>
  <c r="FY57" i="12" s="1"/>
  <c r="FZ56" i="12" s="1"/>
  <c r="FW51" i="12"/>
  <c r="FW50" i="12"/>
  <c r="FX66" i="12"/>
  <c r="FX65" i="12"/>
  <c r="H19" i="11"/>
  <c r="H18" i="11" s="1"/>
  <c r="H15" i="11" s="1"/>
  <c r="H25" i="11" s="1"/>
  <c r="G19" i="11"/>
  <c r="G18" i="11" s="1"/>
  <c r="G15" i="11" s="1"/>
  <c r="G25" i="11" s="1"/>
  <c r="E19" i="11"/>
  <c r="FW30" i="12" l="1"/>
  <c r="FW26" i="12" s="1"/>
  <c r="FZ65" i="12"/>
  <c r="FZ66" i="12"/>
  <c r="FX64" i="12"/>
  <c r="E18" i="11"/>
  <c r="FX27" i="12"/>
  <c r="FX26" i="12"/>
  <c r="FZ64" i="12" l="1"/>
  <c r="E15" i="11"/>
  <c r="E25" i="11" s="1"/>
  <c r="FY27" i="12"/>
  <c r="FY26" i="12"/>
  <c r="FZ47" i="12" l="1"/>
  <c r="FZ27" i="12"/>
  <c r="FZ49" i="12" l="1"/>
  <c r="FZ51" i="12" l="1"/>
  <c r="FZ48" i="12"/>
  <c r="FZ45" i="12" s="1"/>
  <c r="FZ55" i="12" s="1"/>
  <c r="FZ30" i="12" s="1"/>
  <c r="FZ26" i="12" s="1"/>
  <c r="FZ50" i="12"/>
  <c r="GC65" i="12" l="1"/>
  <c r="FZ57" i="12"/>
  <c r="GA56" i="12" s="1"/>
  <c r="GA57" i="12" s="1"/>
  <c r="GB56" i="12" s="1"/>
  <c r="GB57" i="12" s="1"/>
  <c r="GC56" i="12" s="1"/>
  <c r="GC66" i="12"/>
  <c r="GA27" i="12"/>
  <c r="GA26" i="12"/>
  <c r="GC64" i="12" l="1"/>
  <c r="GB26" i="12"/>
  <c r="GB27" i="12"/>
  <c r="GC27" i="12" l="1"/>
  <c r="GC47" i="12" s="1"/>
  <c r="GC49" i="12" l="1"/>
  <c r="GC51" i="12" l="1"/>
  <c r="GC50" i="12"/>
  <c r="GC48" i="12"/>
  <c r="GC45" i="12" s="1"/>
  <c r="GC55" i="12" s="1"/>
  <c r="GC30" i="12" s="1"/>
  <c r="GC26" i="12" s="1"/>
  <c r="GC57" i="12" l="1"/>
  <c r="GD56" i="12" s="1"/>
  <c r="GD57" i="12" s="1"/>
  <c r="GE56" i="12" s="1"/>
  <c r="GE57" i="12" s="1"/>
  <c r="GF56" i="12" s="1"/>
  <c r="GF65" i="12"/>
  <c r="GF66" i="12"/>
  <c r="D73" i="12" s="1"/>
  <c r="GD26" i="12"/>
  <c r="GD27" i="12"/>
  <c r="GF64" i="12" l="1"/>
  <c r="D71" i="12" s="1"/>
  <c r="D72" i="12"/>
  <c r="GE27" i="12"/>
  <c r="GE26" i="12"/>
  <c r="GF27" i="12" l="1"/>
  <c r="D27" i="12" s="1"/>
  <c r="GF47" i="12" l="1"/>
  <c r="D47" i="12"/>
  <c r="GF49" i="12" l="1"/>
  <c r="S17" i="11"/>
  <c r="C17" i="11" s="1"/>
  <c r="D49" i="12"/>
  <c r="D48" i="12" s="1"/>
  <c r="GF50" i="12" l="1"/>
  <c r="GF48" i="12"/>
  <c r="GF45" i="12" s="1"/>
  <c r="GF55" i="12" s="1"/>
  <c r="GF57" i="12" s="1"/>
  <c r="GF51" i="12"/>
  <c r="D45" i="12"/>
  <c r="D55" i="12" s="1"/>
  <c r="D57" i="12" s="1"/>
  <c r="GI66" i="12" l="1"/>
  <c r="S21" i="11"/>
  <c r="C21" i="11" s="1"/>
  <c r="D51" i="12"/>
  <c r="GI65" i="12"/>
  <c r="GI64" i="12" s="1"/>
  <c r="D50" i="12"/>
  <c r="S20" i="11"/>
  <c r="GF30" i="12"/>
  <c r="GF26" i="12" s="1"/>
  <c r="D12" i="11"/>
  <c r="D8" i="11" s="1"/>
  <c r="D25" i="11" s="1"/>
  <c r="D27" i="11" s="1"/>
  <c r="E26" i="11" s="1"/>
  <c r="E27" i="11" s="1"/>
  <c r="F26" i="11" s="1"/>
  <c r="F27" i="11" s="1"/>
  <c r="G26" i="11" s="1"/>
  <c r="G27" i="11" s="1"/>
  <c r="H26" i="11" s="1"/>
  <c r="H27" i="11" s="1"/>
  <c r="I26" i="11" s="1"/>
  <c r="I27" i="11" s="1"/>
  <c r="J26" i="11" s="1"/>
  <c r="J27" i="11" s="1"/>
  <c r="K26" i="11" s="1"/>
  <c r="K27" i="11" s="1"/>
  <c r="L26" i="11" s="1"/>
  <c r="L27" i="11" s="1"/>
  <c r="M26" i="11" s="1"/>
  <c r="M27" i="11" s="1"/>
  <c r="N26" i="11" s="1"/>
  <c r="N27" i="11" s="1"/>
  <c r="O26" i="11" s="1"/>
  <c r="O27" i="11" s="1"/>
  <c r="P26" i="11" s="1"/>
  <c r="P27" i="11" s="1"/>
  <c r="Q26" i="11" s="1"/>
  <c r="Q27" i="11" s="1"/>
  <c r="R26" i="11" s="1"/>
  <c r="R27" i="11" s="1"/>
  <c r="S26" i="11" s="1"/>
  <c r="C13" i="11"/>
  <c r="C12" i="11" s="1"/>
  <c r="C8" i="11" s="1"/>
  <c r="S19" i="11" l="1"/>
  <c r="C20" i="11"/>
  <c r="S18" i="11" l="1"/>
  <c r="C19" i="11"/>
  <c r="S15" i="11" l="1"/>
  <c r="S25" i="11" s="1"/>
  <c r="S27" i="11" s="1"/>
  <c r="C18" i="11"/>
  <c r="C15" i="11" s="1"/>
  <c r="C25" i="11" s="1"/>
  <c r="C27" i="11" s="1"/>
  <c r="K46" i="1"/>
  <c r="L46" i="1"/>
  <c r="E47" i="1"/>
  <c r="K47" i="1" s="1"/>
  <c r="D23" i="1" l="1"/>
  <c r="D24" i="1"/>
  <c r="L47" i="1"/>
  <c r="L49" i="1"/>
  <c r="C9" i="1"/>
  <c r="D9" i="1" s="1"/>
  <c r="C32" i="8" s="1"/>
  <c r="K49" i="1"/>
  <c r="R46" i="1"/>
  <c r="E45" i="8" l="1"/>
  <c r="R47" i="1"/>
  <c r="R49" i="1"/>
  <c r="C33" i="8"/>
  <c r="C31" i="8" s="1"/>
  <c r="C35" i="8" s="1"/>
  <c r="C36" i="8" s="1"/>
  <c r="C34" i="8"/>
  <c r="D28" i="1"/>
  <c r="E23" i="1"/>
  <c r="D26" i="1"/>
  <c r="E26" i="1" s="1"/>
  <c r="E24" i="1"/>
  <c r="C37" i="8" l="1"/>
  <c r="C39" i="8"/>
  <c r="D39" i="8"/>
  <c r="K58" i="8"/>
  <c r="C77" i="8"/>
  <c r="K51" i="8"/>
  <c r="C44" i="8"/>
  <c r="G39" i="8"/>
  <c r="P10" i="2"/>
  <c r="P8" i="2"/>
  <c r="E46" i="8" l="1"/>
  <c r="C46" i="8"/>
  <c r="C79" i="8"/>
  <c r="D80" i="8"/>
  <c r="K59" i="8" l="1"/>
  <c r="K5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최지혜(jihye)(부동산1실)</author>
  </authors>
  <commentList>
    <comment ref="AA78" authorId="0" shapeId="0" xr:uid="{D71A548F-D0CB-47D1-82F4-3BE5758871E9}">
      <text>
        <r>
          <rPr>
            <b/>
            <sz val="9"/>
            <color indexed="81"/>
            <rFont val="돋움"/>
            <family val="3"/>
            <charset val="129"/>
          </rPr>
          <t>최지혜</t>
        </r>
        <r>
          <rPr>
            <b/>
            <sz val="9"/>
            <color indexed="81"/>
            <rFont val="Tahoma"/>
            <family val="2"/>
          </rPr>
          <t>(jihye)(</t>
        </r>
        <r>
          <rPr>
            <b/>
            <sz val="9"/>
            <color indexed="81"/>
            <rFont val="돋움"/>
            <family val="3"/>
            <charset val="129"/>
          </rPr>
          <t>부동산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실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한국관세물류협회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수준인</t>
        </r>
        <r>
          <rPr>
            <sz val="9"/>
            <color indexed="81"/>
            <rFont val="Tahoma"/>
            <family val="2"/>
          </rPr>
          <t xml:space="preserve"> 10,000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AA81" authorId="0" shapeId="0" xr:uid="{EC729A06-EB9B-4310-9F6F-E22A9FF7AB19}">
      <text>
        <r>
          <rPr>
            <b/>
            <sz val="9"/>
            <color indexed="81"/>
            <rFont val="돋움"/>
            <family val="3"/>
            <charset val="129"/>
          </rPr>
          <t>최지혜</t>
        </r>
        <r>
          <rPr>
            <b/>
            <sz val="9"/>
            <color indexed="81"/>
            <rFont val="Tahoma"/>
            <family val="2"/>
          </rPr>
          <t>(jihye)(</t>
        </r>
        <r>
          <rPr>
            <b/>
            <sz val="9"/>
            <color indexed="81"/>
            <rFont val="돋움"/>
            <family val="3"/>
            <charset val="129"/>
          </rPr>
          <t>부동산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실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창고</t>
        </r>
        <r>
          <rPr>
            <sz val="9"/>
            <color indexed="81"/>
            <rFont val="Tahoma"/>
            <family val="2"/>
          </rPr>
          <t xml:space="preserve"> 1~3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원가율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최지혜(jihye)(부동산1실)</author>
  </authors>
  <commentList>
    <comment ref="D5" authorId="0" shapeId="0" xr:uid="{26D4D267-62D4-4AA8-967F-3D443331A9E0}">
      <text>
        <r>
          <rPr>
            <b/>
            <sz val="9"/>
            <color indexed="81"/>
            <rFont val="돋움"/>
            <family val="3"/>
            <charset val="129"/>
          </rPr>
          <t>최지혜</t>
        </r>
        <r>
          <rPr>
            <b/>
            <sz val="9"/>
            <color indexed="81"/>
            <rFont val="Tahoma"/>
            <family val="2"/>
          </rPr>
          <t>(jihye)(</t>
        </r>
        <r>
          <rPr>
            <b/>
            <sz val="9"/>
            <color indexed="81"/>
            <rFont val="돋움"/>
            <family val="3"/>
            <charset val="129"/>
          </rPr>
          <t>부동산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실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펀드설정일</t>
        </r>
        <r>
          <rPr>
            <sz val="9"/>
            <color indexed="81"/>
            <rFont val="Tahoma"/>
            <family val="2"/>
          </rPr>
          <t xml:space="preserve"> 2023.07. </t>
        </r>
        <r>
          <rPr>
            <sz val="9"/>
            <color indexed="81"/>
            <rFont val="돋움"/>
            <family val="3"/>
            <charset val="129"/>
          </rPr>
          <t>만기</t>
        </r>
        <r>
          <rPr>
            <sz val="9"/>
            <color indexed="81"/>
            <rFont val="Tahoma"/>
            <family val="2"/>
          </rPr>
          <t>: 15</t>
        </r>
        <r>
          <rPr>
            <sz val="9"/>
            <color indexed="81"/>
            <rFont val="돋움"/>
            <family val="3"/>
            <charset val="129"/>
          </rPr>
          <t>년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개월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최지혜(jihye)(부동산1실)</author>
  </authors>
  <commentList>
    <comment ref="AE36" authorId="0" shapeId="0" xr:uid="{2A1E4C80-924C-4757-9725-875796E8E01C}">
      <text>
        <r>
          <rPr>
            <b/>
            <sz val="9"/>
            <color indexed="81"/>
            <rFont val="돋움"/>
            <family val="3"/>
            <charset val="129"/>
          </rPr>
          <t>최지혜</t>
        </r>
        <r>
          <rPr>
            <b/>
            <sz val="9"/>
            <color indexed="81"/>
            <rFont val="Tahoma"/>
            <family val="2"/>
          </rPr>
          <t>(jihye)(</t>
        </r>
        <r>
          <rPr>
            <b/>
            <sz val="9"/>
            <color indexed="81"/>
            <rFont val="돋움"/>
            <family val="3"/>
            <charset val="129"/>
          </rPr>
          <t>부동산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실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STIC </t>
        </r>
        <r>
          <rPr>
            <sz val="9"/>
            <color indexed="81"/>
            <rFont val="돋움"/>
            <family val="3"/>
            <charset val="129"/>
          </rPr>
          <t>메일</t>
        </r>
        <r>
          <rPr>
            <sz val="9"/>
            <color indexed="81"/>
            <rFont val="Tahoma"/>
            <family val="2"/>
          </rPr>
          <t>(23.06.12)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Oh,Seungjun</author>
  </authors>
  <commentList>
    <comment ref="D15" authorId="0" shapeId="0" xr:uid="{724FC44C-9B35-4F07-87E1-71CAE2318267}">
      <text>
        <r>
          <rPr>
            <b/>
            <sz val="9"/>
            <color indexed="81"/>
            <rFont val="Tahoma"/>
            <family val="2"/>
          </rPr>
          <t>Oh,Seungjun: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임차료는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기지급완료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돋움"/>
            <family val="3"/>
            <charset val="129"/>
          </rPr>
          <t>개월치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최지혜(jihye)(부동산1실)</author>
    <author>Oh,Seungjun</author>
  </authors>
  <commentList>
    <comment ref="C13" authorId="0" shapeId="0" xr:uid="{61A25B9E-FCEC-41A4-A138-2BC5A7CEEF8F}">
      <text>
        <r>
          <rPr>
            <b/>
            <sz val="9"/>
            <color indexed="81"/>
            <rFont val="돋움"/>
            <family val="3"/>
            <charset val="129"/>
          </rPr>
          <t>최지혜</t>
        </r>
        <r>
          <rPr>
            <b/>
            <sz val="9"/>
            <color indexed="81"/>
            <rFont val="Tahoma"/>
            <family val="2"/>
          </rPr>
          <t>(jihye)(</t>
        </r>
        <r>
          <rPr>
            <b/>
            <sz val="9"/>
            <color indexed="81"/>
            <rFont val="돋움"/>
            <family val="3"/>
            <charset val="129"/>
          </rPr>
          <t>부동산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실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2022</t>
        </r>
        <r>
          <rPr>
            <sz val="9"/>
            <color indexed="81"/>
            <rFont val="돋움"/>
            <family val="3"/>
            <charset val="129"/>
          </rPr>
          <t>년말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잔액과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증자액</t>
        </r>
        <r>
          <rPr>
            <sz val="9"/>
            <color indexed="81"/>
            <rFont val="Tahoma"/>
            <family val="2"/>
          </rPr>
          <t xml:space="preserve"> 150</t>
        </r>
        <r>
          <rPr>
            <sz val="9"/>
            <color indexed="81"/>
            <rFont val="돋움"/>
            <family val="3"/>
            <charset val="129"/>
          </rPr>
          <t>억원을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물류센터에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투입</t>
        </r>
      </text>
    </comment>
    <comment ref="D63" authorId="1" shapeId="0" xr:uid="{7ADDB9BD-A2E4-4728-AEC5-0500D1221138}">
      <text>
        <r>
          <rPr>
            <b/>
            <sz val="9"/>
            <color indexed="81"/>
            <rFont val="Tahoma"/>
            <family val="2"/>
          </rPr>
          <t>Oh,Seungjun: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분석목적상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현금흐름을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가정</t>
        </r>
      </text>
    </comment>
    <comment ref="I105" authorId="1" shapeId="0" xr:uid="{F3F1F204-C87C-40E2-8C1D-B6BBA2C7C566}">
      <text>
        <r>
          <rPr>
            <b/>
            <sz val="9"/>
            <color indexed="81"/>
            <rFont val="Tahoma"/>
            <family val="2"/>
          </rPr>
          <t>Oh,Seungjun: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감사보고서</t>
        </r>
      </text>
    </comment>
    <comment ref="I143" authorId="0" shapeId="0" xr:uid="{DB934054-F4D1-4374-B527-474E2D73F342}">
      <text>
        <r>
          <rPr>
            <b/>
            <sz val="9"/>
            <color indexed="81"/>
            <rFont val="돋움"/>
            <family val="3"/>
            <charset val="129"/>
          </rPr>
          <t>최지혜</t>
        </r>
        <r>
          <rPr>
            <b/>
            <sz val="9"/>
            <color indexed="81"/>
            <rFont val="Tahoma"/>
            <family val="2"/>
          </rPr>
          <t>(jihye)(</t>
        </r>
        <r>
          <rPr>
            <b/>
            <sz val="9"/>
            <color indexed="81"/>
            <rFont val="돋움"/>
            <family val="3"/>
            <charset val="129"/>
          </rPr>
          <t>부동산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실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150</t>
        </r>
        <r>
          <rPr>
            <sz val="9"/>
            <color indexed="81"/>
            <rFont val="돋움"/>
            <family val="3"/>
            <charset val="129"/>
          </rPr>
          <t>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증자</t>
        </r>
      </text>
    </comment>
    <comment ref="H160" authorId="0" shapeId="0" xr:uid="{F1891090-CF20-40E1-93B0-0D026DBCEB21}">
      <text>
        <r>
          <rPr>
            <b/>
            <sz val="9"/>
            <color indexed="81"/>
            <rFont val="돋움"/>
            <family val="3"/>
            <charset val="129"/>
          </rPr>
          <t>최지혜</t>
        </r>
        <r>
          <rPr>
            <b/>
            <sz val="9"/>
            <color indexed="81"/>
            <rFont val="Tahoma"/>
            <family val="2"/>
          </rPr>
          <t>(jihye)(</t>
        </r>
        <r>
          <rPr>
            <b/>
            <sz val="9"/>
            <color indexed="81"/>
            <rFont val="돋움"/>
            <family val="3"/>
            <charset val="129"/>
          </rPr>
          <t>부동산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실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단기금융상품</t>
        </r>
        <r>
          <rPr>
            <sz val="9"/>
            <color indexed="81"/>
            <rFont val="Tahoma"/>
            <family val="2"/>
          </rPr>
          <t xml:space="preserve"> 102</t>
        </r>
        <r>
          <rPr>
            <sz val="9"/>
            <color indexed="81"/>
            <rFont val="돋움"/>
            <family val="3"/>
            <charset val="129"/>
          </rPr>
          <t>억원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최지혜(jihye)(부동산1실)</author>
  </authors>
  <commentList>
    <comment ref="D17" authorId="0" shapeId="0" xr:uid="{F2356DC9-DFA8-4221-9E57-8CB93F6CAF5A}">
      <text>
        <r>
          <rPr>
            <b/>
            <sz val="9"/>
            <color indexed="81"/>
            <rFont val="돋움"/>
            <family val="3"/>
            <charset val="129"/>
          </rPr>
          <t>최지혜</t>
        </r>
        <r>
          <rPr>
            <b/>
            <sz val="9"/>
            <color indexed="81"/>
            <rFont val="Tahoma"/>
            <family val="2"/>
          </rPr>
          <t>(jihye)(</t>
        </r>
        <r>
          <rPr>
            <b/>
            <sz val="9"/>
            <color indexed="81"/>
            <rFont val="돋움"/>
            <family val="3"/>
            <charset val="129"/>
          </rPr>
          <t>부동산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실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한국관세물류협회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수준인</t>
        </r>
        <r>
          <rPr>
            <sz val="9"/>
            <color indexed="81"/>
            <rFont val="Tahoma"/>
            <family val="2"/>
          </rPr>
          <t xml:space="preserve"> 10,000</t>
        </r>
        <r>
          <rPr>
            <sz val="9"/>
            <color indexed="81"/>
            <rFont val="돋움"/>
            <family val="3"/>
            <charset val="129"/>
          </rPr>
          <t>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D20" authorId="0" shapeId="0" xr:uid="{BD0BFEC1-3B16-4EE3-BCA7-C70B71C1EA38}">
      <text>
        <r>
          <rPr>
            <b/>
            <sz val="9"/>
            <color indexed="81"/>
            <rFont val="돋움"/>
            <family val="3"/>
            <charset val="129"/>
          </rPr>
          <t>최지혜</t>
        </r>
        <r>
          <rPr>
            <b/>
            <sz val="9"/>
            <color indexed="81"/>
            <rFont val="Tahoma"/>
            <family val="2"/>
          </rPr>
          <t>(jihye)(</t>
        </r>
        <r>
          <rPr>
            <b/>
            <sz val="9"/>
            <color indexed="81"/>
            <rFont val="돋움"/>
            <family val="3"/>
            <charset val="129"/>
          </rPr>
          <t>부동산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실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창고</t>
        </r>
        <r>
          <rPr>
            <sz val="9"/>
            <color indexed="81"/>
            <rFont val="Tahoma"/>
            <family val="2"/>
          </rPr>
          <t xml:space="preserve"> 1~3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원가율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유사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최지혜(jihye)(부동산1실)</author>
  </authors>
  <commentList>
    <comment ref="Q24" authorId="0" shapeId="0" xr:uid="{30496025-64B8-4DAE-9E1C-265083CD10DB}">
      <text>
        <r>
          <rPr>
            <b/>
            <sz val="9"/>
            <color indexed="81"/>
            <rFont val="돋움"/>
            <family val="3"/>
            <charset val="129"/>
          </rPr>
          <t>최지혜</t>
        </r>
        <r>
          <rPr>
            <b/>
            <sz val="9"/>
            <color indexed="81"/>
            <rFont val="Tahoma"/>
            <family val="2"/>
          </rPr>
          <t>(jihye)(</t>
        </r>
        <r>
          <rPr>
            <b/>
            <sz val="9"/>
            <color indexed="81"/>
            <rFont val="돋움"/>
            <family val="3"/>
            <charset val="129"/>
          </rPr>
          <t>부동산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실</t>
        </r>
        <r>
          <rPr>
            <b/>
            <sz val="9"/>
            <color indexed="81"/>
            <rFont val="Tahoma"/>
            <family val="2"/>
          </rPr>
          <t>):</t>
        </r>
        <r>
          <rPr>
            <sz val="9"/>
            <color indexed="81"/>
            <rFont val="Tahoma"/>
            <family val="2"/>
          </rPr>
          <t xml:space="preserve">
23.06.12 </t>
        </r>
        <r>
          <rPr>
            <sz val="9"/>
            <color indexed="81"/>
            <rFont val="돋움"/>
            <family val="3"/>
            <charset val="129"/>
          </rPr>
          <t>국양로지텍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<sst xmlns="http://schemas.openxmlformats.org/spreadsheetml/2006/main" count="1570" uniqueCount="795">
  <si>
    <t>■ 사업개요</t>
    <phoneticPr fontId="5" type="noConversion"/>
  </si>
  <si>
    <r>
      <t xml:space="preserve">자 금 계 획 : 총공사비 532억원(부가세포함) - </t>
    </r>
    <r>
      <rPr>
        <sz val="10"/>
        <color theme="1"/>
        <rFont val="맑은 고딕"/>
        <family val="3"/>
        <charset val="129"/>
        <scheme val="minor"/>
      </rPr>
      <t>취등록세17억7천만원,임차료,관리비 미포함</t>
    </r>
    <phoneticPr fontId="11" type="noConversion"/>
  </si>
  <si>
    <t>기존 110억중 1회차 48억73백만원 지급 완료, 2회차 48억73백만원 3/31 지급예정</t>
    <phoneticPr fontId="11" type="noConversion"/>
  </si>
  <si>
    <t>일자</t>
    <phoneticPr fontId="11" type="noConversion"/>
  </si>
  <si>
    <t>적요</t>
    <phoneticPr fontId="11" type="noConversion"/>
  </si>
  <si>
    <t>금액</t>
    <phoneticPr fontId="11" type="noConversion"/>
  </si>
  <si>
    <t>잔액</t>
    <phoneticPr fontId="11" type="noConversion"/>
  </si>
  <si>
    <t>비고</t>
    <phoneticPr fontId="11" type="noConversion"/>
  </si>
  <si>
    <t>기존자금</t>
    <phoneticPr fontId="11" type="noConversion"/>
  </si>
  <si>
    <t>계약금 (1차) 지급완료</t>
    <phoneticPr fontId="11" type="noConversion"/>
  </si>
  <si>
    <t>합계</t>
    <phoneticPr fontId="11" type="noConversion"/>
  </si>
  <si>
    <t>임차료(128,702.1*145원*10개월)</t>
    <phoneticPr fontId="11" type="noConversion"/>
  </si>
  <si>
    <t>부가세포함</t>
    <phoneticPr fontId="11" type="noConversion"/>
  </si>
  <si>
    <t>현금유출</t>
    <phoneticPr fontId="11" type="noConversion"/>
  </si>
  <si>
    <t>관리비(128702.1*25원)</t>
    <phoneticPr fontId="11" type="noConversion"/>
  </si>
  <si>
    <t>총사업비</t>
    <phoneticPr fontId="11" type="noConversion"/>
  </si>
  <si>
    <t>2회차</t>
    <phoneticPr fontId="11" type="noConversion"/>
  </si>
  <si>
    <t>도급공사비</t>
    <phoneticPr fontId="11" type="noConversion"/>
  </si>
  <si>
    <t>관리비(128702.1*25원*3)</t>
    <phoneticPr fontId="11" type="noConversion"/>
  </si>
  <si>
    <t>감리비</t>
    <phoneticPr fontId="11" type="noConversion"/>
  </si>
  <si>
    <t>감리비 계약금(1,2차)</t>
    <phoneticPr fontId="11" type="noConversion"/>
  </si>
  <si>
    <t>전산개발</t>
    <phoneticPr fontId="11" type="noConversion"/>
  </si>
  <si>
    <t>증자</t>
    <phoneticPr fontId="11" type="noConversion"/>
  </si>
  <si>
    <t>=&gt; 4월말 증자 : 청약신청-&gt; 등기 완료</t>
    <phoneticPr fontId="11" type="noConversion"/>
  </si>
  <si>
    <t>부가세환급(2회분)</t>
    <phoneticPr fontId="11" type="noConversion"/>
  </si>
  <si>
    <t>부가세환급</t>
    <phoneticPr fontId="11" type="noConversion"/>
  </si>
  <si>
    <t>감리비 3차</t>
    <phoneticPr fontId="11" type="noConversion"/>
  </si>
  <si>
    <t>금융비용</t>
    <phoneticPr fontId="11" type="noConversion"/>
  </si>
  <si>
    <t>3회차</t>
    <phoneticPr fontId="11" type="noConversion"/>
  </si>
  <si>
    <t>현금유입</t>
    <phoneticPr fontId="11" type="noConversion"/>
  </si>
  <si>
    <t>게이트이전설치비용</t>
    <phoneticPr fontId="11" type="noConversion"/>
  </si>
  <si>
    <t>자기자본</t>
    <phoneticPr fontId="11" type="noConversion"/>
  </si>
  <si>
    <t>예정금액</t>
    <phoneticPr fontId="11" type="noConversion"/>
  </si>
  <si>
    <t>타인자본</t>
    <phoneticPr fontId="11" type="noConversion"/>
  </si>
  <si>
    <t>감리비 4차</t>
    <phoneticPr fontId="11" type="noConversion"/>
  </si>
  <si>
    <t>6월은 기성금 납부 없음</t>
    <phoneticPr fontId="11" type="noConversion"/>
  </si>
  <si>
    <t>주) 비용항목은 부가세 포함</t>
    <phoneticPr fontId="11" type="noConversion"/>
  </si>
  <si>
    <t>감리비 5차</t>
  </si>
  <si>
    <t>주) 부가세환급은 회사계획 적용</t>
    <phoneticPr fontId="11" type="noConversion"/>
  </si>
  <si>
    <t>4회차</t>
    <phoneticPr fontId="11" type="noConversion"/>
  </si>
  <si>
    <t>부가세환급(1회분)</t>
    <phoneticPr fontId="11" type="noConversion"/>
  </si>
  <si>
    <t>감리비 6차</t>
    <phoneticPr fontId="11" type="noConversion"/>
  </si>
  <si>
    <t>5회차</t>
    <phoneticPr fontId="11" type="noConversion"/>
  </si>
  <si>
    <t>감리비 7차</t>
    <phoneticPr fontId="11" type="noConversion"/>
  </si>
  <si>
    <t>차입(9/27 입금완료)</t>
    <phoneticPr fontId="11" type="noConversion"/>
  </si>
  <si>
    <t>=&gt; 5회 분할인출(안) : 해진공 협의 필요</t>
    <phoneticPr fontId="11" type="noConversion"/>
  </si>
  <si>
    <t>6회차</t>
    <phoneticPr fontId="11" type="noConversion"/>
  </si>
  <si>
    <t>한기평, 화우 비용(143백만원) 차감입금</t>
    <phoneticPr fontId="11" type="noConversion"/>
  </si>
  <si>
    <t>감리비 8차</t>
    <phoneticPr fontId="11" type="noConversion"/>
  </si>
  <si>
    <t>차입(10/27 입금완료)</t>
    <phoneticPr fontId="11" type="noConversion"/>
  </si>
  <si>
    <t>7회차</t>
    <phoneticPr fontId="11" type="noConversion"/>
  </si>
  <si>
    <t>한전불입금</t>
    <phoneticPr fontId="11" type="noConversion"/>
  </si>
  <si>
    <t>감리비 9차</t>
    <phoneticPr fontId="11" type="noConversion"/>
  </si>
  <si>
    <t>차입(11/27 입금완료)</t>
    <phoneticPr fontId="11" type="noConversion"/>
  </si>
  <si>
    <t>8회차</t>
    <phoneticPr fontId="11" type="noConversion"/>
  </si>
  <si>
    <t>감리비 10차</t>
    <phoneticPr fontId="11" type="noConversion"/>
  </si>
  <si>
    <t>이자(9월말 차입기준) 분기단위</t>
    <phoneticPr fontId="11" type="noConversion"/>
  </si>
  <si>
    <t>5회분납으로 이자 계산</t>
    <phoneticPr fontId="11" type="noConversion"/>
  </si>
  <si>
    <t>임차료(128,702.1*145원*12개월)</t>
    <phoneticPr fontId="11" type="noConversion"/>
  </si>
  <si>
    <t>2024년</t>
    <phoneticPr fontId="11" type="noConversion"/>
  </si>
  <si>
    <t>감리비 11차</t>
    <phoneticPr fontId="11" type="noConversion"/>
  </si>
  <si>
    <t>차입(1/27 입금완료)</t>
    <phoneticPr fontId="11" type="noConversion"/>
  </si>
  <si>
    <t>9,10회차</t>
    <phoneticPr fontId="11" type="noConversion"/>
  </si>
  <si>
    <t>준공후2회분</t>
    <phoneticPr fontId="11" type="noConversion"/>
  </si>
  <si>
    <t>취득세외(443억4%)</t>
    <phoneticPr fontId="11" type="noConversion"/>
  </si>
  <si>
    <t>감리비 12차</t>
    <phoneticPr fontId="11" type="noConversion"/>
  </si>
  <si>
    <t>감리비 13차</t>
    <phoneticPr fontId="11" type="noConversion"/>
  </si>
  <si>
    <t>감리비 14차</t>
  </si>
  <si>
    <t>차입(6/27 입금완료)</t>
    <phoneticPr fontId="11" type="noConversion"/>
  </si>
  <si>
    <t>태양광설치</t>
    <phoneticPr fontId="11" type="noConversion"/>
  </si>
  <si>
    <t>부가세환금(태양광)</t>
    <phoneticPr fontId="11" type="noConversion"/>
  </si>
  <si>
    <t>해진공 대출 270억원</t>
    <phoneticPr fontId="11" type="noConversion"/>
  </si>
  <si>
    <t>소계</t>
  </si>
  <si>
    <t>소계</t>
    <phoneticPr fontId="5" type="noConversion"/>
  </si>
  <si>
    <t>기발생</t>
    <phoneticPr fontId="5" type="noConversion"/>
  </si>
  <si>
    <t>1월</t>
    <phoneticPr fontId="5" type="noConversion"/>
  </si>
  <si>
    <t>2월</t>
    <phoneticPr fontId="5" type="noConversion"/>
  </si>
  <si>
    <t>3월</t>
    <phoneticPr fontId="5" type="noConversion"/>
  </si>
  <si>
    <t>4월</t>
    <phoneticPr fontId="5" type="noConversion"/>
  </si>
  <si>
    <t>5월</t>
    <phoneticPr fontId="5" type="noConversion"/>
  </si>
  <si>
    <t>6월</t>
    <phoneticPr fontId="5" type="noConversion"/>
  </si>
  <si>
    <t>7월</t>
    <phoneticPr fontId="5" type="noConversion"/>
  </si>
  <si>
    <t>8월</t>
    <phoneticPr fontId="5" type="noConversion"/>
  </si>
  <si>
    <t>9월</t>
    <phoneticPr fontId="5" type="noConversion"/>
  </si>
  <si>
    <t>10월</t>
    <phoneticPr fontId="5" type="noConversion"/>
  </si>
  <si>
    <t>11월</t>
    <phoneticPr fontId="5" type="noConversion"/>
  </si>
  <si>
    <t>12월</t>
    <phoneticPr fontId="5" type="noConversion"/>
  </si>
  <si>
    <t>향후발생</t>
    <phoneticPr fontId="5" type="noConversion"/>
  </si>
  <si>
    <t>관리비</t>
    <phoneticPr fontId="5" type="noConversion"/>
  </si>
  <si>
    <t>토지관련비용</t>
    <phoneticPr fontId="5" type="noConversion"/>
  </si>
  <si>
    <t>임차료</t>
    <phoneticPr fontId="5" type="noConversion"/>
  </si>
  <si>
    <t>간접공사비</t>
    <phoneticPr fontId="5" type="noConversion"/>
  </si>
  <si>
    <t>게이트설치</t>
    <phoneticPr fontId="5" type="noConversion"/>
  </si>
  <si>
    <t>기타경비</t>
    <phoneticPr fontId="5" type="noConversion"/>
  </si>
  <si>
    <t>전산개발</t>
    <phoneticPr fontId="5" type="noConversion"/>
  </si>
  <si>
    <t>2023</t>
    <phoneticPr fontId="5" type="noConversion"/>
  </si>
  <si>
    <t>2024</t>
    <phoneticPr fontId="5" type="noConversion"/>
  </si>
  <si>
    <t>취득세 등</t>
    <phoneticPr fontId="5" type="noConversion"/>
  </si>
  <si>
    <t>태양광설치</t>
    <phoneticPr fontId="5" type="noConversion"/>
  </si>
  <si>
    <t>현금증감</t>
    <phoneticPr fontId="5" type="noConversion"/>
  </si>
  <si>
    <t>기초현금</t>
    <phoneticPr fontId="5" type="noConversion"/>
  </si>
  <si>
    <t>기말현금</t>
    <phoneticPr fontId="5" type="noConversion"/>
  </si>
  <si>
    <t>구분</t>
    <phoneticPr fontId="5" type="noConversion"/>
  </si>
  <si>
    <t>현금유입</t>
    <phoneticPr fontId="5" type="noConversion"/>
  </si>
  <si>
    <t>현금유출</t>
    <phoneticPr fontId="5" type="noConversion"/>
  </si>
  <si>
    <t>자기자본</t>
    <phoneticPr fontId="5" type="noConversion"/>
  </si>
  <si>
    <t>본건차입금</t>
    <phoneticPr fontId="5" type="noConversion"/>
  </si>
  <si>
    <t>합계</t>
    <phoneticPr fontId="5" type="noConversion"/>
  </si>
  <si>
    <t>Tr-A</t>
    <phoneticPr fontId="5" type="noConversion"/>
  </si>
  <si>
    <t>기초</t>
    <phoneticPr fontId="5" type="noConversion"/>
  </si>
  <si>
    <t>인출</t>
    <phoneticPr fontId="5" type="noConversion"/>
  </si>
  <si>
    <t>상환</t>
    <phoneticPr fontId="5" type="noConversion"/>
  </si>
  <si>
    <t>기말</t>
    <phoneticPr fontId="5" type="noConversion"/>
  </si>
  <si>
    <t>금융비용</t>
    <phoneticPr fontId="5" type="noConversion"/>
  </si>
  <si>
    <t>수수료</t>
    <phoneticPr fontId="5" type="noConversion"/>
  </si>
  <si>
    <t>이자비용</t>
    <phoneticPr fontId="5" type="noConversion"/>
  </si>
  <si>
    <t>금리</t>
    <phoneticPr fontId="5" type="noConversion"/>
  </si>
  <si>
    <t>내용</t>
    <phoneticPr fontId="5" type="noConversion"/>
  </si>
  <si>
    <t>발생</t>
    <phoneticPr fontId="5" type="noConversion"/>
  </si>
  <si>
    <t>지급</t>
    <phoneticPr fontId="5" type="noConversion"/>
  </si>
  <si>
    <t>-</t>
    <phoneticPr fontId="5" type="noConversion"/>
  </si>
  <si>
    <t>(~23.04)</t>
    <phoneticPr fontId="5" type="noConversion"/>
  </si>
  <si>
    <t>(05~12)</t>
    <phoneticPr fontId="5" type="noConversion"/>
  </si>
  <si>
    <t>주) 총사업비는 부가세포함 기준이며, 사업계획상 부가세환급액 반영</t>
    <phoneticPr fontId="5" type="noConversion"/>
  </si>
  <si>
    <t>도급공사비</t>
    <phoneticPr fontId="5" type="noConversion"/>
  </si>
  <si>
    <t>부가세환급</t>
    <phoneticPr fontId="5" type="noConversion"/>
  </si>
  <si>
    <t>KR적용</t>
    <phoneticPr fontId="5" type="noConversion"/>
  </si>
  <si>
    <t>Diff.</t>
    <phoneticPr fontId="5" type="noConversion"/>
  </si>
  <si>
    <t>(단위: 백만원)</t>
    <phoneticPr fontId="5" type="noConversion"/>
  </si>
  <si>
    <t>■ 개발기간 연도별 자금수지</t>
    <phoneticPr fontId="5" type="noConversion"/>
  </si>
  <si>
    <t>■ 개발기간 소요자금 및 자금조달</t>
    <phoneticPr fontId="5" type="noConversion"/>
  </si>
  <si>
    <t>소요자금</t>
    <phoneticPr fontId="5" type="noConversion"/>
  </si>
  <si>
    <t>금액</t>
    <phoneticPr fontId="5" type="noConversion"/>
  </si>
  <si>
    <t>자금조달</t>
    <phoneticPr fontId="5" type="noConversion"/>
  </si>
  <si>
    <t>잔여현금</t>
    <phoneticPr fontId="5" type="noConversion"/>
  </si>
  <si>
    <t>■ 개발기간 소요자금 산정내역</t>
    <phoneticPr fontId="5" type="noConversion"/>
  </si>
  <si>
    <t>% 비중</t>
    <phoneticPr fontId="5" type="noConversion"/>
  </si>
  <si>
    <t>비고</t>
    <phoneticPr fontId="5" type="noConversion"/>
  </si>
  <si>
    <t>광양항 항만배후단지 종합물류서비스센터 물량 조사 현황</t>
    <phoneticPr fontId="11" type="noConversion"/>
  </si>
  <si>
    <t>1. 월 매출</t>
    <phoneticPr fontId="11" type="noConversion"/>
  </si>
  <si>
    <t>[단위: 천원]</t>
    <phoneticPr fontId="11" type="noConversion"/>
  </si>
  <si>
    <t>1컨에 몇 R/T</t>
    <phoneticPr fontId="11" type="noConversion"/>
  </si>
  <si>
    <t>작업료 R/T</t>
    <phoneticPr fontId="11" type="noConversion"/>
  </si>
  <si>
    <t>몇R/T에 1컨</t>
    <phoneticPr fontId="11" type="noConversion"/>
  </si>
  <si>
    <t>구분</t>
    <phoneticPr fontId="11" type="noConversion"/>
  </si>
  <si>
    <t>Lay out</t>
    <phoneticPr fontId="11" type="noConversion"/>
  </si>
  <si>
    <t>작업(Ton)</t>
    <phoneticPr fontId="11" type="noConversion"/>
  </si>
  <si>
    <t>고내</t>
    <phoneticPr fontId="11" type="noConversion"/>
  </si>
  <si>
    <t>야드</t>
    <phoneticPr fontId="11" type="noConversion"/>
  </si>
  <si>
    <t>작업료</t>
    <phoneticPr fontId="11" type="noConversion"/>
  </si>
  <si>
    <t>보관료</t>
    <phoneticPr fontId="11" type="noConversion"/>
  </si>
  <si>
    <t>셔틀료</t>
    <phoneticPr fontId="11" type="noConversion"/>
  </si>
  <si>
    <t>합계금액</t>
    <phoneticPr fontId="11" type="noConversion"/>
  </si>
  <si>
    <t>R/T</t>
    <phoneticPr fontId="11" type="noConversion"/>
  </si>
  <si>
    <t>컨테이너</t>
    <phoneticPr fontId="11" type="noConversion"/>
  </si>
  <si>
    <t>일반창고 1</t>
    <phoneticPr fontId="11" type="noConversion"/>
  </si>
  <si>
    <t>2단적</t>
  </si>
  <si>
    <t>작업료: 12,000원/톤, 보관료: 400원/톤×10일</t>
    <phoneticPr fontId="11" type="noConversion"/>
  </si>
  <si>
    <t>일반창고 2</t>
    <phoneticPr fontId="11" type="noConversion"/>
  </si>
  <si>
    <t xml:space="preserve"> 상동</t>
    <phoneticPr fontId="11" type="noConversion"/>
  </si>
  <si>
    <t>일반창고 3</t>
    <phoneticPr fontId="11" type="noConversion"/>
  </si>
  <si>
    <t>일반창고 4</t>
    <phoneticPr fontId="11" type="noConversion"/>
  </si>
  <si>
    <t>작업료: 7500원/톤 (70%), 톤백 18만원/23톤(30%)
보관료: 100원/톤×30일</t>
    <phoneticPr fontId="11" type="noConversion"/>
  </si>
  <si>
    <t>일반창고 5</t>
    <phoneticPr fontId="11" type="noConversion"/>
  </si>
  <si>
    <t>컨당</t>
  </si>
  <si>
    <t>임대료: 18,000원/평</t>
  </si>
  <si>
    <t>작업료: 28만원/'컨'</t>
  </si>
  <si>
    <t>일반창고 6</t>
    <phoneticPr fontId="11" type="noConversion"/>
  </si>
  <si>
    <t>작업료 18만원/컨, 보관료: 5만원/컨</t>
  </si>
  <si>
    <t>일반 컨테이너장치장</t>
    <phoneticPr fontId="11" type="noConversion"/>
  </si>
  <si>
    <t>SOC(매각밴 매입하여) 3단적</t>
  </si>
  <si>
    <t>대림, GS칼텍스등 수지 컨테이너 보관 월 400개
청해소재,금호타이어</t>
    <phoneticPr fontId="11" type="noConversion"/>
  </si>
  <si>
    <t>공유면적
(차량통행로, 주차장, 계근대)</t>
    <phoneticPr fontId="11" type="noConversion"/>
  </si>
  <si>
    <t>소계</t>
    <phoneticPr fontId="11" type="noConversion"/>
  </si>
  <si>
    <t>2. 월 매출원가</t>
    <phoneticPr fontId="11" type="noConversion"/>
  </si>
  <si>
    <t>작업료: 7,500원/톤</t>
    <phoneticPr fontId="11" type="noConversion"/>
  </si>
  <si>
    <t>작업료: 6500원/톤 (70%), 톤백 14만원/23톤(30%)</t>
    <phoneticPr fontId="11" type="noConversion"/>
  </si>
  <si>
    <t>더티창고 148평 축소</t>
    <phoneticPr fontId="11" type="noConversion"/>
  </si>
  <si>
    <t>일반창고 5</t>
  </si>
  <si>
    <t>작업료 18만원/컨</t>
  </si>
  <si>
    <t>일반창고 6</t>
  </si>
  <si>
    <t>작업료 14만원/컨</t>
  </si>
  <si>
    <t>월 400개</t>
  </si>
  <si>
    <t>공유면적</t>
  </si>
  <si>
    <t>사무동, 복지동</t>
  </si>
  <si>
    <t>3. 월 매출이익</t>
    <phoneticPr fontId="11" type="noConversion"/>
  </si>
  <si>
    <t xml:space="preserve">[첨부] Ⅰ. 추정 손익계산서 </t>
    <phoneticPr fontId="11" type="noConversion"/>
  </si>
  <si>
    <t xml:space="preserve"> □ 5년간 추정 손익계산서</t>
    <phoneticPr fontId="11" type="noConversion"/>
  </si>
  <si>
    <t>과 목</t>
    <phoneticPr fontId="11" type="noConversion"/>
  </si>
  <si>
    <t>2025년</t>
    <phoneticPr fontId="11" type="noConversion"/>
  </si>
  <si>
    <t>2026년</t>
    <phoneticPr fontId="11" type="noConversion"/>
  </si>
  <si>
    <t>2027년</t>
    <phoneticPr fontId="11" type="noConversion"/>
  </si>
  <si>
    <t>2028년</t>
    <phoneticPr fontId="11" type="noConversion"/>
  </si>
  <si>
    <t>비 고</t>
    <phoneticPr fontId="11" type="noConversion"/>
  </si>
  <si>
    <t>Ⅰ. 매출액</t>
  </si>
  <si>
    <t xml:space="preserve">  1. CFS 작업</t>
  </si>
  <si>
    <t>작업료+보관료</t>
    <phoneticPr fontId="11" type="noConversion"/>
  </si>
  <si>
    <t xml:space="preserve">  2. CFS 셔틀료</t>
  </si>
  <si>
    <t xml:space="preserve">  3. 태양광발전소 </t>
    <phoneticPr fontId="11" type="noConversion"/>
  </si>
  <si>
    <t>발전효율 저감율 년간 0.5% 적용</t>
    <phoneticPr fontId="11" type="noConversion"/>
  </si>
  <si>
    <t xml:space="preserve">  4. 임대료</t>
    <phoneticPr fontId="11" type="noConversion"/>
  </si>
  <si>
    <t xml:space="preserve"> 구보다 2,970만원/월              
 유니코정밀화학 2,880만원 /월</t>
    <phoneticPr fontId="11" type="noConversion"/>
  </si>
  <si>
    <t>Ⅱ. 매출원가</t>
  </si>
  <si>
    <t xml:space="preserve">  1. CFS 작업료(용역)</t>
  </si>
  <si>
    <t>물량증가에 따른 인상적용</t>
  </si>
  <si>
    <t xml:space="preserve">  3. 태양광발전소(용역)</t>
    <phoneticPr fontId="11" type="noConversion"/>
  </si>
  <si>
    <t>월 500만원 x 12개월 = 6,000만원</t>
    <phoneticPr fontId="11" type="noConversion"/>
  </si>
  <si>
    <t xml:space="preserve">  4. 지급임차료</t>
    <phoneticPr fontId="11" type="noConversion"/>
  </si>
  <si>
    <t xml:space="preserve"> - 임차료 연간 23,276만원 (145원/㎡)
 - 공동시설 유지관리비 연간 4,013만원 (25원/㎡)</t>
    <phoneticPr fontId="11" type="noConversion"/>
  </si>
  <si>
    <t>Ⅲ. 매출총이익</t>
  </si>
  <si>
    <t>Ⅳ. 판매비와관리비</t>
  </si>
  <si>
    <t xml:space="preserve"> 1. 급여와임금</t>
  </si>
  <si>
    <t xml:space="preserve"> 연간 2.5% 인상적용, 성과급 포함</t>
  </si>
  <si>
    <t xml:space="preserve"> 2. 퇴직급여</t>
  </si>
  <si>
    <t xml:space="preserve"> 급여의 10% 적용</t>
  </si>
  <si>
    <t xml:space="preserve"> 3. 복리후생비</t>
  </si>
  <si>
    <t xml:space="preserve"> 4대보험료, 식대 등 급여의 10.9%</t>
    <phoneticPr fontId="11" type="noConversion"/>
  </si>
  <si>
    <t xml:space="preserve"> 4. 접대비</t>
  </si>
  <si>
    <t xml:space="preserve"> 월 300만원,  영업사원 2명</t>
  </si>
  <si>
    <t xml:space="preserve"> 5. 감가상각비</t>
  </si>
  <si>
    <t xml:space="preserve"> 일반창고, 태양광발전소, 전산개발비 등</t>
    <phoneticPr fontId="11" type="noConversion"/>
  </si>
  <si>
    <t xml:space="preserve"> 6. 세금과공과</t>
  </si>
  <si>
    <t xml:space="preserve"> 월 100만원</t>
  </si>
  <si>
    <t xml:space="preserve"> 7. 여비교통비</t>
  </si>
  <si>
    <t xml:space="preserve"> 월 200만원</t>
  </si>
  <si>
    <t xml:space="preserve"> 8. 통신비</t>
  </si>
  <si>
    <t xml:space="preserve"> 월 100만원</t>
    <phoneticPr fontId="11" type="noConversion"/>
  </si>
  <si>
    <t xml:space="preserve"> 9. 보험료/수선비</t>
  </si>
  <si>
    <t xml:space="preserve"> 화재보험 및 재난배상책임 보험</t>
    <phoneticPr fontId="11" type="noConversion"/>
  </si>
  <si>
    <t xml:space="preserve"> 10. 차량유지비</t>
  </si>
  <si>
    <t xml:space="preserve"> 월 50만원</t>
  </si>
  <si>
    <t xml:space="preserve"> 11. 수도광열비</t>
  </si>
  <si>
    <t xml:space="preserve"> 월 500만원</t>
    <phoneticPr fontId="11" type="noConversion"/>
  </si>
  <si>
    <t xml:space="preserve"> 12. 소모품비</t>
  </si>
  <si>
    <t xml:space="preserve"> 월 300만원</t>
  </si>
  <si>
    <t xml:space="preserve"> 13. 전산비</t>
  </si>
  <si>
    <t xml:space="preserve"> 14. 지급수수료</t>
    <phoneticPr fontId="11" type="noConversion"/>
  </si>
  <si>
    <t xml:space="preserve"> 보안비(세콤), 환경 2명, 이행보증보험료</t>
    <phoneticPr fontId="11" type="noConversion"/>
  </si>
  <si>
    <t>Ⅴ. 영업이익</t>
  </si>
  <si>
    <t>Ⅵ. 영업외수익</t>
  </si>
  <si>
    <t>Ⅶ. 영업외비용</t>
  </si>
  <si>
    <t xml:space="preserve"> 1. 이자비용</t>
  </si>
  <si>
    <t>연간이자율 4.9% 적용</t>
    <phoneticPr fontId="11" type="noConversion"/>
  </si>
  <si>
    <t>Ⅷ. 경상이익</t>
  </si>
  <si>
    <t>Ⅸ. 법인세비용</t>
  </si>
  <si>
    <t>법인세 22% 적용</t>
    <phoneticPr fontId="11" type="noConversion"/>
  </si>
  <si>
    <t>Ⅹ. 당기순이익</t>
  </si>
  <si>
    <t>■ 운영기간 연도별 자금수지</t>
    <phoneticPr fontId="5" type="noConversion"/>
  </si>
  <si>
    <t>■ 운영조건</t>
    <phoneticPr fontId="5" type="noConversion"/>
  </si>
  <si>
    <t>1. 월매출액</t>
    <phoneticPr fontId="5" type="noConversion"/>
  </si>
  <si>
    <t>창고면적</t>
    <phoneticPr fontId="5" type="noConversion"/>
  </si>
  <si>
    <t>야드면적</t>
    <phoneticPr fontId="5" type="noConversion"/>
  </si>
  <si>
    <t>취급량</t>
    <phoneticPr fontId="5" type="noConversion"/>
  </si>
  <si>
    <t>매출액(백만원)</t>
    <phoneticPr fontId="5" type="noConversion"/>
  </si>
  <si>
    <t>(평)</t>
    <phoneticPr fontId="5" type="noConversion"/>
  </si>
  <si>
    <t>(톤)</t>
    <phoneticPr fontId="5" type="noConversion"/>
  </si>
  <si>
    <t>(컨테이너)</t>
    <phoneticPr fontId="5" type="noConversion"/>
  </si>
  <si>
    <t>작업료</t>
    <phoneticPr fontId="5" type="noConversion"/>
  </si>
  <si>
    <t>보관료</t>
    <phoneticPr fontId="5" type="noConversion"/>
  </si>
  <si>
    <t>셔틀료</t>
    <phoneticPr fontId="5" type="noConversion"/>
  </si>
  <si>
    <t>창고1</t>
    <phoneticPr fontId="5" type="noConversion"/>
  </si>
  <si>
    <t>작업료: 12,000원/톤, 보관료: 400원/톤*10일</t>
    <phoneticPr fontId="5" type="noConversion"/>
  </si>
  <si>
    <t>창고2</t>
    <phoneticPr fontId="5" type="noConversion"/>
  </si>
  <si>
    <t>창고3</t>
    <phoneticPr fontId="5" type="noConversion"/>
  </si>
  <si>
    <t>창고4</t>
    <phoneticPr fontId="5" type="noConversion"/>
  </si>
  <si>
    <t>창고5</t>
    <phoneticPr fontId="5" type="noConversion"/>
  </si>
  <si>
    <t>작업료: 28만원/컨, 보관료: 18,000원/평, 셔틀료: 컨테이너당 70%는 8만원, 30%는 5만원</t>
    <phoneticPr fontId="5" type="noConversion"/>
  </si>
  <si>
    <t>창고6</t>
    <phoneticPr fontId="5" type="noConversion"/>
  </si>
  <si>
    <t>작업료: 18만원/컨, 보관료: 18,000원/평 및 5만원/컨, 셔틀료: 컨테이너당 70%는 5만원, 30%는 3만원</t>
    <phoneticPr fontId="5" type="noConversion"/>
  </si>
  <si>
    <t>컨테이너장차장</t>
    <phoneticPr fontId="5" type="noConversion"/>
  </si>
  <si>
    <t>작업료: 4만원/컨, 보관료: 5,000원/컨*10일, 셔틀료: 컨테이너당 70%는 8만원, 30%는 5만원</t>
    <phoneticPr fontId="5" type="noConversion"/>
  </si>
  <si>
    <t>공유면적</t>
    <phoneticPr fontId="5" type="noConversion"/>
  </si>
  <si>
    <t>일식</t>
    <phoneticPr fontId="5" type="noConversion"/>
  </si>
  <si>
    <t>매출원가(백만원)</t>
    <phoneticPr fontId="5" type="noConversion"/>
  </si>
  <si>
    <t>작업료: 18만원/컨, 셔틀료: 컨테이너당 70%는 7만원, 30%는 4.5만원</t>
    <phoneticPr fontId="5" type="noConversion"/>
  </si>
  <si>
    <t>작업료: 14만원/컨, 셔틀료: 컨테이너당 70%는 4.5만원, 30%는 2.7만원</t>
    <phoneticPr fontId="5" type="noConversion"/>
  </si>
  <si>
    <t>작업료: 2만원/컨, 셔틀료: 컨테이너당 70%는 7만원, 30%는 4.5만원</t>
    <phoneticPr fontId="5" type="noConversion"/>
  </si>
  <si>
    <t>% GP마진</t>
    <phoneticPr fontId="5" type="noConversion"/>
  </si>
  <si>
    <t>1일요금</t>
    <phoneticPr fontId="5" type="noConversion"/>
  </si>
  <si>
    <t>적용일수</t>
    <phoneticPr fontId="5" type="noConversion"/>
  </si>
  <si>
    <t>톤당</t>
    <phoneticPr fontId="5" type="noConversion"/>
  </si>
  <si>
    <t>주) 컨테이너당 23톤 가정</t>
    <phoneticPr fontId="5" type="noConversion"/>
  </si>
  <si>
    <t>작업료: 70%는 7,500원/톤, 30%는 컨테이너당 18만원(컨테이너당 23톤 가정), 보관료: 100원/톤*30일, 셔틀료: 컨테이너당 5만원(컨테이너당 23톤 가정)</t>
    <phoneticPr fontId="5" type="noConversion"/>
  </si>
  <si>
    <t>작업료(입출고당)</t>
    <phoneticPr fontId="5" type="noConversion"/>
  </si>
  <si>
    <t>평당가</t>
    <phoneticPr fontId="5" type="noConversion"/>
  </si>
  <si>
    <t>컨당</t>
    <phoneticPr fontId="5" type="noConversion"/>
  </si>
  <si>
    <t>(단위: 원)</t>
    <phoneticPr fontId="5" type="noConversion"/>
  </si>
  <si>
    <t>작업료: 70%는 6,500원/톤, 30%는 컨테이너당 14만원(컨테이너당 23톤 가정), 셔틀료: 매출액의 90%</t>
    <phoneticPr fontId="5" type="noConversion"/>
  </si>
  <si>
    <t>인건비</t>
    <phoneticPr fontId="5" type="noConversion"/>
  </si>
  <si>
    <t>1년차</t>
    <phoneticPr fontId="5" type="noConversion"/>
  </si>
  <si>
    <t>2년차</t>
    <phoneticPr fontId="5" type="noConversion"/>
  </si>
  <si>
    <t>3년차</t>
    <phoneticPr fontId="5" type="noConversion"/>
  </si>
  <si>
    <t>4년차</t>
    <phoneticPr fontId="5" type="noConversion"/>
  </si>
  <si>
    <t>5년차</t>
    <phoneticPr fontId="5" type="noConversion"/>
  </si>
  <si>
    <t>퇴직급여, 복리후생비 등 포함</t>
    <phoneticPr fontId="5" type="noConversion"/>
  </si>
  <si>
    <t>수도광열비</t>
    <phoneticPr fontId="5" type="noConversion"/>
  </si>
  <si>
    <t>전산비</t>
    <phoneticPr fontId="5" type="noConversion"/>
  </si>
  <si>
    <t>지급수수료</t>
    <phoneticPr fontId="5" type="noConversion"/>
  </si>
  <si>
    <t>기타항목</t>
    <phoneticPr fontId="5" type="noConversion"/>
  </si>
  <si>
    <t>주) 감가상각비 제외</t>
    <phoneticPr fontId="5" type="noConversion"/>
  </si>
  <si>
    <t>보안업체 등</t>
    <phoneticPr fontId="5" type="noConversion"/>
  </si>
  <si>
    <t xml:space="preserve"> WMS 및 KLNET 사용료 월 500만원</t>
    <phoneticPr fontId="5" type="noConversion"/>
  </si>
  <si>
    <t xml:space="preserve"> WMS 및 KLNET 사용료 등</t>
    <phoneticPr fontId="5" type="noConversion"/>
  </si>
  <si>
    <t>소모품비, 여비교통비 등</t>
    <phoneticPr fontId="5" type="noConversion"/>
  </si>
  <si>
    <t>태양광 제외</t>
    <phoneticPr fontId="5" type="noConversion"/>
  </si>
  <si>
    <t>목표매출액</t>
    <phoneticPr fontId="5" type="noConversion"/>
  </si>
  <si>
    <t>목표가동률</t>
    <phoneticPr fontId="5" type="noConversion"/>
  </si>
  <si>
    <t>100%매출액</t>
    <phoneticPr fontId="5" type="noConversion"/>
  </si>
  <si>
    <t>적용가동률</t>
    <phoneticPr fontId="5" type="noConversion"/>
  </si>
  <si>
    <t>가동률</t>
    <phoneticPr fontId="5" type="noConversion"/>
  </si>
  <si>
    <t>토지임차료 등</t>
    <phoneticPr fontId="5" type="noConversion"/>
  </si>
  <si>
    <t>작업/셔틀 원가</t>
    <phoneticPr fontId="5" type="noConversion"/>
  </si>
  <si>
    <t>태양광용역비</t>
    <phoneticPr fontId="5" type="noConversion"/>
  </si>
  <si>
    <t>대지면적</t>
    <phoneticPr fontId="5" type="noConversion"/>
  </si>
  <si>
    <t>건축연면적</t>
    <phoneticPr fontId="5" type="noConversion"/>
  </si>
  <si>
    <t>위치</t>
    <phoneticPr fontId="5" type="noConversion"/>
  </si>
  <si>
    <t>전라남도 광양시 황길동 1407번지 등</t>
    <phoneticPr fontId="5" type="noConversion"/>
  </si>
  <si>
    <r>
      <t>m</t>
    </r>
    <r>
      <rPr>
        <vertAlign val="superscript"/>
        <sz val="9"/>
        <color theme="1"/>
        <rFont val="맑은 고딕"/>
        <family val="3"/>
        <charset val="129"/>
      </rPr>
      <t>2</t>
    </r>
    <r>
      <rPr>
        <sz val="9"/>
        <color theme="1"/>
        <rFont val="맑은 고딕"/>
        <family val="2"/>
        <charset val="129"/>
      </rPr>
      <t>당 월간 임차료 145원, 관리비 25원</t>
    </r>
    <phoneticPr fontId="5" type="noConversion"/>
  </si>
  <si>
    <t>원리금상환</t>
    <phoneticPr fontId="5" type="noConversion"/>
  </si>
  <si>
    <t>원금상환</t>
    <phoneticPr fontId="5" type="noConversion"/>
  </si>
  <si>
    <t>작업료수입</t>
    <phoneticPr fontId="5" type="noConversion"/>
  </si>
  <si>
    <t>셔틀료수입</t>
    <phoneticPr fontId="5" type="noConversion"/>
  </si>
  <si>
    <t>보관료수입</t>
    <phoneticPr fontId="5" type="noConversion"/>
  </si>
  <si>
    <t>태양광수입</t>
    <phoneticPr fontId="5" type="noConversion"/>
  </si>
  <si>
    <t>3. 월매출원가</t>
    <phoneticPr fontId="5" type="noConversion"/>
  </si>
  <si>
    <t>4. 기타원가</t>
    <phoneticPr fontId="5" type="noConversion"/>
  </si>
  <si>
    <t>5. 판매관리비</t>
    <phoneticPr fontId="5" type="noConversion"/>
  </si>
  <si>
    <t>6. 가동률</t>
    <phoneticPr fontId="5" type="noConversion"/>
  </si>
  <si>
    <t>2. 태양광매출액</t>
    <phoneticPr fontId="5" type="noConversion"/>
  </si>
  <si>
    <t>연매출액</t>
    <phoneticPr fontId="5" type="noConversion"/>
  </si>
  <si>
    <t>주) 사업계획상 24년 설치, 25년 가동 예정</t>
    <phoneticPr fontId="5" type="noConversion"/>
  </si>
  <si>
    <t>연간 효율 감소 0.5%</t>
    <phoneticPr fontId="5" type="noConversion"/>
  </si>
  <si>
    <t>2025</t>
    <phoneticPr fontId="5" type="noConversion"/>
  </si>
  <si>
    <t>2026</t>
    <phoneticPr fontId="5" type="noConversion"/>
  </si>
  <si>
    <t>2027</t>
  </si>
  <si>
    <t>2028</t>
  </si>
  <si>
    <t>2029</t>
  </si>
  <si>
    <t>주) 본건차입금은 3년 거치, 12년 분할상환 적용</t>
    <phoneticPr fontId="5" type="noConversion"/>
  </si>
  <si>
    <t>원리금지급재원</t>
    <phoneticPr fontId="5" type="noConversion"/>
  </si>
  <si>
    <t>원리금상환액</t>
    <phoneticPr fontId="5" type="noConversion"/>
  </si>
  <si>
    <t>기초현금 포함</t>
    <phoneticPr fontId="5" type="noConversion"/>
  </si>
  <si>
    <t>매출액</t>
    <phoneticPr fontId="5" type="noConversion"/>
  </si>
  <si>
    <t>매출원가</t>
    <phoneticPr fontId="5" type="noConversion"/>
  </si>
  <si>
    <t>판매관리비</t>
    <phoneticPr fontId="5" type="noConversion"/>
  </si>
  <si>
    <t>회사제시 감가상각비 포함</t>
    <phoneticPr fontId="5" type="noConversion"/>
  </si>
  <si>
    <t>영업이익</t>
    <phoneticPr fontId="5" type="noConversion"/>
  </si>
  <si>
    <t>매출총이익</t>
    <phoneticPr fontId="5" type="noConversion"/>
  </si>
  <si>
    <t>영업외비용</t>
    <phoneticPr fontId="5" type="noConversion"/>
  </si>
  <si>
    <t>세전이익</t>
    <phoneticPr fontId="5" type="noConversion"/>
  </si>
  <si>
    <t>% 매출총이익률</t>
    <phoneticPr fontId="5" type="noConversion"/>
  </si>
  <si>
    <t>% 영업이익률</t>
    <phoneticPr fontId="5" type="noConversion"/>
  </si>
  <si>
    <t>% 세전이익률</t>
    <phoneticPr fontId="5" type="noConversion"/>
  </si>
  <si>
    <t>6년차</t>
  </si>
  <si>
    <t>7년차</t>
  </si>
  <si>
    <t>8년차</t>
  </si>
  <si>
    <t>9년차</t>
  </si>
  <si>
    <t>10년차</t>
  </si>
  <si>
    <t>11년차</t>
  </si>
  <si>
    <t>12년차</t>
  </si>
  <si>
    <t>13년차</t>
  </si>
  <si>
    <t>14년차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</si>
  <si>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</si>
  <si>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</si>
  <si>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</si>
  <si>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</si>
  <si>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</si>
  <si>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</si>
  <si>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</si>
  <si>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</si>
  <si>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</si>
  <si>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인건비인상률</t>
    <phoneticPr fontId="5" type="noConversion"/>
  </si>
  <si>
    <t>매년</t>
    <phoneticPr fontId="5" type="noConversion"/>
  </si>
  <si>
    <t>단가인상률</t>
    <phoneticPr fontId="5" type="noConversion"/>
  </si>
  <si>
    <t>7. 인상률</t>
    <phoneticPr fontId="5" type="noConversion"/>
  </si>
  <si>
    <t>■ DSCR</t>
    <phoneticPr fontId="5" type="noConversion"/>
  </si>
  <si>
    <t>원리금상환재원</t>
    <phoneticPr fontId="5" type="noConversion"/>
  </si>
  <si>
    <t>본건 물류센터</t>
    <phoneticPr fontId="5" type="noConversion"/>
  </si>
  <si>
    <t>운영수입</t>
    <phoneticPr fontId="5" type="noConversion"/>
  </si>
  <si>
    <t>운영비용</t>
    <phoneticPr fontId="5" type="noConversion"/>
  </si>
  <si>
    <t>기존사업</t>
    <phoneticPr fontId="5" type="noConversion"/>
  </si>
  <si>
    <t>당기DSCR</t>
    <phoneticPr fontId="5" type="noConversion"/>
  </si>
  <si>
    <t>기초현금 제외</t>
    <phoneticPr fontId="5" type="noConversion"/>
  </si>
  <si>
    <t>상환재원 (1)</t>
    <phoneticPr fontId="5" type="noConversion"/>
  </si>
  <si>
    <t>상환재원 (2)</t>
    <phoneticPr fontId="5" type="noConversion"/>
  </si>
  <si>
    <t>■ Valuation</t>
    <phoneticPr fontId="5" type="noConversion"/>
  </si>
  <si>
    <t>NOI</t>
    <phoneticPr fontId="5" type="noConversion"/>
  </si>
  <si>
    <t>Cap rate</t>
    <phoneticPr fontId="5" type="noConversion"/>
  </si>
  <si>
    <t>예상매각가치</t>
    <phoneticPr fontId="5" type="noConversion"/>
  </si>
  <si>
    <t>임대료수입</t>
    <phoneticPr fontId="5" type="noConversion"/>
  </si>
  <si>
    <t>관리비수입</t>
    <phoneticPr fontId="5" type="noConversion"/>
  </si>
  <si>
    <t>% 마진</t>
    <phoneticPr fontId="5" type="noConversion"/>
  </si>
  <si>
    <t>보증금운용수입</t>
    <phoneticPr fontId="5" type="noConversion"/>
  </si>
  <si>
    <t>운용이율 3% 가정</t>
    <phoneticPr fontId="5" type="noConversion"/>
  </si>
  <si>
    <t>주) 임대형 물류센터로 가정하고 산정한 매각가치</t>
    <phoneticPr fontId="5" type="noConversion"/>
  </si>
  <si>
    <t>LTV</t>
    <phoneticPr fontId="5" type="noConversion"/>
  </si>
  <si>
    <t>가동률 95% 가정</t>
  </si>
  <si>
    <t>가동률 95% 가정</t>
    <phoneticPr fontId="5" type="noConversion"/>
  </si>
  <si>
    <t>15년차</t>
  </si>
  <si>
    <t>16년차</t>
  </si>
  <si>
    <t>17년차</t>
  </si>
  <si>
    <t>18년차</t>
  </si>
  <si>
    <t>19년차</t>
  </si>
  <si>
    <t>20년차</t>
  </si>
  <si>
    <t>21년차</t>
  </si>
  <si>
    <t>22년차</t>
  </si>
  <si>
    <t>23년차</t>
  </si>
  <si>
    <t>24년차</t>
  </si>
  <si>
    <t>25년차</t>
  </si>
  <si>
    <t>26년차</t>
  </si>
  <si>
    <t>27년차</t>
  </si>
  <si>
    <t>28년차</t>
  </si>
  <si>
    <t>29년차</t>
  </si>
  <si>
    <t>30년차</t>
  </si>
  <si>
    <t>31년차</t>
  </si>
  <si>
    <t>32년차</t>
  </si>
  <si>
    <t>33년차</t>
  </si>
  <si>
    <t>34년차</t>
  </si>
  <si>
    <t>35년차</t>
  </si>
  <si>
    <t>36년차</t>
  </si>
  <si>
    <t>37년차</t>
  </si>
  <si>
    <t>38년차</t>
  </si>
  <si>
    <t>39년차</t>
  </si>
  <si>
    <t>40년차</t>
  </si>
  <si>
    <t>41년차</t>
  </si>
  <si>
    <t>42년차</t>
  </si>
  <si>
    <t>43년차</t>
  </si>
  <si>
    <t>44년차</t>
  </si>
  <si>
    <t>45년차</t>
  </si>
  <si>
    <t>46년차</t>
  </si>
  <si>
    <t>47년차</t>
  </si>
  <si>
    <t>48년차</t>
  </si>
  <si>
    <t>FCF</t>
    <phoneticPr fontId="5" type="noConversion"/>
  </si>
  <si>
    <t>현가계수</t>
    <phoneticPr fontId="5" type="noConversion"/>
  </si>
  <si>
    <t>Discounted FCF</t>
    <phoneticPr fontId="5" type="noConversion"/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</si>
  <si>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</si>
  <si>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</si>
  <si>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</si>
  <si>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</si>
  <si>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</si>
  <si>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</si>
  <si>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</si>
  <si>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</si>
  <si>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</si>
  <si>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</si>
  <si>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</si>
  <si>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</si>
  <si>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</si>
  <si>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</si>
  <si>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</si>
  <si>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</si>
  <si>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</si>
  <si>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</si>
  <si>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</si>
  <si>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</si>
  <si>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</si>
  <si>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</si>
  <si>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</si>
  <si>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</si>
  <si>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</si>
  <si>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</si>
  <si>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</si>
  <si>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</si>
  <si>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</si>
  <si>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</si>
  <si>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</si>
  <si>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</si>
  <si>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</si>
  <si>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</si>
  <si>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주) 2023년 6월말 기준으로 현가화</t>
    <phoneticPr fontId="5" type="noConversion"/>
  </si>
  <si>
    <t>주) 토지임대기간(2023~2072년, 50년)에 한해서 운영됨을 가정</t>
    <phoneticPr fontId="5" type="noConversion"/>
  </si>
  <si>
    <t>% 비중 (당기)</t>
    <phoneticPr fontId="5" type="noConversion"/>
  </si>
  <si>
    <t>% 비중 (누적)</t>
    <phoneticPr fontId="5" type="noConversion"/>
  </si>
  <si>
    <t>주) 보수적 관점에서 별도의 잔여현금은 추가로 반영하지 않음</t>
    <phoneticPr fontId="5" type="noConversion"/>
  </si>
  <si>
    <t>자료: 회사제시</t>
    <phoneticPr fontId="5" type="noConversion"/>
  </si>
  <si>
    <t>보험료</t>
    <phoneticPr fontId="5" type="noConversion"/>
  </si>
  <si>
    <t>수선비</t>
    <phoneticPr fontId="5" type="noConversion"/>
  </si>
  <si>
    <t>개발비용의 1% 수준</t>
    <phoneticPr fontId="5" type="noConversion"/>
  </si>
  <si>
    <t>토지가치</t>
    <phoneticPr fontId="5" type="noConversion"/>
  </si>
  <si>
    <t>내용</t>
    <phoneticPr fontId="11" type="noConversion"/>
  </si>
  <si>
    <t>사업명</t>
    <phoneticPr fontId="11" type="noConversion"/>
  </si>
  <si>
    <t>광양항 항만배후단지 종합물류센터</t>
    <phoneticPr fontId="5" type="noConversion"/>
  </si>
  <si>
    <t>대지위치</t>
    <phoneticPr fontId="11" type="noConversion"/>
  </si>
  <si>
    <t>전라남도 광양시 황길동 1407번지 외 1필지</t>
    <phoneticPr fontId="5" type="noConversion"/>
  </si>
  <si>
    <t>용도지역/지구</t>
    <phoneticPr fontId="11" type="noConversion"/>
  </si>
  <si>
    <t>일반공업지역, 경제자유구역, 신항만건설예정지역</t>
    <phoneticPr fontId="11" type="noConversion"/>
  </si>
  <si>
    <t>대지면적</t>
    <phoneticPr fontId="11" type="noConversion"/>
  </si>
  <si>
    <t>사업면적</t>
    <phoneticPr fontId="11" type="noConversion"/>
  </si>
  <si>
    <t>건축면적</t>
    <phoneticPr fontId="11" type="noConversion"/>
  </si>
  <si>
    <t>용적률 산정 연면적</t>
    <phoneticPr fontId="11" type="noConversion"/>
  </si>
  <si>
    <t>건축연면적</t>
    <phoneticPr fontId="11" type="noConversion"/>
  </si>
  <si>
    <t>지상연면적</t>
    <phoneticPr fontId="11" type="noConversion"/>
  </si>
  <si>
    <t>지하연면적</t>
    <phoneticPr fontId="11" type="noConversion"/>
  </si>
  <si>
    <t>건폐율</t>
    <phoneticPr fontId="11" type="noConversion"/>
  </si>
  <si>
    <t>(법정 70% 이하)</t>
    <phoneticPr fontId="11" type="noConversion"/>
  </si>
  <si>
    <t>용적률</t>
    <phoneticPr fontId="11" type="noConversion"/>
  </si>
  <si>
    <t>(법정 350% 이하)</t>
    <phoneticPr fontId="11" type="noConversion"/>
  </si>
  <si>
    <t>건축규모</t>
    <phoneticPr fontId="11" type="noConversion"/>
  </si>
  <si>
    <t>지상 1~2층</t>
    <phoneticPr fontId="11" type="noConversion"/>
  </si>
  <si>
    <t>주차대수</t>
    <phoneticPr fontId="11" type="noConversion"/>
  </si>
  <si>
    <t>130대</t>
    <phoneticPr fontId="5" type="noConversion"/>
  </si>
  <si>
    <t>착공시점</t>
    <phoneticPr fontId="11" type="noConversion"/>
  </si>
  <si>
    <t>준공시점</t>
    <phoneticPr fontId="11" type="noConversion"/>
  </si>
  <si>
    <t>2024년 1월</t>
    <phoneticPr fontId="11" type="noConversion"/>
  </si>
  <si>
    <t>■ 면적표</t>
    <phoneticPr fontId="11" type="noConversion"/>
  </si>
  <si>
    <t>주요용도</t>
    <phoneticPr fontId="11" type="noConversion"/>
  </si>
  <si>
    <r>
      <t>(m</t>
    </r>
    <r>
      <rPr>
        <vertAlign val="superscript"/>
        <sz val="9"/>
        <color theme="1"/>
        <rFont val="맑은 고딕"/>
        <family val="3"/>
        <charset val="129"/>
        <scheme val="minor"/>
      </rPr>
      <t>2</t>
    </r>
    <r>
      <rPr>
        <sz val="9"/>
        <color theme="1"/>
        <rFont val="맑은 고딕"/>
        <family val="2"/>
        <charset val="129"/>
        <scheme val="minor"/>
      </rPr>
      <t>)</t>
    </r>
    <phoneticPr fontId="11" type="noConversion"/>
  </si>
  <si>
    <t>(평)</t>
    <phoneticPr fontId="11" type="noConversion"/>
  </si>
  <si>
    <t>지상1층</t>
    <phoneticPr fontId="5" type="noConversion"/>
  </si>
  <si>
    <t>지상2층</t>
    <phoneticPr fontId="5" type="noConversion"/>
  </si>
  <si>
    <t>지상</t>
  </si>
  <si>
    <t>주1동</t>
    <phoneticPr fontId="5" type="noConversion"/>
  </si>
  <si>
    <t>일반창고 1,2</t>
    <phoneticPr fontId="5" type="noConversion"/>
  </si>
  <si>
    <t>주2동</t>
    <phoneticPr fontId="5" type="noConversion"/>
  </si>
  <si>
    <t>일반창고 3,4</t>
    <phoneticPr fontId="5" type="noConversion"/>
  </si>
  <si>
    <t>주3동</t>
    <phoneticPr fontId="5" type="noConversion"/>
  </si>
  <si>
    <t>일반창고 5,6</t>
    <phoneticPr fontId="5" type="noConversion"/>
  </si>
  <si>
    <t>주4동</t>
    <phoneticPr fontId="5" type="noConversion"/>
  </si>
  <si>
    <t>주5동</t>
    <phoneticPr fontId="5" type="noConversion"/>
  </si>
  <si>
    <t>자료: 회사제시</t>
    <phoneticPr fontId="11" type="noConversion"/>
  </si>
  <si>
    <t>■ 개발기간 소요자금</t>
    <phoneticPr fontId="5" type="noConversion"/>
  </si>
  <si>
    <t>토지관련비용</t>
  </si>
  <si>
    <t>임차료</t>
  </si>
  <si>
    <t>관리비</t>
  </si>
  <si>
    <t>도급공사비</t>
  </si>
  <si>
    <t>간접공사비</t>
  </si>
  <si>
    <t>감리비</t>
  </si>
  <si>
    <t>게이트설치</t>
  </si>
  <si>
    <t>기타경비</t>
  </si>
  <si>
    <t>전산개발</t>
  </si>
  <si>
    <t>한전불입금</t>
  </si>
  <si>
    <t>취득세 등</t>
  </si>
  <si>
    <t>금융비용</t>
  </si>
  <si>
    <t>태양광설치</t>
  </si>
  <si>
    <t>부가세환급</t>
  </si>
  <si>
    <t>총사업비</t>
    <phoneticPr fontId="5" type="noConversion"/>
  </si>
  <si>
    <t>■ 개발기간 재원조달</t>
    <phoneticPr fontId="5" type="noConversion"/>
  </si>
  <si>
    <t>자기자본</t>
  </si>
  <si>
    <t>본건차입금</t>
  </si>
  <si>
    <t>[국양로지텍㈜ 향후 영업실적]</t>
    <phoneticPr fontId="5" type="noConversion"/>
  </si>
  <si>
    <t>% yoy</t>
    <phoneticPr fontId="5" type="noConversion"/>
  </si>
  <si>
    <t>운송매출</t>
    <phoneticPr fontId="11" type="noConversion"/>
  </si>
  <si>
    <t>포워딩매출</t>
    <phoneticPr fontId="11" type="noConversion"/>
  </si>
  <si>
    <t>창고(하역/보관)</t>
    <phoneticPr fontId="11" type="noConversion"/>
  </si>
  <si>
    <t>유류</t>
    <phoneticPr fontId="11" type="noConversion"/>
  </si>
  <si>
    <t>기타</t>
    <phoneticPr fontId="11" type="noConversion"/>
  </si>
  <si>
    <t>매출원가</t>
  </si>
  <si>
    <t>매출원가율</t>
    <phoneticPr fontId="11" type="noConversion"/>
  </si>
  <si>
    <t>매출총이익</t>
  </si>
  <si>
    <t>판매와일반관리비</t>
  </si>
  <si>
    <t>컨테이너장치장</t>
    <phoneticPr fontId="5" type="noConversion"/>
  </si>
  <si>
    <t>월 5백만원</t>
    <phoneticPr fontId="5" type="noConversion"/>
  </si>
  <si>
    <t>■ 본 건 민감도분석 (1)</t>
    <phoneticPr fontId="11" type="noConversion"/>
  </si>
  <si>
    <t>(단위: 백만원)</t>
    <phoneticPr fontId="11" type="noConversion"/>
  </si>
  <si>
    <t>Value</t>
    <phoneticPr fontId="11" type="noConversion"/>
  </si>
  <si>
    <t>LTV</t>
    <phoneticPr fontId="11" type="noConversion"/>
  </si>
  <si>
    <t>주1) 다른 조건이 동일한 가운데 Cap Rate만 변동시킨 결과</t>
    <phoneticPr fontId="11" type="noConversion"/>
  </si>
  <si>
    <t>■ 본 건 민감도분석 (2)</t>
    <phoneticPr fontId="11" type="noConversion"/>
  </si>
  <si>
    <t>주1) 다른 조건이 동일한 가운데 안정화시점 가동률만 변동시킨 결과</t>
    <phoneticPr fontId="11" type="noConversion"/>
  </si>
  <si>
    <t>안정화</t>
    <phoneticPr fontId="5" type="noConversion"/>
  </si>
  <si>
    <t>작업료: 10,000원/톤, 셔틀료: 매출액의 90%</t>
  </si>
  <si>
    <t>작업료: 10,000원/톤, 셔틀료: 매출액의 90%</t>
    <phoneticPr fontId="5" type="noConversion"/>
  </si>
  <si>
    <t>가동률 가정</t>
    <phoneticPr fontId="5" type="noConversion"/>
  </si>
  <si>
    <t>&gt;가동률 가정 차이 반영</t>
    <phoneticPr fontId="5" type="noConversion"/>
  </si>
  <si>
    <t>공시지가&gt;</t>
    <phoneticPr fontId="5" type="noConversion"/>
  </si>
  <si>
    <t>&gt; 2022년말 현금성자산</t>
    <phoneticPr fontId="5" type="noConversion"/>
  </si>
  <si>
    <t>주) 차주 기존사업은 감가상각비 수준의 재투자를 가정하여 영업이익을 영업현금흐름 대용치로 적용, 2027년부터 전기와 동일한 수준이 유지되는 것으로 가정</t>
    <phoneticPr fontId="5" type="noConversion"/>
  </si>
  <si>
    <t>■ 운영기간 주요가정</t>
    <phoneticPr fontId="5" type="noConversion"/>
  </si>
  <si>
    <t>■ 운영기간 자금수지</t>
    <phoneticPr fontId="5" type="noConversion"/>
  </si>
  <si>
    <t>단가</t>
    <phoneticPr fontId="5" type="noConversion"/>
  </si>
  <si>
    <t>기본안 대비</t>
    <phoneticPr fontId="5" type="noConversion"/>
  </si>
  <si>
    <t>기본안</t>
    <phoneticPr fontId="5" type="noConversion"/>
  </si>
  <si>
    <t>적용안</t>
    <phoneticPr fontId="5" type="noConversion"/>
  </si>
  <si>
    <t>인건비</t>
  </si>
  <si>
    <t>보험료</t>
  </si>
  <si>
    <t>수도광열비</t>
  </si>
  <si>
    <t>전산비</t>
  </si>
  <si>
    <t>지급수수료</t>
  </si>
  <si>
    <t>수선비</t>
  </si>
  <si>
    <t>기타항목</t>
  </si>
  <si>
    <t>[P,Q]</t>
    <phoneticPr fontId="5" type="noConversion"/>
  </si>
  <si>
    <t>[원가]</t>
    <phoneticPr fontId="5" type="noConversion"/>
  </si>
  <si>
    <t>[가동률 등]</t>
    <phoneticPr fontId="5" type="noConversion"/>
  </si>
  <si>
    <t>&gt; 개발기간 기간조정 차이</t>
    <phoneticPr fontId="5" type="noConversion"/>
  </si>
  <si>
    <t>주) 회사는 부분 준공을 통해 조기 운영을 계획하고 있으나, 보수적 관점에서 2024년 6월 개발 완료 및 2024년 7월 운영 개시 적용</t>
    <phoneticPr fontId="5" type="noConversion"/>
  </si>
  <si>
    <t xml:space="preserve">주) 운영1년차는 6개월치(2024년 7~12월), 그외 운영기간은 12개월치 </t>
    <phoneticPr fontId="5" type="noConversion"/>
  </si>
  <si>
    <t>이자지급재원</t>
    <phoneticPr fontId="5" type="noConversion"/>
  </si>
  <si>
    <t>이자지급액</t>
    <phoneticPr fontId="5" type="noConversion"/>
  </si>
  <si>
    <t>DSCR(누적)</t>
    <phoneticPr fontId="5" type="noConversion"/>
  </si>
  <si>
    <t>이자보상배율(누적)</t>
    <phoneticPr fontId="5" type="noConversion"/>
  </si>
  <si>
    <t>15년차</t>
    <phoneticPr fontId="5" type="noConversion"/>
  </si>
  <si>
    <t>2038</t>
    <phoneticPr fontId="5" type="noConversion"/>
  </si>
  <si>
    <t>주) 기존사업에서의 잔여현금은 보수적 관점에서 2022년말 현금성자산이 유지됨을 가정</t>
    <phoneticPr fontId="5" type="noConversion"/>
  </si>
  <si>
    <t>[금융조건]</t>
    <phoneticPr fontId="5" type="noConversion"/>
  </si>
  <si>
    <t>주) 원리금상환재원(1)은 본건 물류센터에서 예상되는 영업현금흐름 및 기초현금을 고려하였으며, 원리금상환재원(2)는 차주 기존사업에서 예상되는 영업현금흐름 및 기초현금을 추가함</t>
    <phoneticPr fontId="5" type="noConversion"/>
  </si>
  <si>
    <t>(01~06)</t>
    <phoneticPr fontId="5" type="noConversion"/>
  </si>
  <si>
    <t>[국양로지텍㈜ 향후 재무제표]</t>
    <phoneticPr fontId="5" type="noConversion"/>
  </si>
  <si>
    <t>BS</t>
    <phoneticPr fontId="5" type="noConversion"/>
  </si>
  <si>
    <t>IS</t>
    <phoneticPr fontId="5" type="noConversion"/>
  </si>
  <si>
    <t>2023(E)</t>
    <phoneticPr fontId="5" type="noConversion"/>
  </si>
  <si>
    <t>2024(E)</t>
    <phoneticPr fontId="5" type="noConversion"/>
  </si>
  <si>
    <t>2025(E)</t>
  </si>
  <si>
    <t>2025(E)</t>
    <phoneticPr fontId="5" type="noConversion"/>
  </si>
  <si>
    <t>2026(E)</t>
  </si>
  <si>
    <t>2026(E)</t>
    <phoneticPr fontId="5" type="noConversion"/>
  </si>
  <si>
    <t>2027(E)</t>
    <phoneticPr fontId="5" type="noConversion"/>
  </si>
  <si>
    <t>판매비와관리비</t>
    <phoneticPr fontId="5" type="noConversion"/>
  </si>
  <si>
    <t>영업외수익</t>
    <phoneticPr fontId="5" type="noConversion"/>
  </si>
  <si>
    <t>법인세비용차감전순이익</t>
    <phoneticPr fontId="5" type="noConversion"/>
  </si>
  <si>
    <t>당기순이익</t>
    <phoneticPr fontId="5" type="noConversion"/>
  </si>
  <si>
    <t>법인세비용</t>
    <phoneticPr fontId="5" type="noConversion"/>
  </si>
  <si>
    <t>기타</t>
    <phoneticPr fontId="5" type="noConversion"/>
  </si>
  <si>
    <t>CF</t>
    <phoneticPr fontId="5" type="noConversion"/>
  </si>
  <si>
    <t>현금유출입이 없는 비용및수익</t>
    <phoneticPr fontId="5" type="noConversion"/>
  </si>
  <si>
    <t>무형자산상각비</t>
    <phoneticPr fontId="5" type="noConversion"/>
  </si>
  <si>
    <t>DEP</t>
    <phoneticPr fontId="5" type="noConversion"/>
  </si>
  <si>
    <t>유동자산</t>
    <phoneticPr fontId="5" type="noConversion"/>
  </si>
  <si>
    <t>현금</t>
    <phoneticPr fontId="5" type="noConversion"/>
  </si>
  <si>
    <t>매출채권</t>
    <phoneticPr fontId="5" type="noConversion"/>
  </si>
  <si>
    <t>재고자산</t>
    <phoneticPr fontId="5" type="noConversion"/>
  </si>
  <si>
    <t>비유동자산</t>
    <phoneticPr fontId="5" type="noConversion"/>
  </si>
  <si>
    <t>투자자산</t>
    <phoneticPr fontId="5" type="noConversion"/>
  </si>
  <si>
    <t>유형자산</t>
    <phoneticPr fontId="5" type="noConversion"/>
  </si>
  <si>
    <t>무형자산</t>
    <phoneticPr fontId="5" type="noConversion"/>
  </si>
  <si>
    <t>자산총계</t>
    <phoneticPr fontId="5" type="noConversion"/>
  </si>
  <si>
    <t>유동부채</t>
    <phoneticPr fontId="5" type="noConversion"/>
  </si>
  <si>
    <t>매입채무</t>
    <phoneticPr fontId="5" type="noConversion"/>
  </si>
  <si>
    <t>기타유동부채</t>
    <phoneticPr fontId="5" type="noConversion"/>
  </si>
  <si>
    <t>비유동부채</t>
    <phoneticPr fontId="5" type="noConversion"/>
  </si>
  <si>
    <t>부채총계</t>
    <phoneticPr fontId="5" type="noConversion"/>
  </si>
  <si>
    <t>자본금</t>
    <phoneticPr fontId="5" type="noConversion"/>
  </si>
  <si>
    <t>장기차입금</t>
    <phoneticPr fontId="5" type="noConversion"/>
  </si>
  <si>
    <t>자본잉여금</t>
    <phoneticPr fontId="5" type="noConversion"/>
  </si>
  <si>
    <t>이익잉여금</t>
    <phoneticPr fontId="5" type="noConversion"/>
  </si>
  <si>
    <t>자본총계</t>
    <phoneticPr fontId="5" type="noConversion"/>
  </si>
  <si>
    <t>(매출액 대비)</t>
    <phoneticPr fontId="5" type="noConversion"/>
  </si>
  <si>
    <t>(유류매출 대비)</t>
    <phoneticPr fontId="5" type="noConversion"/>
  </si>
  <si>
    <t>영업활동 자산부채 변동</t>
    <phoneticPr fontId="5" type="noConversion"/>
  </si>
  <si>
    <t>유무형자산 증감</t>
    <phoneticPr fontId="5" type="noConversion"/>
  </si>
  <si>
    <t>재무활동 현금흐름</t>
    <phoneticPr fontId="5" type="noConversion"/>
  </si>
  <si>
    <t>투자활동 현금흐름</t>
    <phoneticPr fontId="5" type="noConversion"/>
  </si>
  <si>
    <t>영업활동 현금흐름</t>
    <phoneticPr fontId="5" type="noConversion"/>
  </si>
  <si>
    <t>장기차입금 증감</t>
    <phoneticPr fontId="5" type="noConversion"/>
  </si>
  <si>
    <t>유상증자</t>
    <phoneticPr fontId="5" type="noConversion"/>
  </si>
  <si>
    <t>현금의 증감</t>
    <phoneticPr fontId="5" type="noConversion"/>
  </si>
  <si>
    <t>2023(E)</t>
    <phoneticPr fontId="11" type="noConversion"/>
  </si>
  <si>
    <t>2024(E)</t>
    <phoneticPr fontId="11" type="noConversion"/>
  </si>
  <si>
    <t>판관비</t>
    <phoneticPr fontId="11" type="noConversion"/>
  </si>
  <si>
    <t>급여</t>
    <phoneticPr fontId="11" type="noConversion"/>
  </si>
  <si>
    <t>퇴직급여</t>
    <phoneticPr fontId="11" type="noConversion"/>
  </si>
  <si>
    <t>복리후생비</t>
    <phoneticPr fontId="11" type="noConversion"/>
  </si>
  <si>
    <t>여비교통비</t>
    <phoneticPr fontId="11" type="noConversion"/>
  </si>
  <si>
    <t>접대비</t>
    <phoneticPr fontId="11" type="noConversion"/>
  </si>
  <si>
    <t>통신비</t>
    <phoneticPr fontId="11" type="noConversion"/>
  </si>
  <si>
    <t>세금과공과</t>
    <phoneticPr fontId="11" type="noConversion"/>
  </si>
  <si>
    <t>감가상각비</t>
    <phoneticPr fontId="11" type="noConversion"/>
  </si>
  <si>
    <t>임차료</t>
    <phoneticPr fontId="11" type="noConversion"/>
  </si>
  <si>
    <t>차량유지비</t>
    <phoneticPr fontId="11" type="noConversion"/>
  </si>
  <si>
    <t>지급수수료</t>
    <phoneticPr fontId="11" type="noConversion"/>
  </si>
  <si>
    <t>전산비</t>
    <phoneticPr fontId="11" type="noConversion"/>
  </si>
  <si>
    <t>무형자산상각비</t>
    <phoneticPr fontId="11" type="noConversion"/>
  </si>
  <si>
    <t>기타 판관비</t>
    <phoneticPr fontId="11" type="noConversion"/>
  </si>
  <si>
    <t>수선비</t>
    <phoneticPr fontId="11" type="noConversion"/>
  </si>
  <si>
    <t>보험료</t>
    <phoneticPr fontId="11" type="noConversion"/>
  </si>
  <si>
    <t>교육훈련비</t>
    <phoneticPr fontId="11" type="noConversion"/>
  </si>
  <si>
    <t>도서인쇄비</t>
    <phoneticPr fontId="11" type="noConversion"/>
  </si>
  <si>
    <t>광고선전비</t>
    <phoneticPr fontId="11" type="noConversion"/>
  </si>
  <si>
    <t>소모품비</t>
    <phoneticPr fontId="11" type="noConversion"/>
  </si>
  <si>
    <t>운반비</t>
    <phoneticPr fontId="11" type="noConversion"/>
  </si>
  <si>
    <t>잡비</t>
    <phoneticPr fontId="11" type="noConversion"/>
  </si>
  <si>
    <t>대손상각비</t>
    <phoneticPr fontId="11" type="noConversion"/>
  </si>
  <si>
    <t>16년차</t>
    <phoneticPr fontId="5" type="noConversion"/>
  </si>
  <si>
    <t>이자수익</t>
    <phoneticPr fontId="5" type="noConversion"/>
  </si>
  <si>
    <t>원본</t>
    <phoneticPr fontId="5" type="noConversion"/>
  </si>
  <si>
    <t>제1종</t>
    <phoneticPr fontId="5" type="noConversion"/>
  </si>
  <si>
    <t>제2종</t>
    <phoneticPr fontId="5" type="noConversion"/>
  </si>
  <si>
    <t>펀드보수</t>
    <phoneticPr fontId="5" type="noConversion"/>
  </si>
  <si>
    <t>배당</t>
    <phoneticPr fontId="5" type="noConversion"/>
  </si>
  <si>
    <t>설정액</t>
    <phoneticPr fontId="5" type="noConversion"/>
  </si>
  <si>
    <t>대출채권</t>
    <phoneticPr fontId="5" type="noConversion"/>
  </si>
  <si>
    <t>대출</t>
    <phoneticPr fontId="5" type="noConversion"/>
  </si>
  <si>
    <t>결산</t>
    <phoneticPr fontId="5" type="noConversion"/>
  </si>
  <si>
    <t>자기자본유입</t>
    <phoneticPr fontId="5" type="noConversion"/>
  </si>
  <si>
    <t>고정부</t>
    <phoneticPr fontId="5" type="noConversion"/>
  </si>
  <si>
    <t>변동금리</t>
    <phoneticPr fontId="5" type="noConversion"/>
  </si>
  <si>
    <t>IRR</t>
    <phoneticPr fontId="5" type="noConversion"/>
  </si>
  <si>
    <t>Gross기준</t>
    <phoneticPr fontId="5" type="noConversion"/>
  </si>
  <si>
    <t>Net기준</t>
    <phoneticPr fontId="5" type="noConversion"/>
  </si>
  <si>
    <t>&gt; 증자</t>
    <phoneticPr fontId="5" type="noConversion"/>
  </si>
  <si>
    <t>&gt; 물류센터 equity</t>
    <phoneticPr fontId="5" type="noConversion"/>
  </si>
  <si>
    <t>#3</t>
    <phoneticPr fontId="5" type="noConversion"/>
  </si>
  <si>
    <t>TI확인</t>
    <phoneticPr fontId="5" type="noConversion"/>
  </si>
  <si>
    <t>[평균 DSCR(1)]</t>
    <phoneticPr fontId="5" type="noConversion"/>
  </si>
  <si>
    <t>[최소 DSCR(1)]</t>
    <phoneticPr fontId="5" type="noConversion"/>
  </si>
  <si>
    <t>[평균 DSCR(2)]</t>
    <phoneticPr fontId="5" type="noConversion"/>
  </si>
  <si>
    <t>[최소 DSCR(2)]</t>
    <phoneticPr fontId="5" type="noConversion"/>
  </si>
  <si>
    <t>운영수익</t>
    <phoneticPr fontId="5" type="noConversion"/>
  </si>
  <si>
    <t>취급량, 단가 2.5%씩 감소 시 DSCR matrix</t>
    <phoneticPr fontId="5" type="noConversion"/>
  </si>
  <si>
    <t>취급량, 가동률 2.5%씩 감소 시 DSCR matrix</t>
    <phoneticPr fontId="5" type="noConversion"/>
  </si>
  <si>
    <t>단가, 가동률 2.5%씩 감소 시 DSCR matrix</t>
    <phoneticPr fontId="5" type="noConversion"/>
  </si>
  <si>
    <t>(행: 취급량, 열: 단가)</t>
    <phoneticPr fontId="5" type="noConversion"/>
  </si>
  <si>
    <t>(행: 취급량, 열: 가동률)</t>
    <phoneticPr fontId="5" type="noConversion"/>
  </si>
  <si>
    <t>(행: 단가, 열: 가동률)</t>
    <phoneticPr fontId="5" type="noConversion"/>
  </si>
  <si>
    <t>(행: 수익, 열: 비용)</t>
    <phoneticPr fontId="5" type="noConversion"/>
  </si>
  <si>
    <t>[Assumption]</t>
    <phoneticPr fontId="5" type="noConversion"/>
  </si>
  <si>
    <t>일정</t>
    <phoneticPr fontId="5" type="noConversion"/>
  </si>
  <si>
    <t>발생이자 계산 기준</t>
    <phoneticPr fontId="5" type="noConversion"/>
  </si>
  <si>
    <t>월말</t>
    <phoneticPr fontId="5" type="noConversion"/>
  </si>
  <si>
    <t>원금상환스케쥴</t>
    <phoneticPr fontId="5" type="noConversion"/>
  </si>
  <si>
    <t>상환비율</t>
    <phoneticPr fontId="5" type="noConversion"/>
  </si>
  <si>
    <t>일자</t>
    <phoneticPr fontId="5" type="noConversion"/>
  </si>
  <si>
    <t>대출잔액</t>
    <phoneticPr fontId="5" type="noConversion"/>
  </si>
  <si>
    <t>대출원본</t>
    <phoneticPr fontId="5" type="noConversion"/>
  </si>
  <si>
    <t>조건</t>
    <phoneticPr fontId="5" type="noConversion"/>
  </si>
  <si>
    <t>원금균등분할상환</t>
    <phoneticPr fontId="5" type="noConversion"/>
  </si>
  <si>
    <t>인출스케쥴</t>
    <phoneticPr fontId="5" type="noConversion"/>
  </si>
  <si>
    <t>펀드보수(발생)</t>
    <phoneticPr fontId="5" type="noConversion"/>
  </si>
  <si>
    <t>NAV</t>
    <phoneticPr fontId="5" type="noConversion"/>
  </si>
  <si>
    <t>펀드 Equity</t>
    <phoneticPr fontId="5" type="noConversion"/>
  </si>
  <si>
    <t>펀드보수(all-in)</t>
    <phoneticPr fontId="5" type="noConversion"/>
  </si>
  <si>
    <t>대출조건</t>
    <phoneticPr fontId="5" type="noConversion"/>
  </si>
  <si>
    <t>펀드 개요</t>
    <phoneticPr fontId="5" type="noConversion"/>
  </si>
  <si>
    <t>최초 사업계획</t>
    <phoneticPr fontId="5" type="noConversion"/>
  </si>
  <si>
    <t>대출 현금흐름</t>
    <phoneticPr fontId="5" type="noConversion"/>
  </si>
  <si>
    <t>펀드 현금흐름</t>
    <phoneticPr fontId="5" type="noConversion"/>
  </si>
  <si>
    <t>■ 펀드 현금흐름(연도별)</t>
    <phoneticPr fontId="5" type="noConversion"/>
  </si>
  <si>
    <t>[민감도 변수]</t>
    <phoneticPr fontId="5" type="noConversion"/>
  </si>
  <si>
    <t>#4-1</t>
    <phoneticPr fontId="5" type="noConversion"/>
  </si>
  <si>
    <t>#4-2</t>
    <phoneticPr fontId="5" type="noConversion"/>
  </si>
  <si>
    <t>#4-3</t>
    <phoneticPr fontId="5" type="noConversion"/>
  </si>
  <si>
    <t>누적 DSCR (1)</t>
    <phoneticPr fontId="5" type="noConversion"/>
  </si>
  <si>
    <t>누적 DSCR (2)</t>
    <phoneticPr fontId="5" type="noConversion"/>
  </si>
  <si>
    <t>당기 DSCR (1)</t>
    <phoneticPr fontId="5" type="noConversion"/>
  </si>
  <si>
    <t>당기 DSCR (2)</t>
    <phoneticPr fontId="5" type="noConversion"/>
  </si>
  <si>
    <t>민감도분석</t>
    <phoneticPr fontId="5" type="noConversion"/>
  </si>
  <si>
    <t>&lt;당기 DSCR&gt;</t>
    <phoneticPr fontId="5" type="noConversion"/>
  </si>
  <si>
    <t>&lt;누적 DSCR&gt;</t>
    <phoneticPr fontId="5" type="noConversion"/>
  </si>
  <si>
    <t>운영수익 2.5%씩 감소, 운영비용 2.5%씩 증가 시 DSCR matrix</t>
    <phoneticPr fontId="5" type="noConversion"/>
  </si>
  <si>
    <t>all-in</t>
    <phoneticPr fontId="5" type="noConversion"/>
  </si>
  <si>
    <t>1. 물류창고 Only</t>
    <phoneticPr fontId="5" type="noConversion"/>
  </si>
  <si>
    <t>2. 물류창고 + 기존사업</t>
    <phoneticPr fontId="5" type="noConversion"/>
  </si>
  <si>
    <t xml:space="preserve">[1] 가동률 - 최소 DSCR(1) </t>
    <phoneticPr fontId="5" type="noConversion"/>
  </si>
  <si>
    <t xml:space="preserve">[1] 가동률 - 최소 DSCR(2) </t>
    <phoneticPr fontId="5" type="noConversion"/>
  </si>
  <si>
    <t>누적 DSCR(1)</t>
    <phoneticPr fontId="5" type="noConversion"/>
  </si>
  <si>
    <t>누적 DSCR(2)</t>
    <phoneticPr fontId="5" type="noConversion"/>
  </si>
  <si>
    <t xml:space="preserve">당기 DSCR(1) </t>
    <phoneticPr fontId="5" type="noConversion"/>
  </si>
  <si>
    <t xml:space="preserve">당기 DSCR(2) </t>
    <phoneticPr fontId="5" type="noConversion"/>
  </si>
  <si>
    <t xml:space="preserve">[2] 운영 수익 - 최소 DSCR(1) </t>
    <phoneticPr fontId="5" type="noConversion"/>
  </si>
  <si>
    <t xml:space="preserve">[2] 운영 수익 - 최소 DSCR(2) </t>
    <phoneticPr fontId="5" type="noConversion"/>
  </si>
  <si>
    <t xml:space="preserve">[3] 운영비용 - 최소 DSCR(1) </t>
    <phoneticPr fontId="5" type="noConversion"/>
  </si>
  <si>
    <t xml:space="preserve">[3] 운영비용 - 최소 DSCR(2) </t>
    <phoneticPr fontId="5" type="noConversion"/>
  </si>
  <si>
    <t xml:space="preserve">[4] 취급량 - 최소 DSCR(1) </t>
    <phoneticPr fontId="5" type="noConversion"/>
  </si>
  <si>
    <t xml:space="preserve">[4] 취급량 - 최소 DSCR(2) </t>
    <phoneticPr fontId="5" type="noConversion"/>
  </si>
  <si>
    <t xml:space="preserve">[5] 단가 - 최소 DSCR(1) </t>
    <phoneticPr fontId="5" type="noConversion"/>
  </si>
  <si>
    <t xml:space="preserve">[5] 단가 - 최소 DSCR(2) </t>
    <phoneticPr fontId="5" type="noConversion"/>
  </si>
  <si>
    <t>#1</t>
    <phoneticPr fontId="5" type="noConversion"/>
  </si>
  <si>
    <t>가동률, 운영수익, 운영비용, 취급량, 단가</t>
    <phoneticPr fontId="5" type="noConversion"/>
  </si>
  <si>
    <t>상환원금</t>
    <phoneticPr fontId="5" type="noConversion"/>
  </si>
  <si>
    <t>이자</t>
    <phoneticPr fontId="5" type="noConversion"/>
  </si>
  <si>
    <t>원리금</t>
    <phoneticPr fontId="5" type="noConversion"/>
  </si>
  <si>
    <t>계</t>
    <phoneticPr fontId="5" type="noConversion"/>
  </si>
  <si>
    <t>고정부</t>
  </si>
  <si>
    <t>원금상환회차</t>
    <phoneticPr fontId="5" type="noConversion"/>
  </si>
  <si>
    <t>2023.10</t>
    <phoneticPr fontId="5" type="noConversion"/>
  </si>
  <si>
    <t>인허가</t>
    <phoneticPr fontId="5" type="noConversion"/>
  </si>
  <si>
    <t>토목 지정공사</t>
    <phoneticPr fontId="5" type="noConversion"/>
  </si>
  <si>
    <t>철근콘크리트 공사</t>
    <phoneticPr fontId="5" type="noConversion"/>
  </si>
  <si>
    <t>철골공사</t>
    <phoneticPr fontId="5" type="noConversion"/>
  </si>
  <si>
    <t>도장공사</t>
    <phoneticPr fontId="5" type="noConversion"/>
  </si>
  <si>
    <t>판넬공사</t>
    <phoneticPr fontId="5" type="noConversion"/>
  </si>
  <si>
    <t>바닥공사</t>
    <phoneticPr fontId="5" type="noConversion"/>
  </si>
  <si>
    <t>토목 배관 공사</t>
    <phoneticPr fontId="5" type="noConversion"/>
  </si>
  <si>
    <t>포장공사</t>
    <phoneticPr fontId="5" type="noConversion"/>
  </si>
  <si>
    <t>소방, 준공검사</t>
    <phoneticPr fontId="5" type="noConversion"/>
  </si>
  <si>
    <t>시작일자</t>
    <phoneticPr fontId="5" type="noConversion"/>
  </si>
  <si>
    <t>종료일자</t>
    <phoneticPr fontId="5" type="noConversion"/>
  </si>
  <si>
    <t>전기 지중 공사</t>
    <phoneticPr fontId="5" type="noConversion"/>
  </si>
  <si>
    <t>전기 배관 공사</t>
    <phoneticPr fontId="5" type="noConversion"/>
  </si>
  <si>
    <t>소방 지중 공사</t>
    <phoneticPr fontId="5" type="noConversion"/>
  </si>
  <si>
    <t>소방 공사</t>
    <phoneticPr fontId="5" type="noConversion"/>
  </si>
  <si>
    <t>냉동,냉장창고</t>
    <phoneticPr fontId="5" type="noConversion"/>
  </si>
  <si>
    <t>위험물저장소1동</t>
    <phoneticPr fontId="5" type="noConversion"/>
  </si>
  <si>
    <t>주6동</t>
    <phoneticPr fontId="5" type="noConversion"/>
  </si>
  <si>
    <t>위험물저장소2동</t>
    <phoneticPr fontId="5" type="noConversion"/>
  </si>
  <si>
    <t>주7동</t>
    <phoneticPr fontId="5" type="noConversion"/>
  </si>
  <si>
    <t>위험물저장소3동</t>
    <phoneticPr fontId="5" type="noConversion"/>
  </si>
  <si>
    <t>주8동</t>
    <phoneticPr fontId="5" type="noConversion"/>
  </si>
  <si>
    <t>사무동,복지동</t>
    <phoneticPr fontId="5" type="noConversion"/>
  </si>
  <si>
    <t>&gt; 1차 건축허가분</t>
    <phoneticPr fontId="5" type="noConversion"/>
  </si>
  <si>
    <t>2023년 6월</t>
    <phoneticPr fontId="11" type="noConversion"/>
  </si>
  <si>
    <t>연면적</t>
    <phoneticPr fontId="5" type="noConversion"/>
  </si>
  <si>
    <t>건축면적</t>
    <phoneticPr fontId="5" type="noConversion"/>
  </si>
  <si>
    <t>주4동</t>
  </si>
  <si>
    <t>기계실</t>
    <phoneticPr fontId="5" type="noConversion"/>
  </si>
  <si>
    <t>&gt; 바로 건축사사무소</t>
    <phoneticPr fontId="5" type="noConversion"/>
  </si>
  <si>
    <t>&gt; 냉동,냉장창고 내부 기계실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</si>
</sst>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6" formatCode="&quot;₩&quot;#,##0;[Red]\-&quot;₩&quot;#,##0"/>
    <numFmt numFmtId="41" formatCode="_-* #,##0_-;\-* #,##0_-;_-* &quot;-&quot;_-;_-@_-"/>
    <numFmt numFmtId="44" formatCode="_-&quot;₩&quot;* #,##0.00_-;\-&quot;₩&quot;* #,##0.00_-;_-&quot;₩&quot;* &quot;-&quot;??_-;_-@_-"/>
    <numFmt numFmtId="176" formatCode="#,##0_);[Red]\(#,##0\)"/>
    <numFmt numFmtId="177" formatCode="mm&quot;월&quot;\ dd&quot;일&quot;"/>
    <numFmt numFmtId="178" formatCode="#,##0_ "/>
    <numFmt numFmtId="179" formatCode="#,##0.0_ "/>
    <numFmt numFmtId="180" formatCode="#,##0.00_ "/>
    <numFmt numFmtId="181" formatCode="0.0%"/>
    <numFmt numFmtId="182" formatCode="##&quot;컨&quot;"/>
    <numFmt numFmtId="183" formatCode="#,##0_ ;[Red]\-#,##0\ "/>
    <numFmt numFmtId="184" formatCode="#,##0.000_ "/>
    <numFmt numFmtId="185" formatCode="#,##0&quot;㎡&quot;"/>
    <numFmt numFmtId="186" formatCode="&quot;(&quot;#,##0&quot;평)&quot;"/>
    <numFmt numFmtId="187" formatCode="_-* #,##0.00_-;\-* #,##0.00_-;_-* &quot;-&quot;_-;_-@_-"/>
    <numFmt numFmtId="188" formatCode="&quot;Cap Rate&quot;\ 0.0%"/>
    <numFmt numFmtId="189" formatCode="&quot;가동률&quot;\ 0.0%"/>
    <numFmt numFmtId="190" formatCode="#,##0\ [$€-1];[Red]\-#,##0\ [$€-1]"/>
    <numFmt numFmtId="191" formatCode="0.0000%"/>
    <numFmt numFmtId="192" formatCode="#&quot;월&quot;"/>
    <numFmt numFmtId="193" formatCode="d"/>
  </numFmts>
  <fonts count="50" x14ac:knownFonts="1">
    <font>
      <sz val="9"/>
      <color theme="1"/>
      <name val="맑은 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2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</font>
    <font>
      <sz val="13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</font>
    <font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vertAlign val="superscript"/>
      <sz val="9"/>
      <color theme="1"/>
      <name val="맑은 고딕"/>
      <family val="3"/>
      <charset val="129"/>
    </font>
    <font>
      <i/>
      <sz val="9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vertAlign val="superscript"/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i/>
      <sz val="9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color theme="1"/>
      <name val="맑은 고딕"/>
      <family val="3"/>
      <charset val="129"/>
      <scheme val="major"/>
    </font>
    <font>
      <b/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9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46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62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2">
      <alignment vertical="center"/>
    </xf>
    <xf numFmtId="41" fontId="0" fillId="0" borderId="0" xfId="3" applyFont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41" fontId="0" fillId="0" borderId="1" xfId="3" applyFont="1" applyBorder="1" applyAlignment="1">
      <alignment horizontal="center" vertical="center"/>
    </xf>
    <xf numFmtId="0" fontId="8" fillId="0" borderId="1" xfId="2" applyBorder="1">
      <alignment vertical="center"/>
    </xf>
    <xf numFmtId="176" fontId="0" fillId="0" borderId="1" xfId="3" applyNumberFormat="1" applyFont="1" applyBorder="1">
      <alignment vertical="center"/>
    </xf>
    <xf numFmtId="41" fontId="0" fillId="0" borderId="1" xfId="3" applyFont="1" applyBorder="1">
      <alignment vertical="center"/>
    </xf>
    <xf numFmtId="0" fontId="8" fillId="2" borderId="1" xfId="2" applyFill="1" applyBorder="1" applyAlignment="1">
      <alignment horizontal="center" vertical="center"/>
    </xf>
    <xf numFmtId="177" fontId="8" fillId="0" borderId="1" xfId="2" applyNumberFormat="1" applyBorder="1" applyAlignment="1">
      <alignment horizontal="center" vertical="center"/>
    </xf>
    <xf numFmtId="177" fontId="8" fillId="2" borderId="1" xfId="2" applyNumberFormat="1" applyFill="1" applyBorder="1" applyAlignment="1">
      <alignment horizontal="center" vertical="center"/>
    </xf>
    <xf numFmtId="177" fontId="13" fillId="2" borderId="1" xfId="2" applyNumberFormat="1" applyFont="1" applyFill="1" applyBorder="1">
      <alignment vertical="center"/>
    </xf>
    <xf numFmtId="176" fontId="0" fillId="2" borderId="1" xfId="3" applyNumberFormat="1" applyFont="1" applyFill="1" applyBorder="1">
      <alignment vertical="center"/>
    </xf>
    <xf numFmtId="177" fontId="8" fillId="2" borderId="1" xfId="2" applyNumberFormat="1" applyFill="1" applyBorder="1">
      <alignment vertical="center"/>
    </xf>
    <xf numFmtId="177" fontId="14" fillId="3" borderId="1" xfId="2" applyNumberFormat="1" applyFont="1" applyFill="1" applyBorder="1" applyAlignment="1">
      <alignment horizontal="center" vertical="center"/>
    </xf>
    <xf numFmtId="177" fontId="8" fillId="3" borderId="1" xfId="2" applyNumberFormat="1" applyFill="1" applyBorder="1">
      <alignment vertical="center"/>
    </xf>
    <xf numFmtId="176" fontId="0" fillId="3" borderId="1" xfId="3" applyNumberFormat="1" applyFont="1" applyFill="1" applyBorder="1">
      <alignment vertical="center"/>
    </xf>
    <xf numFmtId="41" fontId="0" fillId="3" borderId="1" xfId="3" applyFont="1" applyFill="1" applyBorder="1">
      <alignment vertical="center"/>
    </xf>
    <xf numFmtId="0" fontId="8" fillId="3" borderId="1" xfId="2" applyFill="1" applyBorder="1" applyAlignment="1">
      <alignment horizontal="center" vertical="center"/>
    </xf>
    <xf numFmtId="0" fontId="8" fillId="3" borderId="0" xfId="2" quotePrefix="1" applyFill="1">
      <alignment vertical="center"/>
    </xf>
    <xf numFmtId="177" fontId="15" fillId="2" borderId="1" xfId="2" applyNumberFormat="1" applyFont="1" applyFill="1" applyBorder="1" applyAlignment="1">
      <alignment horizontal="center" vertical="center"/>
    </xf>
    <xf numFmtId="177" fontId="8" fillId="4" borderId="1" xfId="2" applyNumberFormat="1" applyFill="1" applyBorder="1">
      <alignment vertical="center"/>
    </xf>
    <xf numFmtId="176" fontId="0" fillId="4" borderId="1" xfId="3" applyNumberFormat="1" applyFont="1" applyFill="1" applyBorder="1">
      <alignment vertical="center"/>
    </xf>
    <xf numFmtId="177" fontId="15" fillId="5" borderId="1" xfId="2" applyNumberFormat="1" applyFont="1" applyFill="1" applyBorder="1" applyAlignment="1">
      <alignment horizontal="center" vertical="center"/>
    </xf>
    <xf numFmtId="177" fontId="15" fillId="5" borderId="1" xfId="2" applyNumberFormat="1" applyFont="1" applyFill="1" applyBorder="1">
      <alignment vertical="center"/>
    </xf>
    <xf numFmtId="176" fontId="0" fillId="5" borderId="1" xfId="3" applyNumberFormat="1" applyFont="1" applyFill="1" applyBorder="1">
      <alignment vertical="center"/>
    </xf>
    <xf numFmtId="0" fontId="8" fillId="2" borderId="1" xfId="2" applyFill="1" applyBorder="1">
      <alignment vertical="center"/>
    </xf>
    <xf numFmtId="177" fontId="8" fillId="5" borderId="1" xfId="2" applyNumberFormat="1" applyFill="1" applyBorder="1">
      <alignment vertical="center"/>
    </xf>
    <xf numFmtId="177" fontId="15" fillId="6" borderId="1" xfId="2" applyNumberFormat="1" applyFont="1" applyFill="1" applyBorder="1" applyAlignment="1">
      <alignment horizontal="center" vertical="center"/>
    </xf>
    <xf numFmtId="177" fontId="8" fillId="6" borderId="1" xfId="2" applyNumberFormat="1" applyFill="1" applyBorder="1">
      <alignment vertical="center"/>
    </xf>
    <xf numFmtId="176" fontId="0" fillId="6" borderId="1" xfId="3" applyNumberFormat="1" applyFont="1" applyFill="1" applyBorder="1">
      <alignment vertical="center"/>
    </xf>
    <xf numFmtId="41" fontId="0" fillId="6" borderId="1" xfId="3" applyFont="1" applyFill="1" applyBorder="1">
      <alignment vertical="center"/>
    </xf>
    <xf numFmtId="0" fontId="8" fillId="6" borderId="1" xfId="2" applyFill="1" applyBorder="1" applyAlignment="1">
      <alignment horizontal="center" vertical="center"/>
    </xf>
    <xf numFmtId="0" fontId="8" fillId="6" borderId="0" xfId="2" quotePrefix="1" applyFill="1">
      <alignment vertical="center"/>
    </xf>
    <xf numFmtId="0" fontId="8" fillId="6" borderId="0" xfId="2" applyFill="1">
      <alignment vertical="center"/>
    </xf>
    <xf numFmtId="0" fontId="8" fillId="5" borderId="0" xfId="2" applyFill="1">
      <alignment vertical="center"/>
    </xf>
    <xf numFmtId="177" fontId="14" fillId="0" borderId="0" xfId="2" applyNumberFormat="1" applyFont="1">
      <alignment vertical="center"/>
    </xf>
    <xf numFmtId="0" fontId="14" fillId="0" borderId="0" xfId="2" applyFont="1">
      <alignment vertical="center"/>
    </xf>
    <xf numFmtId="41" fontId="16" fillId="0" borderId="0" xfId="3" applyFont="1">
      <alignment vertical="center"/>
    </xf>
    <xf numFmtId="0" fontId="8" fillId="2" borderId="0" xfId="2" applyFill="1" applyAlignment="1">
      <alignment horizontal="center" vertical="center"/>
    </xf>
    <xf numFmtId="41" fontId="0" fillId="2" borderId="0" xfId="3" applyFont="1" applyFill="1">
      <alignment vertical="center"/>
    </xf>
    <xf numFmtId="178" fontId="8" fillId="0" borderId="0" xfId="2" applyNumberFormat="1">
      <alignment vertical="center"/>
    </xf>
    <xf numFmtId="0" fontId="8" fillId="0" borderId="0" xfId="2" applyAlignment="1">
      <alignment horizontal="left" vertical="center" indent="1"/>
    </xf>
    <xf numFmtId="0" fontId="8" fillId="0" borderId="0" xfId="2" quotePrefix="1">
      <alignment vertical="center"/>
    </xf>
    <xf numFmtId="0" fontId="8" fillId="0" borderId="0" xfId="2" applyAlignment="1">
      <alignment horizontal="left" vertical="center"/>
    </xf>
    <xf numFmtId="41" fontId="14" fillId="0" borderId="0" xfId="2" applyNumberFormat="1" applyFont="1">
      <alignment vertical="center"/>
    </xf>
    <xf numFmtId="179" fontId="8" fillId="0" borderId="0" xfId="2" applyNumberFormat="1">
      <alignment vertical="center"/>
    </xf>
    <xf numFmtId="180" fontId="8" fillId="0" borderId="0" xfId="2" applyNumberFormat="1">
      <alignment vertical="center"/>
    </xf>
    <xf numFmtId="0" fontId="17" fillId="0" borderId="0" xfId="2" applyFont="1">
      <alignment vertical="center"/>
    </xf>
    <xf numFmtId="0" fontId="17" fillId="0" borderId="0" xfId="2" applyFont="1" applyAlignment="1">
      <alignment horizontal="left" vertical="center"/>
    </xf>
    <xf numFmtId="178" fontId="6" fillId="0" borderId="0" xfId="0" applyNumberFormat="1" applyFont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>
      <alignment vertical="center"/>
    </xf>
    <xf numFmtId="181" fontId="0" fillId="9" borderId="4" xfId="1" applyNumberFormat="1" applyFont="1" applyFill="1" applyBorder="1">
      <alignment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18" fillId="7" borderId="1" xfId="2" quotePrefix="1" applyFont="1" applyFill="1" applyBorder="1" applyAlignment="1">
      <alignment horizontal="center" vertical="center"/>
    </xf>
    <xf numFmtId="0" fontId="18" fillId="7" borderId="4" xfId="2" quotePrefix="1" applyFont="1" applyFill="1" applyBorder="1" applyAlignment="1">
      <alignment horizontal="center" vertical="center"/>
    </xf>
    <xf numFmtId="0" fontId="17" fillId="7" borderId="1" xfId="2" applyFont="1" applyFill="1" applyBorder="1" applyAlignment="1">
      <alignment horizontal="center" vertical="center"/>
    </xf>
    <xf numFmtId="0" fontId="17" fillId="7" borderId="4" xfId="2" applyFont="1" applyFill="1" applyBorder="1" applyAlignment="1">
      <alignment horizontal="center" vertical="center"/>
    </xf>
    <xf numFmtId="0" fontId="6" fillId="8" borderId="3" xfId="0" applyFont="1" applyFill="1" applyBorder="1">
      <alignment vertical="center"/>
    </xf>
    <xf numFmtId="178" fontId="6" fillId="8" borderId="1" xfId="0" applyNumberFormat="1" applyFont="1" applyFill="1" applyBorder="1">
      <alignment vertical="center"/>
    </xf>
    <xf numFmtId="178" fontId="6" fillId="8" borderId="4" xfId="0" applyNumberFormat="1" applyFont="1" applyFill="1" applyBorder="1">
      <alignment vertical="center"/>
    </xf>
    <xf numFmtId="0" fontId="6" fillId="7" borderId="3" xfId="0" applyFont="1" applyFill="1" applyBorder="1">
      <alignment vertical="center"/>
    </xf>
    <xf numFmtId="178" fontId="6" fillId="0" borderId="1" xfId="0" applyNumberFormat="1" applyFont="1" applyBorder="1">
      <alignment vertical="center"/>
    </xf>
    <xf numFmtId="178" fontId="6" fillId="5" borderId="1" xfId="0" applyNumberFormat="1" applyFont="1" applyFill="1" applyBorder="1">
      <alignment vertical="center"/>
    </xf>
    <xf numFmtId="178" fontId="6" fillId="5" borderId="4" xfId="0" applyNumberFormat="1" applyFont="1" applyFill="1" applyBorder="1">
      <alignment vertical="center"/>
    </xf>
    <xf numFmtId="0" fontId="17" fillId="7" borderId="3" xfId="2" applyFont="1" applyFill="1" applyBorder="1">
      <alignment vertical="center"/>
    </xf>
    <xf numFmtId="178" fontId="6" fillId="0" borderId="4" xfId="0" applyNumberFormat="1" applyFont="1" applyBorder="1">
      <alignment vertical="center"/>
    </xf>
    <xf numFmtId="0" fontId="17" fillId="7" borderId="3" xfId="2" applyFont="1" applyFill="1" applyBorder="1" applyAlignment="1">
      <alignment horizontal="left" vertical="center"/>
    </xf>
    <xf numFmtId="178" fontId="6" fillId="9" borderId="1" xfId="0" applyNumberFormat="1" applyFont="1" applyFill="1" applyBorder="1">
      <alignment vertical="center"/>
    </xf>
    <xf numFmtId="0" fontId="17" fillId="7" borderId="5" xfId="2" applyFont="1" applyFill="1" applyBorder="1">
      <alignment vertical="center"/>
    </xf>
    <xf numFmtId="178" fontId="6" fillId="0" borderId="6" xfId="0" applyNumberFormat="1" applyFont="1" applyBorder="1">
      <alignment vertical="center"/>
    </xf>
    <xf numFmtId="178" fontId="6" fillId="0" borderId="7" xfId="0" applyNumberFormat="1" applyFont="1" applyBorder="1">
      <alignment vertical="center"/>
    </xf>
    <xf numFmtId="0" fontId="17" fillId="7" borderId="8" xfId="2" applyFont="1" applyFill="1" applyBorder="1" applyAlignment="1">
      <alignment horizontal="left" vertical="center" indent="1"/>
    </xf>
    <xf numFmtId="178" fontId="6" fillId="0" borderId="9" xfId="0" applyNumberFormat="1" applyFont="1" applyBorder="1">
      <alignment vertical="center"/>
    </xf>
    <xf numFmtId="178" fontId="6" fillId="5" borderId="9" xfId="0" applyNumberFormat="1" applyFont="1" applyFill="1" applyBorder="1">
      <alignment vertical="center"/>
    </xf>
    <xf numFmtId="178" fontId="6" fillId="5" borderId="10" xfId="0" applyNumberFormat="1" applyFont="1" applyFill="1" applyBorder="1">
      <alignment vertical="center"/>
    </xf>
    <xf numFmtId="0" fontId="17" fillId="7" borderId="11" xfId="2" applyFont="1" applyFill="1" applyBorder="1" applyAlignment="1">
      <alignment horizontal="left" vertical="center" indent="1"/>
    </xf>
    <xf numFmtId="178" fontId="6" fillId="0" borderId="12" xfId="0" applyNumberFormat="1" applyFont="1" applyBorder="1">
      <alignment vertical="center"/>
    </xf>
    <xf numFmtId="178" fontId="6" fillId="5" borderId="12" xfId="0" applyNumberFormat="1" applyFont="1" applyFill="1" applyBorder="1">
      <alignment vertical="center"/>
    </xf>
    <xf numFmtId="178" fontId="6" fillId="5" borderId="13" xfId="0" applyNumberFormat="1" applyFont="1" applyFill="1" applyBorder="1">
      <alignment vertical="center"/>
    </xf>
    <xf numFmtId="0" fontId="17" fillId="7" borderId="14" xfId="2" applyFont="1" applyFill="1" applyBorder="1" applyAlignment="1">
      <alignment horizontal="left" vertical="center" indent="1"/>
    </xf>
    <xf numFmtId="178" fontId="6" fillId="0" borderId="15" xfId="0" applyNumberFormat="1" applyFont="1" applyBorder="1">
      <alignment vertical="center"/>
    </xf>
    <xf numFmtId="178" fontId="6" fillId="5" borderId="15" xfId="0" applyNumberFormat="1" applyFont="1" applyFill="1" applyBorder="1">
      <alignment vertical="center"/>
    </xf>
    <xf numFmtId="178" fontId="6" fillId="5" borderId="16" xfId="0" applyNumberFormat="1" applyFont="1" applyFill="1" applyBorder="1">
      <alignment vertical="center"/>
    </xf>
    <xf numFmtId="0" fontId="7" fillId="7" borderId="3" xfId="0" applyFont="1" applyFill="1" applyBorder="1">
      <alignment vertical="center"/>
    </xf>
    <xf numFmtId="178" fontId="7" fillId="0" borderId="1" xfId="0" applyNumberFormat="1" applyFont="1" applyBorder="1">
      <alignment vertical="center"/>
    </xf>
    <xf numFmtId="178" fontId="7" fillId="0" borderId="4" xfId="0" applyNumberFormat="1" applyFont="1" applyBorder="1">
      <alignment vertical="center"/>
    </xf>
    <xf numFmtId="0" fontId="6" fillId="8" borderId="1" xfId="0" applyFont="1" applyFill="1" applyBorder="1">
      <alignment vertical="center"/>
    </xf>
    <xf numFmtId="0" fontId="6" fillId="7" borderId="5" xfId="0" applyFont="1" applyFill="1" applyBorder="1">
      <alignment vertical="center"/>
    </xf>
    <xf numFmtId="178" fontId="6" fillId="9" borderId="6" xfId="0" applyNumberFormat="1" applyFont="1" applyFill="1" applyBorder="1">
      <alignment vertical="center"/>
    </xf>
    <xf numFmtId="0" fontId="6" fillId="7" borderId="8" xfId="0" applyFont="1" applyFill="1" applyBorder="1">
      <alignment vertical="center"/>
    </xf>
    <xf numFmtId="178" fontId="6" fillId="0" borderId="10" xfId="0" applyNumberFormat="1" applyFont="1" applyBorder="1">
      <alignment vertical="center"/>
    </xf>
    <xf numFmtId="0" fontId="6" fillId="7" borderId="14" xfId="0" applyFont="1" applyFill="1" applyBorder="1">
      <alignment vertical="center"/>
    </xf>
    <xf numFmtId="178" fontId="6" fillId="0" borderId="16" xfId="0" applyNumberFormat="1" applyFont="1" applyBorder="1">
      <alignment vertical="center"/>
    </xf>
    <xf numFmtId="0" fontId="6" fillId="7" borderId="11" xfId="0" applyFont="1" applyFill="1" applyBorder="1" applyAlignment="1">
      <alignment horizontal="left" vertical="center" indent="1"/>
    </xf>
    <xf numFmtId="178" fontId="6" fillId="0" borderId="13" xfId="0" applyNumberFormat="1" applyFont="1" applyBorder="1">
      <alignment vertical="center"/>
    </xf>
    <xf numFmtId="0" fontId="6" fillId="7" borderId="14" xfId="0" applyFont="1" applyFill="1" applyBorder="1" applyAlignment="1">
      <alignment horizontal="left" vertical="center" indent="1"/>
    </xf>
    <xf numFmtId="0" fontId="6" fillId="7" borderId="14" xfId="0" applyFont="1" applyFill="1" applyBorder="1" applyAlignment="1">
      <alignment horizontal="left" vertical="center" indent="2"/>
    </xf>
    <xf numFmtId="0" fontId="6" fillId="7" borderId="8" xfId="0" applyFont="1" applyFill="1" applyBorder="1" applyAlignment="1">
      <alignment horizontal="left" vertical="center" indent="2"/>
    </xf>
    <xf numFmtId="0" fontId="6" fillId="7" borderId="6" xfId="0" applyFont="1" applyFill="1" applyBorder="1" applyAlignment="1">
      <alignment horizontal="center" vertical="center"/>
    </xf>
    <xf numFmtId="0" fontId="6" fillId="7" borderId="6" xfId="0" quotePrefix="1" applyFont="1" applyFill="1" applyBorder="1" applyAlignment="1">
      <alignment horizontal="center" vertical="center"/>
    </xf>
    <xf numFmtId="0" fontId="6" fillId="7" borderId="7" xfId="0" quotePrefix="1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178" fontId="6" fillId="0" borderId="19" xfId="0" applyNumberFormat="1" applyFont="1" applyBorder="1">
      <alignment vertical="center"/>
    </xf>
    <xf numFmtId="178" fontId="6" fillId="0" borderId="20" xfId="0" applyNumberFormat="1" applyFont="1" applyBorder="1">
      <alignment vertical="center"/>
    </xf>
    <xf numFmtId="0" fontId="6" fillId="0" borderId="0" xfId="0" applyFont="1" applyAlignment="1">
      <alignment horizontal="right" vertical="center"/>
    </xf>
    <xf numFmtId="178" fontId="6" fillId="7" borderId="3" xfId="0" applyNumberFormat="1" applyFont="1" applyFill="1" applyBorder="1">
      <alignment vertical="center"/>
    </xf>
    <xf numFmtId="0" fontId="6" fillId="7" borderId="1" xfId="0" applyFont="1" applyFill="1" applyBorder="1">
      <alignment vertical="center"/>
    </xf>
    <xf numFmtId="0" fontId="6" fillId="0" borderId="4" xfId="0" applyFont="1" applyBorder="1">
      <alignment vertical="center"/>
    </xf>
    <xf numFmtId="0" fontId="6" fillId="7" borderId="6" xfId="0" applyFont="1" applyFill="1" applyBorder="1">
      <alignment vertical="center"/>
    </xf>
    <xf numFmtId="0" fontId="6" fillId="0" borderId="7" xfId="0" applyFont="1" applyBorder="1">
      <alignment vertical="center"/>
    </xf>
    <xf numFmtId="0" fontId="6" fillId="7" borderId="15" xfId="0" applyFont="1" applyFill="1" applyBorder="1">
      <alignment vertical="center"/>
    </xf>
    <xf numFmtId="0" fontId="6" fillId="0" borderId="16" xfId="0" applyFont="1" applyBorder="1">
      <alignment vertical="center"/>
    </xf>
    <xf numFmtId="181" fontId="6" fillId="0" borderId="1" xfId="1" applyNumberFormat="1" applyFont="1" applyBorder="1">
      <alignment vertical="center"/>
    </xf>
    <xf numFmtId="181" fontId="6" fillId="0" borderId="6" xfId="1" applyNumberFormat="1" applyFont="1" applyBorder="1">
      <alignment vertical="center"/>
    </xf>
    <xf numFmtId="181" fontId="6" fillId="0" borderId="9" xfId="1" applyNumberFormat="1" applyFont="1" applyBorder="1">
      <alignment vertical="center"/>
    </xf>
    <xf numFmtId="0" fontId="6" fillId="0" borderId="10" xfId="0" applyFont="1" applyBorder="1">
      <alignment vertical="center"/>
    </xf>
    <xf numFmtId="181" fontId="6" fillId="0" borderId="12" xfId="1" applyNumberFormat="1" applyFont="1" applyBorder="1">
      <alignment vertical="center"/>
    </xf>
    <xf numFmtId="0" fontId="6" fillId="0" borderId="13" xfId="0" applyFont="1" applyBorder="1">
      <alignment vertical="center"/>
    </xf>
    <xf numFmtId="181" fontId="6" fillId="0" borderId="15" xfId="1" applyNumberFormat="1" applyFont="1" applyBorder="1">
      <alignment vertical="center"/>
    </xf>
    <xf numFmtId="0" fontId="17" fillId="7" borderId="5" xfId="2" applyFont="1" applyFill="1" applyBorder="1" applyAlignment="1">
      <alignment horizontal="left" vertical="center"/>
    </xf>
    <xf numFmtId="181" fontId="6" fillId="0" borderId="19" xfId="1" applyNumberFormat="1" applyFont="1" applyBorder="1">
      <alignment vertical="center"/>
    </xf>
    <xf numFmtId="0" fontId="6" fillId="0" borderId="20" xfId="0" applyFont="1" applyBorder="1">
      <alignment vertical="center"/>
    </xf>
    <xf numFmtId="0" fontId="19" fillId="0" borderId="0" xfId="2" applyFont="1" applyAlignment="1">
      <alignment horizontal="left" vertical="center"/>
    </xf>
    <xf numFmtId="0" fontId="20" fillId="0" borderId="0" xfId="2" applyFont="1" applyAlignment="1">
      <alignment horizontal="left" vertical="center"/>
    </xf>
    <xf numFmtId="0" fontId="21" fillId="5" borderId="0" xfId="2" applyFont="1" applyFill="1">
      <alignment vertical="center"/>
    </xf>
    <xf numFmtId="0" fontId="22" fillId="5" borderId="0" xfId="2" applyFont="1" applyFill="1">
      <alignment vertical="center"/>
    </xf>
    <xf numFmtId="0" fontId="13" fillId="0" borderId="0" xfId="2" applyFont="1" applyAlignment="1">
      <alignment horizontal="center" vertical="center"/>
    </xf>
    <xf numFmtId="0" fontId="22" fillId="8" borderId="1" xfId="2" applyFont="1" applyFill="1" applyBorder="1" applyAlignment="1">
      <alignment horizontal="center" vertical="center"/>
    </xf>
    <xf numFmtId="0" fontId="22" fillId="8" borderId="4" xfId="2" applyFont="1" applyFill="1" applyBorder="1" applyAlignment="1">
      <alignment horizontal="center" vertical="center"/>
    </xf>
    <xf numFmtId="0" fontId="22" fillId="8" borderId="2" xfId="2" applyFont="1" applyFill="1" applyBorder="1" applyAlignment="1">
      <alignment horizontal="center" vertical="center"/>
    </xf>
    <xf numFmtId="0" fontId="22" fillId="8" borderId="3" xfId="2" applyFont="1" applyFill="1" applyBorder="1" applyAlignment="1">
      <alignment horizontal="center" vertical="center"/>
    </xf>
    <xf numFmtId="9" fontId="22" fillId="8" borderId="2" xfId="2" applyNumberFormat="1" applyFont="1" applyFill="1" applyBorder="1" applyAlignment="1">
      <alignment horizontal="center" vertical="center"/>
    </xf>
    <xf numFmtId="0" fontId="8" fillId="8" borderId="0" xfId="2" applyFill="1" applyAlignment="1">
      <alignment horizontal="center" vertical="center"/>
    </xf>
    <xf numFmtId="0" fontId="8" fillId="0" borderId="15" xfId="2" applyBorder="1" applyAlignment="1">
      <alignment horizontal="left" vertical="center"/>
    </xf>
    <xf numFmtId="0" fontId="8" fillId="0" borderId="16" xfId="2" applyBorder="1" applyAlignment="1">
      <alignment horizontal="left" vertical="center"/>
    </xf>
    <xf numFmtId="176" fontId="8" fillId="0" borderId="16" xfId="2" applyNumberFormat="1" applyBorder="1">
      <alignment vertical="center"/>
    </xf>
    <xf numFmtId="176" fontId="8" fillId="0" borderId="0" xfId="2" applyNumberFormat="1">
      <alignment vertical="center"/>
    </xf>
    <xf numFmtId="176" fontId="8" fillId="0" borderId="14" xfId="2" applyNumberFormat="1" applyBorder="1">
      <alignment vertical="center"/>
    </xf>
    <xf numFmtId="178" fontId="8" fillId="0" borderId="14" xfId="2" applyNumberFormat="1" applyBorder="1">
      <alignment vertical="center"/>
    </xf>
    <xf numFmtId="178" fontId="8" fillId="0" borderId="15" xfId="2" applyNumberFormat="1" applyBorder="1">
      <alignment vertical="center"/>
    </xf>
    <xf numFmtId="0" fontId="13" fillId="0" borderId="15" xfId="2" applyFont="1" applyBorder="1" applyAlignment="1">
      <alignment vertical="center" wrapText="1"/>
    </xf>
    <xf numFmtId="0" fontId="10" fillId="0" borderId="15" xfId="2" applyFont="1" applyBorder="1" applyAlignment="1">
      <alignment vertical="center" wrapText="1"/>
    </xf>
    <xf numFmtId="0" fontId="8" fillId="8" borderId="15" xfId="2" applyFill="1" applyBorder="1" applyAlignment="1">
      <alignment horizontal="left" vertical="center" wrapText="1"/>
    </xf>
    <xf numFmtId="182" fontId="8" fillId="0" borderId="16" xfId="2" applyNumberFormat="1" applyBorder="1" applyAlignment="1">
      <alignment horizontal="right" vertical="center"/>
    </xf>
    <xf numFmtId="0" fontId="8" fillId="6" borderId="15" xfId="2" applyFill="1" applyBorder="1" applyAlignment="1">
      <alignment horizontal="left" vertical="center" wrapText="1"/>
    </xf>
    <xf numFmtId="176" fontId="8" fillId="0" borderId="16" xfId="2" applyNumberFormat="1" applyBorder="1" applyAlignment="1">
      <alignment horizontal="center" vertical="center"/>
    </xf>
    <xf numFmtId="0" fontId="13" fillId="0" borderId="0" xfId="2" applyFont="1">
      <alignment vertical="center"/>
    </xf>
    <xf numFmtId="0" fontId="17" fillId="0" borderId="15" xfId="2" applyFont="1" applyBorder="1" applyAlignment="1">
      <alignment vertical="center" wrapText="1"/>
    </xf>
    <xf numFmtId="0" fontId="15" fillId="0" borderId="15" xfId="2" applyFont="1" applyBorder="1" applyAlignment="1">
      <alignment vertical="center" wrapText="1"/>
    </xf>
    <xf numFmtId="0" fontId="8" fillId="0" borderId="14" xfId="2" applyBorder="1">
      <alignment vertical="center"/>
    </xf>
    <xf numFmtId="0" fontId="8" fillId="0" borderId="15" xfId="2" applyBorder="1">
      <alignment vertical="center"/>
    </xf>
    <xf numFmtId="0" fontId="8" fillId="3" borderId="15" xfId="2" applyFill="1" applyBorder="1" applyAlignment="1">
      <alignment horizontal="left" vertical="center"/>
    </xf>
    <xf numFmtId="0" fontId="8" fillId="3" borderId="16" xfId="2" applyFill="1" applyBorder="1" applyAlignment="1">
      <alignment horizontal="left" vertical="center"/>
    </xf>
    <xf numFmtId="176" fontId="8" fillId="3" borderId="10" xfId="2" applyNumberFormat="1" applyFill="1" applyBorder="1">
      <alignment vertical="center"/>
    </xf>
    <xf numFmtId="176" fontId="8" fillId="3" borderId="17" xfId="2" applyNumberFormat="1" applyFill="1" applyBorder="1">
      <alignment vertical="center"/>
    </xf>
    <xf numFmtId="176" fontId="8" fillId="3" borderId="8" xfId="2" applyNumberFormat="1" applyFill="1" applyBorder="1">
      <alignment vertical="center"/>
    </xf>
    <xf numFmtId="176" fontId="8" fillId="3" borderId="0" xfId="2" applyNumberFormat="1" applyFill="1">
      <alignment vertical="center"/>
    </xf>
    <xf numFmtId="0" fontId="8" fillId="3" borderId="0" xfId="2" applyFill="1">
      <alignment vertical="center"/>
    </xf>
    <xf numFmtId="0" fontId="8" fillId="3" borderId="14" xfId="2" applyFill="1" applyBorder="1">
      <alignment vertical="center"/>
    </xf>
    <xf numFmtId="0" fontId="8" fillId="3" borderId="15" xfId="2" applyFill="1" applyBorder="1">
      <alignment vertical="center"/>
    </xf>
    <xf numFmtId="0" fontId="22" fillId="11" borderId="1" xfId="2" applyFont="1" applyFill="1" applyBorder="1" applyAlignment="1">
      <alignment horizontal="center" vertical="center"/>
    </xf>
    <xf numFmtId="0" fontId="22" fillId="11" borderId="2" xfId="2" applyFont="1" applyFill="1" applyBorder="1">
      <alignment vertical="center"/>
    </xf>
    <xf numFmtId="176" fontId="22" fillId="11" borderId="2" xfId="2" applyNumberFormat="1" applyFont="1" applyFill="1" applyBorder="1">
      <alignment vertical="center"/>
    </xf>
    <xf numFmtId="41" fontId="22" fillId="11" borderId="2" xfId="3" applyFont="1" applyFill="1" applyBorder="1">
      <alignment vertical="center"/>
    </xf>
    <xf numFmtId="0" fontId="22" fillId="11" borderId="1" xfId="2" applyFont="1" applyFill="1" applyBorder="1">
      <alignment vertical="center"/>
    </xf>
    <xf numFmtId="41" fontId="0" fillId="0" borderId="0" xfId="3" applyFont="1" applyBorder="1">
      <alignment vertical="center"/>
    </xf>
    <xf numFmtId="41" fontId="0" fillId="0" borderId="14" xfId="3" applyFont="1" applyBorder="1">
      <alignment vertical="center"/>
    </xf>
    <xf numFmtId="41" fontId="0" fillId="0" borderId="15" xfId="3" applyFont="1" applyBorder="1">
      <alignment vertical="center"/>
    </xf>
    <xf numFmtId="0" fontId="8" fillId="0" borderId="16" xfId="2" applyBorder="1" applyAlignment="1">
      <alignment horizontal="center" vertical="center"/>
    </xf>
    <xf numFmtId="41" fontId="0" fillId="0" borderId="16" xfId="3" applyFont="1" applyFill="1" applyBorder="1">
      <alignment vertical="center"/>
    </xf>
    <xf numFmtId="41" fontId="0" fillId="0" borderId="0" xfId="3" applyFont="1" applyFill="1" applyBorder="1">
      <alignment vertical="center"/>
    </xf>
    <xf numFmtId="41" fontId="0" fillId="0" borderId="14" xfId="3" applyFont="1" applyFill="1" applyBorder="1">
      <alignment vertical="center"/>
    </xf>
    <xf numFmtId="0" fontId="15" fillId="0" borderId="15" xfId="2" applyFont="1" applyBorder="1">
      <alignment vertical="center"/>
    </xf>
    <xf numFmtId="41" fontId="0" fillId="0" borderId="16" xfId="3" applyFont="1" applyBorder="1">
      <alignment vertical="center"/>
    </xf>
    <xf numFmtId="41" fontId="0" fillId="0" borderId="0" xfId="3" applyFont="1" applyBorder="1" applyAlignment="1">
      <alignment vertical="center"/>
    </xf>
    <xf numFmtId="41" fontId="0" fillId="0" borderId="14" xfId="3" applyFont="1" applyBorder="1" applyAlignment="1">
      <alignment vertical="center"/>
    </xf>
    <xf numFmtId="0" fontId="8" fillId="12" borderId="15" xfId="2" applyFill="1" applyBorder="1">
      <alignment vertical="center"/>
    </xf>
    <xf numFmtId="0" fontId="8" fillId="12" borderId="16" xfId="2" applyFill="1" applyBorder="1" applyAlignment="1">
      <alignment horizontal="left" vertical="center"/>
    </xf>
    <xf numFmtId="41" fontId="0" fillId="12" borderId="16" xfId="3" applyFont="1" applyFill="1" applyBorder="1">
      <alignment vertical="center"/>
    </xf>
    <xf numFmtId="41" fontId="0" fillId="12" borderId="0" xfId="3" applyFont="1" applyFill="1" applyBorder="1">
      <alignment vertical="center"/>
    </xf>
    <xf numFmtId="41" fontId="0" fillId="12" borderId="14" xfId="3" applyFont="1" applyFill="1" applyBorder="1">
      <alignment vertical="center"/>
    </xf>
    <xf numFmtId="41" fontId="0" fillId="12" borderId="15" xfId="3" applyFont="1" applyFill="1" applyBorder="1">
      <alignment vertical="center"/>
    </xf>
    <xf numFmtId="0" fontId="23" fillId="0" borderId="0" xfId="2" applyFont="1">
      <alignment vertical="center"/>
    </xf>
    <xf numFmtId="0" fontId="24" fillId="0" borderId="0" xfId="2" applyFont="1">
      <alignment vertical="center"/>
    </xf>
    <xf numFmtId="9" fontId="8" fillId="0" borderId="0" xfId="2" applyNumberFormat="1">
      <alignment vertical="center"/>
    </xf>
    <xf numFmtId="0" fontId="21" fillId="0" borderId="0" xfId="2" applyFont="1">
      <alignment vertical="center"/>
    </xf>
    <xf numFmtId="9" fontId="8" fillId="0" borderId="0" xfId="2" applyNumberFormat="1" applyAlignment="1">
      <alignment horizontal="center" vertical="center"/>
    </xf>
    <xf numFmtId="0" fontId="13" fillId="0" borderId="0" xfId="2" applyFont="1" applyAlignment="1">
      <alignment horizontal="right" vertical="center"/>
    </xf>
    <xf numFmtId="0" fontId="21" fillId="13" borderId="1" xfId="2" applyFont="1" applyFill="1" applyBorder="1" applyAlignment="1">
      <alignment horizontal="center" vertical="center"/>
    </xf>
    <xf numFmtId="0" fontId="25" fillId="2" borderId="0" xfId="2" applyFont="1" applyFill="1" applyAlignment="1">
      <alignment horizontal="left" vertical="center"/>
    </xf>
    <xf numFmtId="0" fontId="26" fillId="11" borderId="1" xfId="2" applyFont="1" applyFill="1" applyBorder="1">
      <alignment vertical="center"/>
    </xf>
    <xf numFmtId="176" fontId="26" fillId="11" borderId="1" xfId="4" applyNumberFormat="1" applyFont="1" applyFill="1" applyBorder="1" applyAlignment="1">
      <alignment vertical="center" shrinkToFit="1"/>
    </xf>
    <xf numFmtId="0" fontId="27" fillId="11" borderId="1" xfId="2" applyFont="1" applyFill="1" applyBorder="1">
      <alignment vertical="center"/>
    </xf>
    <xf numFmtId="0" fontId="28" fillId="2" borderId="1" xfId="2" applyFont="1" applyFill="1" applyBorder="1">
      <alignment vertical="center"/>
    </xf>
    <xf numFmtId="176" fontId="28" fillId="2" borderId="1" xfId="4" applyNumberFormat="1" applyFont="1" applyFill="1" applyBorder="1" applyAlignment="1">
      <alignment vertical="center"/>
    </xf>
    <xf numFmtId="0" fontId="27" fillId="0" borderId="1" xfId="2" applyFont="1" applyBorder="1">
      <alignment vertical="center"/>
    </xf>
    <xf numFmtId="176" fontId="29" fillId="2" borderId="1" xfId="2" applyNumberFormat="1" applyFont="1" applyFill="1" applyBorder="1" applyAlignment="1">
      <alignment vertical="center" shrinkToFit="1"/>
    </xf>
    <xf numFmtId="41" fontId="28" fillId="2" borderId="1" xfId="3" applyFont="1" applyFill="1" applyBorder="1" applyAlignment="1">
      <alignment vertical="center"/>
    </xf>
    <xf numFmtId="0" fontId="27" fillId="0" borderId="1" xfId="2" applyFont="1" applyBorder="1" applyAlignment="1">
      <alignment vertical="center" wrapText="1"/>
    </xf>
    <xf numFmtId="176" fontId="21" fillId="11" borderId="1" xfId="2" applyNumberFormat="1" applyFont="1" applyFill="1" applyBorder="1" applyAlignment="1">
      <alignment vertical="center" shrinkToFit="1"/>
    </xf>
    <xf numFmtId="0" fontId="27" fillId="0" borderId="1" xfId="2" applyFont="1" applyBorder="1" applyAlignment="1">
      <alignment vertical="center" shrinkToFit="1"/>
    </xf>
    <xf numFmtId="0" fontId="30" fillId="2" borderId="1" xfId="2" applyFont="1" applyFill="1" applyBorder="1" applyAlignment="1">
      <alignment horizontal="left" vertical="center" shrinkToFit="1"/>
    </xf>
    <xf numFmtId="176" fontId="30" fillId="2" borderId="1" xfId="4" applyNumberFormat="1" applyFont="1" applyFill="1" applyBorder="1" applyAlignment="1">
      <alignment horizontal="right" vertical="center" shrinkToFit="1"/>
    </xf>
    <xf numFmtId="0" fontId="15" fillId="0" borderId="1" xfId="2" applyFont="1" applyBorder="1" applyAlignment="1">
      <alignment vertical="center" wrapText="1"/>
    </xf>
    <xf numFmtId="176" fontId="28" fillId="2" borderId="1" xfId="4" applyNumberFormat="1" applyFont="1" applyFill="1" applyBorder="1" applyAlignment="1">
      <alignment horizontal="right" vertical="center"/>
    </xf>
    <xf numFmtId="0" fontId="12" fillId="0" borderId="1" xfId="2" applyFont="1" applyBorder="1">
      <alignment vertical="center"/>
    </xf>
    <xf numFmtId="176" fontId="21" fillId="11" borderId="1" xfId="2" applyNumberFormat="1" applyFont="1" applyFill="1" applyBorder="1" applyAlignment="1">
      <alignment horizontal="right" vertical="center" shrinkToFit="1"/>
    </xf>
    <xf numFmtId="0" fontId="31" fillId="11" borderId="1" xfId="2" applyFont="1" applyFill="1" applyBorder="1" applyAlignment="1">
      <alignment horizontal="left" vertical="center" shrinkToFit="1"/>
    </xf>
    <xf numFmtId="41" fontId="21" fillId="11" borderId="1" xfId="3" applyFont="1" applyFill="1" applyBorder="1" applyAlignment="1">
      <alignment horizontal="right" vertical="center" shrinkToFit="1"/>
    </xf>
    <xf numFmtId="0" fontId="32" fillId="11" borderId="1" xfId="2" applyFont="1" applyFill="1" applyBorder="1">
      <alignment vertical="center"/>
    </xf>
    <xf numFmtId="41" fontId="33" fillId="2" borderId="1" xfId="4" applyFont="1" applyFill="1" applyBorder="1" applyAlignment="1">
      <alignment horizontal="left" vertical="center" shrinkToFit="1"/>
    </xf>
    <xf numFmtId="183" fontId="21" fillId="11" borderId="1" xfId="2" applyNumberFormat="1" applyFont="1" applyFill="1" applyBorder="1" applyAlignment="1">
      <alignment horizontal="right" vertical="center"/>
    </xf>
    <xf numFmtId="0" fontId="34" fillId="2" borderId="1" xfId="2" applyFont="1" applyFill="1" applyBorder="1" applyAlignment="1">
      <alignment horizontal="left" vertical="center" shrinkToFit="1"/>
    </xf>
    <xf numFmtId="183" fontId="8" fillId="0" borderId="1" xfId="2" applyNumberFormat="1" applyBorder="1" applyAlignment="1">
      <alignment horizontal="right" vertical="center"/>
    </xf>
    <xf numFmtId="0" fontId="31" fillId="2" borderId="0" xfId="2" applyFont="1" applyFill="1" applyAlignment="1">
      <alignment horizontal="left" vertical="center"/>
    </xf>
    <xf numFmtId="44" fontId="8" fillId="2" borderId="0" xfId="2" applyNumberFormat="1" applyFill="1">
      <alignment vertical="center"/>
    </xf>
    <xf numFmtId="0" fontId="8" fillId="2" borderId="0" xfId="2" applyFill="1">
      <alignment vertical="center"/>
    </xf>
    <xf numFmtId="0" fontId="35" fillId="2" borderId="0" xfId="2" applyFont="1" applyFill="1" applyAlignment="1">
      <alignment horizontal="left" vertical="center" shrinkToFit="1"/>
    </xf>
    <xf numFmtId="0" fontId="36" fillId="2" borderId="0" xfId="2" applyFont="1" applyFill="1">
      <alignment vertical="center"/>
    </xf>
    <xf numFmtId="0" fontId="35" fillId="2" borderId="0" xfId="2" applyFont="1" applyFill="1" applyAlignment="1">
      <alignment horizontal="left" vertical="center"/>
    </xf>
    <xf numFmtId="0" fontId="6" fillId="7" borderId="19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0" fillId="7" borderId="9" xfId="0" applyNumberFormat="1" applyFill="1" applyBorder="1" applyAlignment="1">
      <alignment horizontal="center" vertical="center"/>
    </xf>
    <xf numFmtId="178" fontId="0" fillId="0" borderId="1" xfId="0" applyNumberFormat="1" applyBorder="1">
      <alignment vertical="center"/>
    </xf>
    <xf numFmtId="178" fontId="0" fillId="0" borderId="1" xfId="0" quotePrefix="1" applyNumberFormat="1" applyBorder="1" applyAlignment="1">
      <alignment horizontal="right" vertical="center"/>
    </xf>
    <xf numFmtId="178" fontId="0" fillId="0" borderId="4" xfId="0" applyNumberFormat="1" applyBorder="1">
      <alignment vertical="center"/>
    </xf>
    <xf numFmtId="0" fontId="0" fillId="7" borderId="5" xfId="0" applyFill="1" applyBorder="1">
      <alignment vertical="center"/>
    </xf>
    <xf numFmtId="178" fontId="0" fillId="0" borderId="6" xfId="0" quotePrefix="1" applyNumberFormat="1" applyBorder="1" applyAlignment="1">
      <alignment horizontal="right" vertical="center"/>
    </xf>
    <xf numFmtId="178" fontId="0" fillId="0" borderId="7" xfId="0" applyNumberFormat="1" applyBorder="1">
      <alignment vertical="center"/>
    </xf>
    <xf numFmtId="0" fontId="0" fillId="7" borderId="21" xfId="0" applyFill="1" applyBorder="1" applyAlignment="1">
      <alignment horizontal="center" vertical="center"/>
    </xf>
    <xf numFmtId="178" fontId="0" fillId="0" borderId="22" xfId="0" applyNumberFormat="1" applyBorder="1">
      <alignment vertical="center"/>
    </xf>
    <xf numFmtId="178" fontId="0" fillId="0" borderId="23" xfId="0" applyNumberFormat="1" applyBorder="1">
      <alignment vertical="center"/>
    </xf>
    <xf numFmtId="0" fontId="0" fillId="7" borderId="8" xfId="0" applyFill="1" applyBorder="1" applyAlignment="1">
      <alignment horizontal="center" vertical="center"/>
    </xf>
    <xf numFmtId="178" fontId="0" fillId="0" borderId="9" xfId="0" applyNumberFormat="1" applyBorder="1">
      <alignment vertical="center"/>
    </xf>
    <xf numFmtId="181" fontId="0" fillId="0" borderId="9" xfId="1" applyNumberFormat="1" applyFont="1" applyBorder="1">
      <alignment vertical="center"/>
    </xf>
    <xf numFmtId="178" fontId="0" fillId="0" borderId="10" xfId="0" applyNumberFormat="1" applyBorder="1">
      <alignment vertical="center"/>
    </xf>
    <xf numFmtId="178" fontId="0" fillId="0" borderId="0" xfId="0" applyNumberFormat="1">
      <alignment vertical="center"/>
    </xf>
    <xf numFmtId="178" fontId="0" fillId="5" borderId="0" xfId="0" applyNumberFormat="1" applyFill="1">
      <alignment vertical="center"/>
    </xf>
    <xf numFmtId="178" fontId="0" fillId="9" borderId="1" xfId="0" applyNumberFormat="1" applyFill="1" applyBorder="1">
      <alignment vertical="center"/>
    </xf>
    <xf numFmtId="178" fontId="0" fillId="9" borderId="1" xfId="0" quotePrefix="1" applyNumberFormat="1" applyFill="1" applyBorder="1" applyAlignment="1">
      <alignment horizontal="right" vertical="center"/>
    </xf>
    <xf numFmtId="178" fontId="0" fillId="9" borderId="6" xfId="0" quotePrefix="1" applyNumberFormat="1" applyFill="1" applyBorder="1" applyAlignment="1">
      <alignment horizontal="right" vertical="center"/>
    </xf>
    <xf numFmtId="178" fontId="0" fillId="9" borderId="6" xfId="0" applyNumberFormat="1" applyFill="1" applyBorder="1">
      <alignment vertical="center"/>
    </xf>
    <xf numFmtId="178" fontId="0" fillId="9" borderId="0" xfId="0" applyNumberFormat="1" applyFill="1">
      <alignment vertical="center"/>
    </xf>
    <xf numFmtId="0" fontId="0" fillId="0" borderId="1" xfId="0" quotePrefix="1" applyBorder="1" applyAlignment="1">
      <alignment horizontal="right" vertical="center"/>
    </xf>
    <xf numFmtId="178" fontId="0" fillId="9" borderId="4" xfId="0" applyNumberFormat="1" applyFill="1" applyBorder="1">
      <alignment vertical="center"/>
    </xf>
    <xf numFmtId="181" fontId="0" fillId="0" borderId="4" xfId="1" applyNumberFormat="1" applyFont="1" applyBorder="1">
      <alignment vertical="center"/>
    </xf>
    <xf numFmtId="181" fontId="8" fillId="0" borderId="0" xfId="1" applyNumberFormat="1" applyFont="1">
      <alignment vertical="center"/>
    </xf>
    <xf numFmtId="181" fontId="8" fillId="0" borderId="0" xfId="2" applyNumberFormat="1">
      <alignment vertical="center"/>
    </xf>
    <xf numFmtId="176" fontId="8" fillId="2" borderId="0" xfId="2" applyNumberFormat="1" applyFill="1">
      <alignment vertical="center"/>
    </xf>
    <xf numFmtId="0" fontId="0" fillId="7" borderId="18" xfId="0" applyFill="1" applyBorder="1" applyAlignment="1">
      <alignment horizontal="center" vertical="center"/>
    </xf>
    <xf numFmtId="178" fontId="0" fillId="0" borderId="19" xfId="0" applyNumberFormat="1" applyBorder="1">
      <alignment vertical="center"/>
    </xf>
    <xf numFmtId="178" fontId="0" fillId="0" borderId="20" xfId="0" applyNumberFormat="1" applyBorder="1">
      <alignment vertical="center"/>
    </xf>
    <xf numFmtId="178" fontId="0" fillId="5" borderId="1" xfId="0" applyNumberFormat="1" applyFill="1" applyBorder="1">
      <alignment vertical="center"/>
    </xf>
    <xf numFmtId="178" fontId="0" fillId="5" borderId="6" xfId="0" applyNumberFormat="1" applyFill="1" applyBorder="1">
      <alignment vertical="center"/>
    </xf>
    <xf numFmtId="0" fontId="0" fillId="0" borderId="0" xfId="0" applyAlignment="1">
      <alignment horizontal="right" vertical="center"/>
    </xf>
    <xf numFmtId="181" fontId="0" fillId="0" borderId="0" xfId="1" applyNumberFormat="1" applyFont="1">
      <alignment vertical="center"/>
    </xf>
    <xf numFmtId="181" fontId="0" fillId="0" borderId="1" xfId="1" applyNumberFormat="1" applyFont="1" applyBorder="1">
      <alignment vertical="center"/>
    </xf>
    <xf numFmtId="181" fontId="0" fillId="9" borderId="1" xfId="1" applyNumberFormat="1" applyFont="1" applyFill="1" applyBorder="1">
      <alignment vertical="center"/>
    </xf>
    <xf numFmtId="0" fontId="0" fillId="9" borderId="0" xfId="0" applyFill="1">
      <alignment vertical="center"/>
    </xf>
    <xf numFmtId="178" fontId="0" fillId="7" borderId="4" xfId="0" applyNumberFormat="1" applyFill="1" applyBorder="1" applyAlignment="1">
      <alignment horizontal="center" vertical="center"/>
    </xf>
    <xf numFmtId="181" fontId="0" fillId="9" borderId="0" xfId="1" applyNumberFormat="1" applyFont="1" applyFill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178" fontId="0" fillId="0" borderId="6" xfId="0" applyNumberFormat="1" applyBorder="1">
      <alignment vertical="center"/>
    </xf>
    <xf numFmtId="178" fontId="0" fillId="0" borderId="15" xfId="0" applyNumberFormat="1" applyBorder="1">
      <alignment vertical="center"/>
    </xf>
    <xf numFmtId="178" fontId="0" fillId="0" borderId="16" xfId="0" applyNumberFormat="1" applyBorder="1">
      <alignment vertical="center"/>
    </xf>
    <xf numFmtId="178" fontId="0" fillId="9" borderId="15" xfId="0" applyNumberFormat="1" applyFill="1" applyBorder="1">
      <alignment vertical="center"/>
    </xf>
    <xf numFmtId="0" fontId="6" fillId="7" borderId="8" xfId="0" applyFont="1" applyFill="1" applyBorder="1" applyAlignment="1">
      <alignment horizontal="left" vertical="center" indent="1"/>
    </xf>
    <xf numFmtId="178" fontId="0" fillId="0" borderId="12" xfId="0" applyNumberFormat="1" applyBorder="1">
      <alignment vertical="center"/>
    </xf>
    <xf numFmtId="178" fontId="0" fillId="0" borderId="13" xfId="0" applyNumberFormat="1" applyBorder="1">
      <alignment vertical="center"/>
    </xf>
    <xf numFmtId="0" fontId="0" fillId="8" borderId="3" xfId="0" applyFill="1" applyBorder="1">
      <alignment vertical="center"/>
    </xf>
    <xf numFmtId="178" fontId="0" fillId="8" borderId="1" xfId="0" applyNumberFormat="1" applyFill="1" applyBorder="1">
      <alignment vertical="center"/>
    </xf>
    <xf numFmtId="178" fontId="0" fillId="8" borderId="4" xfId="0" applyNumberFormat="1" applyFill="1" applyBorder="1">
      <alignment vertical="center"/>
    </xf>
    <xf numFmtId="0" fontId="0" fillId="7" borderId="8" xfId="0" applyFill="1" applyBorder="1" applyAlignment="1">
      <alignment horizontal="left" vertical="center" indent="1"/>
    </xf>
    <xf numFmtId="0" fontId="0" fillId="7" borderId="11" xfId="0" applyFill="1" applyBorder="1" applyAlignment="1">
      <alignment horizontal="left" vertical="center" indent="1"/>
    </xf>
    <xf numFmtId="0" fontId="0" fillId="7" borderId="14" xfId="0" applyFill="1" applyBorder="1" applyAlignment="1">
      <alignment horizontal="left" vertical="center" indent="1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7" borderId="9" xfId="0" quotePrefix="1" applyFill="1" applyBorder="1" applyAlignment="1">
      <alignment horizontal="center" vertical="center"/>
    </xf>
    <xf numFmtId="0" fontId="38" fillId="7" borderId="8" xfId="0" applyFont="1" applyFill="1" applyBorder="1">
      <alignment vertical="center"/>
    </xf>
    <xf numFmtId="181" fontId="38" fillId="0" borderId="9" xfId="1" applyNumberFormat="1" applyFont="1" applyBorder="1">
      <alignment vertical="center"/>
    </xf>
    <xf numFmtId="181" fontId="38" fillId="0" borderId="10" xfId="1" applyNumberFormat="1" applyFont="1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7" borderId="10" xfId="0" quotePrefix="1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7" borderId="8" xfId="0" applyFill="1" applyBorder="1">
      <alignment vertical="center"/>
    </xf>
    <xf numFmtId="180" fontId="0" fillId="0" borderId="9" xfId="0" applyNumberFormat="1" applyBorder="1">
      <alignment vertical="center"/>
    </xf>
    <xf numFmtId="180" fontId="0" fillId="0" borderId="10" xfId="0" applyNumberFormat="1" applyBorder="1">
      <alignment vertical="center"/>
    </xf>
    <xf numFmtId="0" fontId="0" fillId="7" borderId="21" xfId="0" applyFill="1" applyBorder="1">
      <alignment vertical="center"/>
    </xf>
    <xf numFmtId="180" fontId="0" fillId="0" borderId="22" xfId="0" applyNumberFormat="1" applyBorder="1">
      <alignment vertical="center"/>
    </xf>
    <xf numFmtId="180" fontId="0" fillId="0" borderId="23" xfId="0" applyNumberFormat="1" applyBorder="1">
      <alignment vertical="center"/>
    </xf>
    <xf numFmtId="181" fontId="0" fillId="9" borderId="0" xfId="0" applyNumberFormat="1" applyFill="1">
      <alignment vertical="center"/>
    </xf>
    <xf numFmtId="181" fontId="0" fillId="9" borderId="6" xfId="0" applyNumberFormat="1" applyFill="1" applyBorder="1">
      <alignment vertical="center"/>
    </xf>
    <xf numFmtId="0" fontId="0" fillId="0" borderId="7" xfId="0" applyBorder="1">
      <alignment vertical="center"/>
    </xf>
    <xf numFmtId="0" fontId="0" fillId="0" borderId="14" xfId="0" applyBorder="1">
      <alignment vertical="center"/>
    </xf>
    <xf numFmtId="0" fontId="0" fillId="7" borderId="14" xfId="0" applyFill="1" applyBorder="1" applyAlignment="1">
      <alignment horizontal="left" vertical="center"/>
    </xf>
    <xf numFmtId="184" fontId="0" fillId="0" borderId="1" xfId="0" applyNumberFormat="1" applyBorder="1">
      <alignment vertical="center"/>
    </xf>
    <xf numFmtId="184" fontId="0" fillId="0" borderId="4" xfId="0" applyNumberFormat="1" applyBorder="1">
      <alignment vertical="center"/>
    </xf>
    <xf numFmtId="181" fontId="0" fillId="0" borderId="1" xfId="0" applyNumberFormat="1" applyBorder="1">
      <alignment vertical="center"/>
    </xf>
    <xf numFmtId="181" fontId="0" fillId="0" borderId="4" xfId="0" applyNumberFormat="1" applyBorder="1">
      <alignment vertical="center"/>
    </xf>
    <xf numFmtId="0" fontId="7" fillId="7" borderId="18" xfId="0" applyFont="1" applyFill="1" applyBorder="1" applyAlignment="1">
      <alignment horizontal="left" vertical="center"/>
    </xf>
    <xf numFmtId="178" fontId="7" fillId="0" borderId="19" xfId="0" applyNumberFormat="1" applyFont="1" applyBorder="1">
      <alignment vertical="center"/>
    </xf>
    <xf numFmtId="9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18" fillId="7" borderId="2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8" fillId="7" borderId="2" xfId="0" applyFont="1" applyFill="1" applyBorder="1">
      <alignment vertical="center"/>
    </xf>
    <xf numFmtId="0" fontId="18" fillId="7" borderId="3" xfId="0" applyFont="1" applyFill="1" applyBorder="1">
      <alignment vertical="center"/>
    </xf>
    <xf numFmtId="0" fontId="18" fillId="0" borderId="4" xfId="0" applyFont="1" applyBorder="1">
      <alignment vertical="center"/>
    </xf>
    <xf numFmtId="0" fontId="18" fillId="0" borderId="2" xfId="0" applyFont="1" applyBorder="1">
      <alignment vertical="center"/>
    </xf>
    <xf numFmtId="185" fontId="18" fillId="0" borderId="4" xfId="0" applyNumberFormat="1" applyFont="1" applyBorder="1">
      <alignment vertical="center"/>
    </xf>
    <xf numFmtId="186" fontId="18" fillId="0" borderId="2" xfId="0" applyNumberFormat="1" applyFont="1" applyBorder="1" applyAlignment="1">
      <alignment horizontal="left" vertical="center"/>
    </xf>
    <xf numFmtId="0" fontId="18" fillId="7" borderId="24" xfId="0" applyFont="1" applyFill="1" applyBorder="1">
      <alignment vertical="center"/>
    </xf>
    <xf numFmtId="0" fontId="18" fillId="7" borderId="5" xfId="0" applyFont="1" applyFill="1" applyBorder="1">
      <alignment vertical="center"/>
    </xf>
    <xf numFmtId="185" fontId="18" fillId="0" borderId="7" xfId="0" applyNumberFormat="1" applyFont="1" applyBorder="1">
      <alignment vertical="center"/>
    </xf>
    <xf numFmtId="0" fontId="18" fillId="7" borderId="25" xfId="0" applyFont="1" applyFill="1" applyBorder="1">
      <alignment vertical="center"/>
    </xf>
    <xf numFmtId="185" fontId="18" fillId="0" borderId="26" xfId="0" applyNumberFormat="1" applyFont="1" applyBorder="1">
      <alignment vertical="center"/>
    </xf>
    <xf numFmtId="186" fontId="18" fillId="0" borderId="27" xfId="0" applyNumberFormat="1" applyFont="1" applyBorder="1" applyAlignment="1">
      <alignment horizontal="left" vertical="center"/>
    </xf>
    <xf numFmtId="0" fontId="18" fillId="7" borderId="14" xfId="0" applyFont="1" applyFill="1" applyBorder="1">
      <alignment vertical="center"/>
    </xf>
    <xf numFmtId="0" fontId="18" fillId="7" borderId="28" xfId="0" applyFont="1" applyFill="1" applyBorder="1">
      <alignment vertical="center"/>
    </xf>
    <xf numFmtId="185" fontId="18" fillId="0" borderId="29" xfId="0" applyNumberFormat="1" applyFont="1" applyBorder="1">
      <alignment vertical="center"/>
    </xf>
    <xf numFmtId="186" fontId="18" fillId="0" borderId="30" xfId="0" applyNumberFormat="1" applyFont="1" applyBorder="1" applyAlignment="1">
      <alignment horizontal="left" vertical="center"/>
    </xf>
    <xf numFmtId="0" fontId="18" fillId="7" borderId="17" xfId="0" applyFont="1" applyFill="1" applyBorder="1">
      <alignment vertical="center"/>
    </xf>
    <xf numFmtId="10" fontId="18" fillId="0" borderId="4" xfId="1" applyNumberFormat="1" applyFont="1" applyBorder="1">
      <alignment vertical="center"/>
    </xf>
    <xf numFmtId="178" fontId="18" fillId="0" borderId="4" xfId="0" applyNumberFormat="1" applyFont="1" applyBorder="1" applyAlignment="1">
      <alignment horizontal="right" vertical="center"/>
    </xf>
    <xf numFmtId="0" fontId="18" fillId="0" borderId="0" xfId="0" applyFont="1">
      <alignment vertical="center"/>
    </xf>
    <xf numFmtId="180" fontId="18" fillId="0" borderId="0" xfId="0" applyNumberFormat="1" applyFont="1">
      <alignment vertical="center"/>
    </xf>
    <xf numFmtId="0" fontId="18" fillId="7" borderId="1" xfId="0" applyFont="1" applyFill="1" applyBorder="1" applyAlignment="1">
      <alignment horizontal="center" vertical="center"/>
    </xf>
    <xf numFmtId="41" fontId="18" fillId="7" borderId="1" xfId="0" applyNumberFormat="1" applyFont="1" applyFill="1" applyBorder="1" applyAlignment="1">
      <alignment horizontal="center" vertical="center"/>
    </xf>
    <xf numFmtId="41" fontId="18" fillId="7" borderId="4" xfId="0" applyNumberFormat="1" applyFont="1" applyFill="1" applyBorder="1" applyAlignment="1">
      <alignment horizontal="center" vertical="center"/>
    </xf>
    <xf numFmtId="41" fontId="18" fillId="7" borderId="31" xfId="0" applyNumberFormat="1" applyFont="1" applyFill="1" applyBorder="1">
      <alignment vertical="center"/>
    </xf>
    <xf numFmtId="178" fontId="18" fillId="0" borderId="32" xfId="0" applyNumberFormat="1" applyFont="1" applyBorder="1">
      <alignment vertical="center"/>
    </xf>
    <xf numFmtId="180" fontId="18" fillId="0" borderId="31" xfId="0" applyNumberFormat="1" applyFont="1" applyBorder="1">
      <alignment vertical="center"/>
    </xf>
    <xf numFmtId="180" fontId="18" fillId="0" borderId="32" xfId="0" applyNumberFormat="1" applyFont="1" applyBorder="1">
      <alignment vertical="center"/>
    </xf>
    <xf numFmtId="178" fontId="18" fillId="0" borderId="31" xfId="0" applyNumberFormat="1" applyFont="1" applyBorder="1">
      <alignment vertical="center"/>
    </xf>
    <xf numFmtId="178" fontId="18" fillId="0" borderId="20" xfId="0" applyNumberFormat="1" applyFont="1" applyBorder="1" applyAlignment="1">
      <alignment horizontal="center" vertical="center"/>
    </xf>
    <xf numFmtId="180" fontId="18" fillId="0" borderId="19" xfId="0" applyNumberFormat="1" applyFont="1" applyBorder="1">
      <alignment vertical="center"/>
    </xf>
    <xf numFmtId="180" fontId="18" fillId="0" borderId="20" xfId="0" applyNumberFormat="1" applyFont="1" applyBorder="1">
      <alignment vertical="center"/>
    </xf>
    <xf numFmtId="178" fontId="18" fillId="0" borderId="0" xfId="5" applyNumberFormat="1" applyFont="1">
      <alignment vertical="center"/>
    </xf>
    <xf numFmtId="41" fontId="18" fillId="0" borderId="0" xfId="0" applyNumberFormat="1" applyFont="1">
      <alignment vertical="center"/>
    </xf>
    <xf numFmtId="178" fontId="18" fillId="0" borderId="19" xfId="0" applyNumberFormat="1" applyFont="1" applyBorder="1">
      <alignment vertical="center"/>
    </xf>
    <xf numFmtId="41" fontId="6" fillId="0" borderId="4" xfId="5" applyFont="1" applyBorder="1">
      <alignment vertical="center"/>
    </xf>
    <xf numFmtId="187" fontId="6" fillId="0" borderId="13" xfId="5" applyNumberFormat="1" applyFont="1" applyBorder="1">
      <alignment vertical="center"/>
    </xf>
    <xf numFmtId="178" fontId="43" fillId="0" borderId="1" xfId="0" quotePrefix="1" applyNumberFormat="1" applyFont="1" applyBorder="1" applyAlignment="1">
      <alignment horizontal="right" vertical="center"/>
    </xf>
    <xf numFmtId="181" fontId="43" fillId="0" borderId="1" xfId="1" applyNumberFormat="1" applyFont="1" applyBorder="1">
      <alignment vertical="center"/>
    </xf>
    <xf numFmtId="181" fontId="43" fillId="0" borderId="4" xfId="1" applyNumberFormat="1" applyFont="1" applyBorder="1">
      <alignment vertical="center"/>
    </xf>
    <xf numFmtId="178" fontId="43" fillId="8" borderId="1" xfId="0" applyNumberFormat="1" applyFont="1" applyFill="1" applyBorder="1">
      <alignment vertical="center"/>
    </xf>
    <xf numFmtId="178" fontId="43" fillId="0" borderId="6" xfId="0" applyNumberFormat="1" applyFont="1" applyBorder="1">
      <alignment vertical="center"/>
    </xf>
    <xf numFmtId="178" fontId="43" fillId="0" borderId="12" xfId="0" applyNumberFormat="1" applyFont="1" applyBorder="1">
      <alignment vertical="center"/>
    </xf>
    <xf numFmtId="178" fontId="43" fillId="0" borderId="13" xfId="0" applyNumberFormat="1" applyFont="1" applyBorder="1">
      <alignment vertical="center"/>
    </xf>
    <xf numFmtId="178" fontId="43" fillId="0" borderId="15" xfId="0" applyNumberFormat="1" applyFont="1" applyBorder="1">
      <alignment vertical="center"/>
    </xf>
    <xf numFmtId="178" fontId="43" fillId="0" borderId="16" xfId="0" applyNumberFormat="1" applyFont="1" applyBorder="1">
      <alignment vertical="center"/>
    </xf>
    <xf numFmtId="178" fontId="43" fillId="0" borderId="9" xfId="0" applyNumberFormat="1" applyFont="1" applyBorder="1">
      <alignment vertical="center"/>
    </xf>
    <xf numFmtId="178" fontId="43" fillId="0" borderId="10" xfId="0" applyNumberFormat="1" applyFont="1" applyBorder="1">
      <alignment vertical="center"/>
    </xf>
    <xf numFmtId="178" fontId="43" fillId="0" borderId="1" xfId="0" applyNumberFormat="1" applyFont="1" applyBorder="1">
      <alignment vertical="center"/>
    </xf>
    <xf numFmtId="178" fontId="44" fillId="0" borderId="1" xfId="0" applyNumberFormat="1" applyFont="1" applyBorder="1">
      <alignment vertical="center"/>
    </xf>
    <xf numFmtId="180" fontId="43" fillId="0" borderId="6" xfId="0" applyNumberFormat="1" applyFont="1" applyBorder="1">
      <alignment vertical="center"/>
    </xf>
    <xf numFmtId="180" fontId="0" fillId="0" borderId="0" xfId="0" applyNumberFormat="1">
      <alignment vertical="center"/>
    </xf>
    <xf numFmtId="0" fontId="45" fillId="7" borderId="14" xfId="0" applyFont="1" applyFill="1" applyBorder="1">
      <alignment vertical="center"/>
    </xf>
    <xf numFmtId="0" fontId="17" fillId="7" borderId="33" xfId="0" applyFont="1" applyFill="1" applyBorder="1" applyAlignment="1">
      <alignment horizontal="left" vertical="center" indent="1"/>
    </xf>
    <xf numFmtId="0" fontId="17" fillId="7" borderId="8" xfId="0" applyFont="1" applyFill="1" applyBorder="1" applyAlignment="1">
      <alignment horizontal="left" vertical="center" indent="1"/>
    </xf>
    <xf numFmtId="0" fontId="17" fillId="7" borderId="5" xfId="0" applyFont="1" applyFill="1" applyBorder="1">
      <alignment vertical="center"/>
    </xf>
    <xf numFmtId="0" fontId="17" fillId="7" borderId="3" xfId="0" applyFont="1" applyFill="1" applyBorder="1">
      <alignment vertical="center"/>
    </xf>
    <xf numFmtId="3" fontId="17" fillId="0" borderId="6" xfId="0" applyNumberFormat="1" applyFont="1" applyBorder="1">
      <alignment vertical="center"/>
    </xf>
    <xf numFmtId="178" fontId="17" fillId="0" borderId="6" xfId="0" applyNumberFormat="1" applyFont="1" applyBorder="1">
      <alignment vertical="center"/>
    </xf>
    <xf numFmtId="178" fontId="17" fillId="0" borderId="7" xfId="0" applyNumberFormat="1" applyFont="1" applyBorder="1">
      <alignment vertical="center"/>
    </xf>
    <xf numFmtId="181" fontId="45" fillId="0" borderId="15" xfId="1" applyNumberFormat="1" applyFont="1" applyFill="1" applyBorder="1">
      <alignment vertical="center"/>
    </xf>
    <xf numFmtId="181" fontId="45" fillId="0" borderId="16" xfId="1" applyNumberFormat="1" applyFont="1" applyFill="1" applyBorder="1">
      <alignment vertical="center"/>
    </xf>
    <xf numFmtId="181" fontId="45" fillId="0" borderId="0" xfId="1" applyNumberFormat="1" applyFont="1" applyFill="1" applyBorder="1">
      <alignment vertical="center"/>
    </xf>
    <xf numFmtId="178" fontId="17" fillId="5" borderId="31" xfId="0" applyNumberFormat="1" applyFont="1" applyFill="1" applyBorder="1">
      <alignment vertical="center"/>
    </xf>
    <xf numFmtId="178" fontId="17" fillId="5" borderId="32" xfId="0" applyNumberFormat="1" applyFont="1" applyFill="1" applyBorder="1">
      <alignment vertical="center"/>
    </xf>
    <xf numFmtId="178" fontId="17" fillId="5" borderId="9" xfId="0" applyNumberFormat="1" applyFont="1" applyFill="1" applyBorder="1">
      <alignment vertical="center"/>
    </xf>
    <xf numFmtId="178" fontId="17" fillId="5" borderId="10" xfId="0" applyNumberFormat="1" applyFont="1" applyFill="1" applyBorder="1">
      <alignment vertical="center"/>
    </xf>
    <xf numFmtId="178" fontId="17" fillId="5" borderId="0" xfId="0" applyNumberFormat="1" applyFont="1" applyFill="1">
      <alignment vertical="center"/>
    </xf>
    <xf numFmtId="41" fontId="17" fillId="0" borderId="6" xfId="5" applyFont="1" applyBorder="1">
      <alignment vertical="center"/>
    </xf>
    <xf numFmtId="178" fontId="17" fillId="0" borderId="1" xfId="0" applyNumberFormat="1" applyFont="1" applyBorder="1">
      <alignment vertical="center"/>
    </xf>
    <xf numFmtId="178" fontId="17" fillId="0" borderId="4" xfId="0" applyNumberFormat="1" applyFont="1" applyBorder="1">
      <alignment vertical="center"/>
    </xf>
    <xf numFmtId="41" fontId="7" fillId="0" borderId="20" xfId="5" applyFont="1" applyBorder="1">
      <alignment vertical="center"/>
    </xf>
    <xf numFmtId="0" fontId="7" fillId="0" borderId="0" xfId="6" applyFont="1">
      <alignment vertical="center"/>
    </xf>
    <xf numFmtId="9" fontId="47" fillId="0" borderId="0" xfId="7" applyFont="1" applyBorder="1" applyAlignment="1">
      <alignment horizontal="right" vertical="center"/>
    </xf>
    <xf numFmtId="188" fontId="18" fillId="7" borderId="1" xfId="0" applyNumberFormat="1" applyFont="1" applyFill="1" applyBorder="1" applyAlignment="1">
      <alignment horizontal="center" vertical="center"/>
    </xf>
    <xf numFmtId="188" fontId="18" fillId="7" borderId="2" xfId="0" applyNumberFormat="1" applyFont="1" applyFill="1" applyBorder="1" applyAlignment="1">
      <alignment horizontal="center" vertical="center"/>
    </xf>
    <xf numFmtId="188" fontId="18" fillId="7" borderId="34" xfId="0" applyNumberFormat="1" applyFont="1" applyFill="1" applyBorder="1" applyAlignment="1">
      <alignment horizontal="center" vertical="center"/>
    </xf>
    <xf numFmtId="188" fontId="18" fillId="7" borderId="3" xfId="0" applyNumberFormat="1" applyFont="1" applyFill="1" applyBorder="1" applyAlignment="1">
      <alignment horizontal="center" vertical="center"/>
    </xf>
    <xf numFmtId="188" fontId="18" fillId="7" borderId="4" xfId="0" applyNumberFormat="1" applyFont="1" applyFill="1" applyBorder="1" applyAlignment="1">
      <alignment horizontal="center" vertical="center"/>
    </xf>
    <xf numFmtId="178" fontId="18" fillId="0" borderId="1" xfId="0" applyNumberFormat="1" applyFont="1" applyBorder="1">
      <alignment vertical="center"/>
    </xf>
    <xf numFmtId="178" fontId="18" fillId="0" borderId="2" xfId="0" applyNumberFormat="1" applyFont="1" applyBorder="1">
      <alignment vertical="center"/>
    </xf>
    <xf numFmtId="178" fontId="18" fillId="0" borderId="35" xfId="0" applyNumberFormat="1" applyFont="1" applyBorder="1">
      <alignment vertical="center"/>
    </xf>
    <xf numFmtId="178" fontId="18" fillId="0" borderId="3" xfId="0" applyNumberFormat="1" applyFont="1" applyBorder="1">
      <alignment vertical="center"/>
    </xf>
    <xf numFmtId="178" fontId="18" fillId="0" borderId="4" xfId="0" applyNumberFormat="1" applyFont="1" applyBorder="1">
      <alignment vertical="center"/>
    </xf>
    <xf numFmtId="0" fontId="18" fillId="0" borderId="24" xfId="0" applyFont="1" applyBorder="1">
      <alignment vertical="center"/>
    </xf>
    <xf numFmtId="189" fontId="18" fillId="7" borderId="4" xfId="0" applyNumberFormat="1" applyFont="1" applyFill="1" applyBorder="1" applyAlignment="1">
      <alignment horizontal="center" vertical="center"/>
    </xf>
    <xf numFmtId="189" fontId="18" fillId="7" borderId="34" xfId="0" applyNumberFormat="1" applyFont="1" applyFill="1" applyBorder="1" applyAlignment="1">
      <alignment horizontal="center" vertical="center"/>
    </xf>
    <xf numFmtId="189" fontId="18" fillId="7" borderId="2" xfId="0" applyNumberFormat="1" applyFont="1" applyFill="1" applyBorder="1" applyAlignment="1">
      <alignment horizontal="center" vertical="center"/>
    </xf>
    <xf numFmtId="3" fontId="18" fillId="0" borderId="4" xfId="0" applyNumberFormat="1" applyFont="1" applyBorder="1">
      <alignment vertical="center"/>
    </xf>
    <xf numFmtId="3" fontId="18" fillId="0" borderId="35" xfId="0" applyNumberFormat="1" applyFont="1" applyBorder="1">
      <alignment vertical="center"/>
    </xf>
    <xf numFmtId="3" fontId="18" fillId="0" borderId="2" xfId="0" applyNumberFormat="1" applyFont="1" applyBorder="1">
      <alignment vertical="center"/>
    </xf>
    <xf numFmtId="181" fontId="18" fillId="9" borderId="36" xfId="0" applyNumberFormat="1" applyFont="1" applyFill="1" applyBorder="1">
      <alignment vertical="center"/>
    </xf>
    <xf numFmtId="178" fontId="18" fillId="0" borderId="36" xfId="0" applyNumberFormat="1" applyFont="1" applyBorder="1">
      <alignment vertical="center"/>
    </xf>
    <xf numFmtId="181" fontId="0" fillId="0" borderId="0" xfId="0" applyNumberFormat="1">
      <alignment vertical="center"/>
    </xf>
    <xf numFmtId="180" fontId="18" fillId="9" borderId="36" xfId="0" applyNumberFormat="1" applyFont="1" applyFill="1" applyBorder="1">
      <alignment vertical="center"/>
    </xf>
    <xf numFmtId="181" fontId="18" fillId="0" borderId="6" xfId="1" applyNumberFormat="1" applyFont="1" applyBorder="1">
      <alignment vertical="center"/>
    </xf>
    <xf numFmtId="181" fontId="18" fillId="0" borderId="24" xfId="1" applyNumberFormat="1" applyFont="1" applyBorder="1">
      <alignment vertical="center"/>
    </xf>
    <xf numFmtId="181" fontId="18" fillId="0" borderId="5" xfId="1" applyNumberFormat="1" applyFont="1" applyBorder="1">
      <alignment vertical="center"/>
    </xf>
    <xf numFmtId="181" fontId="18" fillId="0" borderId="7" xfId="1" applyNumberFormat="1" applyFont="1" applyBorder="1">
      <alignment vertical="center"/>
    </xf>
    <xf numFmtId="189" fontId="18" fillId="7" borderId="37" xfId="0" applyNumberFormat="1" applyFont="1" applyFill="1" applyBorder="1" applyAlignment="1">
      <alignment horizontal="center" vertical="center"/>
    </xf>
    <xf numFmtId="3" fontId="18" fillId="0" borderId="37" xfId="0" applyNumberFormat="1" applyFont="1" applyBorder="1">
      <alignment vertical="center"/>
    </xf>
    <xf numFmtId="0" fontId="0" fillId="11" borderId="0" xfId="0" applyFill="1">
      <alignment vertical="center"/>
    </xf>
    <xf numFmtId="178" fontId="0" fillId="11" borderId="1" xfId="0" applyNumberFormat="1" applyFill="1" applyBorder="1">
      <alignment vertical="center"/>
    </xf>
    <xf numFmtId="41" fontId="0" fillId="0" borderId="0" xfId="5" applyFont="1">
      <alignment vertical="center"/>
    </xf>
    <xf numFmtId="6" fontId="0" fillId="0" borderId="0" xfId="0" applyNumberFormat="1">
      <alignment vertical="center"/>
    </xf>
    <xf numFmtId="176" fontId="0" fillId="14" borderId="1" xfId="5" applyNumberFormat="1" applyFont="1" applyFill="1" applyBorder="1">
      <alignment vertical="center"/>
    </xf>
    <xf numFmtId="178" fontId="17" fillId="5" borderId="1" xfId="0" applyNumberFormat="1" applyFont="1" applyFill="1" applyBorder="1">
      <alignment vertical="center"/>
    </xf>
    <xf numFmtId="178" fontId="17" fillId="5" borderId="4" xfId="0" applyNumberFormat="1" applyFont="1" applyFill="1" applyBorder="1">
      <alignment vertical="center"/>
    </xf>
    <xf numFmtId="178" fontId="0" fillId="0" borderId="9" xfId="0" quotePrefix="1" applyNumberFormat="1" applyBorder="1" applyAlignment="1">
      <alignment horizontal="right" vertical="center"/>
    </xf>
    <xf numFmtId="181" fontId="18" fillId="0" borderId="38" xfId="1" applyNumberFormat="1" applyFont="1" applyBorder="1">
      <alignment vertical="center"/>
    </xf>
    <xf numFmtId="181" fontId="18" fillId="0" borderId="37" xfId="1" applyNumberFormat="1" applyFont="1" applyBorder="1">
      <alignment vertical="center"/>
    </xf>
    <xf numFmtId="178" fontId="0" fillId="0" borderId="0" xfId="0" applyNumberFormat="1" applyAlignment="1">
      <alignment horizontal="right" vertical="center"/>
    </xf>
    <xf numFmtId="178" fontId="0" fillId="0" borderId="1" xfId="0" applyNumberFormat="1" applyBorder="1" applyAlignment="1">
      <alignment horizontal="right" vertical="center"/>
    </xf>
    <xf numFmtId="178" fontId="43" fillId="8" borderId="4" xfId="0" applyNumberFormat="1" applyFont="1" applyFill="1" applyBorder="1">
      <alignment vertical="center"/>
    </xf>
    <xf numFmtId="178" fontId="43" fillId="0" borderId="7" xfId="0" applyNumberFormat="1" applyFont="1" applyBorder="1">
      <alignment vertical="center"/>
    </xf>
    <xf numFmtId="178" fontId="43" fillId="0" borderId="4" xfId="0" applyNumberFormat="1" applyFont="1" applyBorder="1">
      <alignment vertical="center"/>
    </xf>
    <xf numFmtId="178" fontId="44" fillId="0" borderId="4" xfId="0" applyNumberFormat="1" applyFont="1" applyBorder="1">
      <alignment vertical="center"/>
    </xf>
    <xf numFmtId="180" fontId="43" fillId="0" borderId="7" xfId="0" applyNumberFormat="1" applyFont="1" applyBorder="1">
      <alignment vertical="center"/>
    </xf>
    <xf numFmtId="181" fontId="0" fillId="0" borderId="1" xfId="1" applyNumberFormat="1" applyFont="1" applyFill="1" applyBorder="1">
      <alignment vertical="center"/>
    </xf>
    <xf numFmtId="181" fontId="0" fillId="0" borderId="4" xfId="1" applyNumberFormat="1" applyFont="1" applyFill="1" applyBorder="1">
      <alignment vertical="center"/>
    </xf>
    <xf numFmtId="178" fontId="43" fillId="0" borderId="4" xfId="0" quotePrefix="1" applyNumberFormat="1" applyFont="1" applyBorder="1" applyAlignment="1">
      <alignment horizontal="right" vertical="center"/>
    </xf>
    <xf numFmtId="178" fontId="43" fillId="0" borderId="9" xfId="0" quotePrefix="1" applyNumberFormat="1" applyFont="1" applyBorder="1" applyAlignment="1">
      <alignment horizontal="right" vertical="center"/>
    </xf>
    <xf numFmtId="178" fontId="43" fillId="0" borderId="15" xfId="0" quotePrefix="1" applyNumberFormat="1" applyFont="1" applyBorder="1" applyAlignment="1">
      <alignment horizontal="right" vertical="center"/>
    </xf>
    <xf numFmtId="178" fontId="0" fillId="5" borderId="12" xfId="0" applyNumberFormat="1" applyFill="1" applyBorder="1">
      <alignment vertical="center"/>
    </xf>
    <xf numFmtId="178" fontId="43" fillId="0" borderId="9" xfId="0" applyNumberFormat="1" applyFont="1" applyBorder="1" applyAlignment="1">
      <alignment horizontal="right" vertical="center"/>
    </xf>
    <xf numFmtId="178" fontId="43" fillId="0" borderId="15" xfId="0" applyNumberFormat="1" applyFont="1" applyBorder="1" applyAlignment="1">
      <alignment horizontal="right" vertical="center"/>
    </xf>
    <xf numFmtId="178" fontId="43" fillId="10" borderId="12" xfId="0" applyNumberFormat="1" applyFont="1" applyFill="1" applyBorder="1">
      <alignment vertical="center"/>
    </xf>
    <xf numFmtId="181" fontId="0" fillId="0" borderId="0" xfId="1" applyNumberFormat="1" applyFont="1" applyFill="1">
      <alignment vertical="center"/>
    </xf>
    <xf numFmtId="180" fontId="6" fillId="0" borderId="0" xfId="0" applyNumberFormat="1" applyFont="1">
      <alignment vertical="center"/>
    </xf>
    <xf numFmtId="41" fontId="0" fillId="0" borderId="0" xfId="0" applyNumberFormat="1">
      <alignment vertical="center"/>
    </xf>
    <xf numFmtId="9" fontId="0" fillId="0" borderId="0" xfId="1" applyFont="1">
      <alignment vertical="center"/>
    </xf>
    <xf numFmtId="0" fontId="0" fillId="0" borderId="0" xfId="0" applyAlignment="1">
      <alignment horizontal="left" vertical="center" indent="1"/>
    </xf>
    <xf numFmtId="41" fontId="0" fillId="15" borderId="0" xfId="5" applyFont="1" applyFill="1">
      <alignment vertical="center"/>
    </xf>
    <xf numFmtId="0" fontId="0" fillId="0" borderId="0" xfId="0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190" fontId="7" fillId="0" borderId="17" xfId="0" applyNumberFormat="1" applyFont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190" fontId="17" fillId="7" borderId="1" xfId="0" quotePrefix="1" applyNumberFormat="1" applyFont="1" applyFill="1" applyBorder="1" applyAlignment="1">
      <alignment horizontal="center" vertical="center"/>
    </xf>
    <xf numFmtId="41" fontId="18" fillId="0" borderId="0" xfId="5" applyFont="1">
      <alignment vertical="center"/>
    </xf>
    <xf numFmtId="178" fontId="8" fillId="16" borderId="0" xfId="2" applyNumberFormat="1" applyFill="1">
      <alignment vertical="center"/>
    </xf>
    <xf numFmtId="0" fontId="8" fillId="16" borderId="0" xfId="2" applyFill="1">
      <alignment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9" xfId="0" quotePrefix="1" applyFont="1" applyFill="1" applyBorder="1" applyAlignment="1">
      <alignment horizontal="center" vertical="center"/>
    </xf>
    <xf numFmtId="0" fontId="6" fillId="7" borderId="10" xfId="0" quotePrefix="1" applyFont="1" applyFill="1" applyBorder="1" applyAlignment="1">
      <alignment horizontal="center" vertical="center"/>
    </xf>
    <xf numFmtId="41" fontId="6" fillId="9" borderId="4" xfId="5" applyFont="1" applyFill="1" applyBorder="1">
      <alignment vertical="center"/>
    </xf>
    <xf numFmtId="178" fontId="6" fillId="0" borderId="1" xfId="0" quotePrefix="1" applyNumberFormat="1" applyFont="1" applyBorder="1" applyAlignment="1">
      <alignment horizontal="right" vertical="center"/>
    </xf>
    <xf numFmtId="181" fontId="6" fillId="0" borderId="4" xfId="1" applyNumberFormat="1" applyFont="1" applyBorder="1">
      <alignment vertical="center"/>
    </xf>
    <xf numFmtId="181" fontId="6" fillId="9" borderId="4" xfId="1" applyNumberFormat="1" applyFont="1" applyFill="1" applyBorder="1">
      <alignment vertical="center"/>
    </xf>
    <xf numFmtId="0" fontId="6" fillId="7" borderId="5" xfId="0" applyFont="1" applyFill="1" applyBorder="1" applyAlignment="1">
      <alignment horizontal="left" vertical="center" indent="1"/>
    </xf>
    <xf numFmtId="180" fontId="6" fillId="0" borderId="1" xfId="0" applyNumberFormat="1" applyFont="1" applyBorder="1">
      <alignment vertical="center"/>
    </xf>
    <xf numFmtId="41" fontId="6" fillId="0" borderId="1" xfId="5" applyFont="1" applyBorder="1">
      <alignment vertical="center"/>
    </xf>
    <xf numFmtId="0" fontId="6" fillId="7" borderId="3" xfId="0" applyFont="1" applyFill="1" applyBorder="1" applyAlignment="1">
      <alignment horizontal="left" vertical="center"/>
    </xf>
    <xf numFmtId="181" fontId="6" fillId="0" borderId="0" xfId="1" applyNumberFormat="1" applyFont="1">
      <alignment vertical="center"/>
    </xf>
    <xf numFmtId="181" fontId="6" fillId="0" borderId="0" xfId="1" applyNumberFormat="1" applyFont="1" applyFill="1">
      <alignment vertical="center"/>
    </xf>
    <xf numFmtId="14" fontId="6" fillId="0" borderId="0" xfId="0" applyNumberFormat="1" applyFont="1">
      <alignment vertical="center"/>
    </xf>
    <xf numFmtId="0" fontId="6" fillId="8" borderId="5" xfId="0" applyFont="1" applyFill="1" applyBorder="1">
      <alignment vertical="center"/>
    </xf>
    <xf numFmtId="0" fontId="6" fillId="8" borderId="16" xfId="0" applyFont="1" applyFill="1" applyBorder="1" applyAlignment="1">
      <alignment horizontal="left" vertical="center" indent="1"/>
    </xf>
    <xf numFmtId="181" fontId="6" fillId="8" borderId="14" xfId="1" applyNumberFormat="1" applyFont="1" applyFill="1" applyBorder="1">
      <alignment vertical="center"/>
    </xf>
    <xf numFmtId="0" fontId="6" fillId="8" borderId="16" xfId="0" applyFont="1" applyFill="1" applyBorder="1" applyAlignment="1">
      <alignment horizontal="left" vertical="center" indent="2"/>
    </xf>
    <xf numFmtId="0" fontId="6" fillId="8" borderId="10" xfId="0" applyFont="1" applyFill="1" applyBorder="1" applyAlignment="1">
      <alignment horizontal="left" vertical="center" indent="2"/>
    </xf>
    <xf numFmtId="181" fontId="6" fillId="8" borderId="8" xfId="1" applyNumberFormat="1" applyFont="1" applyFill="1" applyBorder="1">
      <alignment vertical="center"/>
    </xf>
    <xf numFmtId="0" fontId="6" fillId="7" borderId="39" xfId="0" applyFont="1" applyFill="1" applyBorder="1">
      <alignment vertical="center"/>
    </xf>
    <xf numFmtId="3" fontId="17" fillId="15" borderId="6" xfId="0" applyNumberFormat="1" applyFont="1" applyFill="1" applyBorder="1">
      <alignment vertical="center"/>
    </xf>
    <xf numFmtId="3" fontId="17" fillId="15" borderId="7" xfId="0" applyNumberFormat="1" applyFont="1" applyFill="1" applyBorder="1">
      <alignment vertical="center"/>
    </xf>
    <xf numFmtId="181" fontId="45" fillId="15" borderId="15" xfId="1" applyNumberFormat="1" applyFont="1" applyFill="1" applyBorder="1">
      <alignment vertical="center"/>
    </xf>
    <xf numFmtId="178" fontId="0" fillId="15" borderId="15" xfId="0" applyNumberFormat="1" applyFill="1" applyBorder="1">
      <alignment vertical="center"/>
    </xf>
    <xf numFmtId="0" fontId="0" fillId="7" borderId="10" xfId="0" applyFill="1" applyBorder="1" applyAlignment="1">
      <alignment horizontal="center" vertical="center"/>
    </xf>
    <xf numFmtId="0" fontId="1" fillId="0" borderId="0" xfId="2" applyFont="1">
      <alignment vertical="center"/>
    </xf>
    <xf numFmtId="187" fontId="0" fillId="0" borderId="0" xfId="5" applyNumberFormat="1" applyFont="1">
      <alignment vertical="center"/>
    </xf>
    <xf numFmtId="0" fontId="7" fillId="0" borderId="0" xfId="0" applyFont="1" applyAlignment="1">
      <alignment horizontal="right" vertical="center"/>
    </xf>
    <xf numFmtId="10" fontId="6" fillId="9" borderId="4" xfId="1" applyNumberFormat="1" applyFont="1" applyFill="1" applyBorder="1">
      <alignment vertical="center"/>
    </xf>
    <xf numFmtId="0" fontId="6" fillId="7" borderId="0" xfId="0" applyFont="1" applyFill="1" applyAlignment="1">
      <alignment horizontal="left" vertical="center" indent="2"/>
    </xf>
    <xf numFmtId="191" fontId="0" fillId="9" borderId="4" xfId="1" applyNumberFormat="1" applyFont="1" applyFill="1" applyBorder="1">
      <alignment vertical="center"/>
    </xf>
    <xf numFmtId="191" fontId="0" fillId="0" borderId="4" xfId="1" applyNumberFormat="1" applyFont="1" applyFill="1" applyBorder="1">
      <alignment vertical="center"/>
    </xf>
    <xf numFmtId="10" fontId="0" fillId="9" borderId="1" xfId="1" applyNumberFormat="1" applyFont="1" applyFill="1" applyBorder="1">
      <alignment vertical="center"/>
    </xf>
    <xf numFmtId="192" fontId="17" fillId="7" borderId="1" xfId="2" applyNumberFormat="1" applyFont="1" applyFill="1" applyBorder="1" applyAlignment="1">
      <alignment horizontal="center" vertical="center"/>
    </xf>
    <xf numFmtId="19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17" borderId="0" xfId="0" applyFill="1">
      <alignment vertical="center"/>
    </xf>
    <xf numFmtId="181" fontId="0" fillId="17" borderId="4" xfId="1" applyNumberFormat="1" applyFont="1" applyFill="1" applyBorder="1">
      <alignment vertical="center"/>
    </xf>
    <xf numFmtId="1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14" fontId="0" fillId="0" borderId="16" xfId="0" applyNumberFormat="1" applyBorder="1">
      <alignment vertical="center"/>
    </xf>
    <xf numFmtId="41" fontId="0" fillId="0" borderId="14" xfId="5" applyFont="1" applyBorder="1">
      <alignment vertical="center"/>
    </xf>
    <xf numFmtId="14" fontId="0" fillId="0" borderId="10" xfId="0" applyNumberFormat="1" applyBorder="1">
      <alignment vertical="center"/>
    </xf>
    <xf numFmtId="41" fontId="0" fillId="0" borderId="8" xfId="5" applyFont="1" applyBorder="1">
      <alignment vertical="center"/>
    </xf>
    <xf numFmtId="178" fontId="0" fillId="0" borderId="5" xfId="0" applyNumberFormat="1" applyBorder="1" applyAlignment="1">
      <alignment horizontal="center" vertical="center"/>
    </xf>
    <xf numFmtId="178" fontId="0" fillId="0" borderId="8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41" fontId="0" fillId="0" borderId="0" xfId="5" applyFont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0" fontId="0" fillId="7" borderId="1" xfId="0" applyFill="1" applyBorder="1">
      <alignment vertical="center"/>
    </xf>
    <xf numFmtId="14" fontId="0" fillId="7" borderId="1" xfId="0" applyNumberFormat="1" applyFill="1" applyBorder="1">
      <alignment vertical="center"/>
    </xf>
    <xf numFmtId="14" fontId="0" fillId="7" borderId="4" xfId="0" applyNumberFormat="1" applyFill="1" applyBorder="1">
      <alignment vertical="center"/>
    </xf>
    <xf numFmtId="41" fontId="6" fillId="0" borderId="9" xfId="5" applyFont="1" applyBorder="1">
      <alignment vertical="center"/>
    </xf>
    <xf numFmtId="187" fontId="0" fillId="0" borderId="9" xfId="5" applyNumberFormat="1" applyFont="1" applyBorder="1">
      <alignment vertical="center"/>
    </xf>
    <xf numFmtId="187" fontId="0" fillId="0" borderId="10" xfId="5" applyNumberFormat="1" applyFont="1" applyBorder="1">
      <alignment vertical="center"/>
    </xf>
    <xf numFmtId="0" fontId="0" fillId="0" borderId="15" xfId="0" applyBorder="1">
      <alignment vertical="center"/>
    </xf>
    <xf numFmtId="41" fontId="0" fillId="0" borderId="15" xfId="0" applyNumberFormat="1" applyBorder="1">
      <alignment vertical="center"/>
    </xf>
    <xf numFmtId="41" fontId="0" fillId="0" borderId="16" xfId="0" applyNumberFormat="1" applyBorder="1">
      <alignment vertical="center"/>
    </xf>
    <xf numFmtId="0" fontId="6" fillId="7" borderId="40" xfId="0" applyFont="1" applyFill="1" applyBorder="1">
      <alignment vertical="center"/>
    </xf>
    <xf numFmtId="41" fontId="0" fillId="0" borderId="25" xfId="0" applyNumberFormat="1" applyBorder="1">
      <alignment vertical="center"/>
    </xf>
    <xf numFmtId="41" fontId="0" fillId="0" borderId="26" xfId="0" applyNumberFormat="1" applyBorder="1">
      <alignment vertical="center"/>
    </xf>
    <xf numFmtId="0" fontId="6" fillId="7" borderId="14" xfId="0" applyFont="1" applyFill="1" applyBorder="1" applyAlignment="1">
      <alignment horizontal="left" vertical="center" indent="3"/>
    </xf>
    <xf numFmtId="41" fontId="0" fillId="4" borderId="0" xfId="5" applyFont="1" applyFill="1">
      <alignment vertical="center"/>
    </xf>
    <xf numFmtId="0" fontId="0" fillId="7" borderId="2" xfId="0" applyFill="1" applyBorder="1">
      <alignment vertical="center"/>
    </xf>
    <xf numFmtId="14" fontId="6" fillId="7" borderId="2" xfId="0" applyNumberFormat="1" applyFont="1" applyFill="1" applyBorder="1">
      <alignment vertical="center"/>
    </xf>
    <xf numFmtId="14" fontId="0" fillId="7" borderId="2" xfId="0" applyNumberFormat="1" applyFill="1" applyBorder="1">
      <alignment vertical="center"/>
    </xf>
    <xf numFmtId="0" fontId="6" fillId="7" borderId="2" xfId="0" applyFont="1" applyFill="1" applyBorder="1" applyAlignment="1">
      <alignment horizontal="left" vertical="center" indent="1"/>
    </xf>
    <xf numFmtId="0" fontId="0" fillId="0" borderId="2" xfId="0" applyBorder="1">
      <alignment vertical="center"/>
    </xf>
    <xf numFmtId="178" fontId="0" fillId="4" borderId="2" xfId="0" applyNumberFormat="1" applyFill="1" applyBorder="1">
      <alignment vertical="center"/>
    </xf>
    <xf numFmtId="178" fontId="0" fillId="0" borderId="2" xfId="0" applyNumberFormat="1" applyBorder="1">
      <alignment vertical="center"/>
    </xf>
    <xf numFmtId="0" fontId="6" fillId="7" borderId="27" xfId="0" applyFont="1" applyFill="1" applyBorder="1" applyAlignment="1">
      <alignment horizontal="left" vertical="center" indent="1"/>
    </xf>
    <xf numFmtId="0" fontId="0" fillId="0" borderId="27" xfId="0" applyBorder="1">
      <alignment vertical="center"/>
    </xf>
    <xf numFmtId="41" fontId="0" fillId="4" borderId="27" xfId="0" applyNumberFormat="1" applyFill="1" applyBorder="1">
      <alignment vertical="center"/>
    </xf>
    <xf numFmtId="41" fontId="0" fillId="0" borderId="27" xfId="0" applyNumberFormat="1" applyBorder="1">
      <alignment vertical="center"/>
    </xf>
    <xf numFmtId="0" fontId="6" fillId="7" borderId="17" xfId="0" applyFont="1" applyFill="1" applyBorder="1" applyAlignment="1">
      <alignment horizontal="left" vertical="center" indent="2"/>
    </xf>
    <xf numFmtId="0" fontId="0" fillId="0" borderId="17" xfId="0" applyBorder="1">
      <alignment vertical="center"/>
    </xf>
    <xf numFmtId="41" fontId="0" fillId="4" borderId="17" xfId="5" applyFont="1" applyFill="1" applyBorder="1">
      <alignment vertical="center"/>
    </xf>
    <xf numFmtId="178" fontId="0" fillId="0" borderId="17" xfId="0" applyNumberFormat="1" applyBorder="1">
      <alignment vertical="center"/>
    </xf>
    <xf numFmtId="0" fontId="0" fillId="4" borderId="0" xfId="0" applyFill="1">
      <alignment vertical="center"/>
    </xf>
    <xf numFmtId="0" fontId="7" fillId="4" borderId="0" xfId="0" applyFont="1" applyFill="1">
      <alignment vertical="center"/>
    </xf>
    <xf numFmtId="0" fontId="7" fillId="8" borderId="7" xfId="0" applyFont="1" applyFill="1" applyBorder="1">
      <alignment vertical="center"/>
    </xf>
    <xf numFmtId="191" fontId="0" fillId="4" borderId="4" xfId="1" applyNumberFormat="1" applyFont="1" applyFill="1" applyBorder="1">
      <alignment vertical="center"/>
    </xf>
    <xf numFmtId="180" fontId="0" fillId="0" borderId="15" xfId="0" applyNumberFormat="1" applyBorder="1">
      <alignment vertical="center"/>
    </xf>
    <xf numFmtId="180" fontId="0" fillId="0" borderId="41" xfId="0" applyNumberFormat="1" applyBorder="1">
      <alignment vertical="center"/>
    </xf>
    <xf numFmtId="181" fontId="0" fillId="0" borderId="0" xfId="1" applyNumberFormat="1" applyFont="1" applyBorder="1">
      <alignment vertical="center"/>
    </xf>
    <xf numFmtId="0" fontId="7" fillId="7" borderId="0" xfId="0" applyFont="1" applyFill="1">
      <alignment vertical="center"/>
    </xf>
    <xf numFmtId="0" fontId="0" fillId="18" borderId="0" xfId="0" applyFill="1">
      <alignment vertical="center"/>
    </xf>
    <xf numFmtId="0" fontId="7" fillId="18" borderId="0" xfId="0" applyFont="1" applyFill="1">
      <alignment vertical="center"/>
    </xf>
    <xf numFmtId="180" fontId="0" fillId="18" borderId="8" xfId="0" applyNumberFormat="1" applyFill="1" applyBorder="1" applyAlignment="1">
      <alignment horizontal="center" vertical="center"/>
    </xf>
    <xf numFmtId="181" fontId="0" fillId="18" borderId="17" xfId="0" applyNumberFormat="1" applyFill="1" applyBorder="1">
      <alignment vertical="center"/>
    </xf>
    <xf numFmtId="180" fontId="0" fillId="18" borderId="8" xfId="0" applyNumberFormat="1" applyFill="1" applyBorder="1">
      <alignment vertical="center"/>
    </xf>
    <xf numFmtId="181" fontId="0" fillId="18" borderId="14" xfId="0" applyNumberFormat="1" applyFill="1" applyBorder="1">
      <alignment vertical="center"/>
    </xf>
    <xf numFmtId="187" fontId="0" fillId="18" borderId="0" xfId="5" applyNumberFormat="1" applyFont="1" applyFill="1">
      <alignment vertical="center"/>
    </xf>
    <xf numFmtId="181" fontId="0" fillId="18" borderId="14" xfId="1" applyNumberFormat="1" applyFont="1" applyFill="1" applyBorder="1">
      <alignment vertical="center"/>
    </xf>
    <xf numFmtId="9" fontId="0" fillId="18" borderId="0" xfId="1" applyFont="1" applyFill="1">
      <alignment vertical="center"/>
    </xf>
    <xf numFmtId="181" fontId="0" fillId="0" borderId="0" xfId="1" applyNumberFormat="1" applyFont="1" applyFill="1" applyBorder="1">
      <alignment vertical="center"/>
    </xf>
    <xf numFmtId="187" fontId="0" fillId="0" borderId="0" xfId="5" applyNumberFormat="1" applyFont="1" applyFill="1">
      <alignment vertical="center"/>
    </xf>
    <xf numFmtId="41" fontId="0" fillId="0" borderId="15" xfId="5" applyFont="1" applyBorder="1">
      <alignment vertical="center"/>
    </xf>
    <xf numFmtId="41" fontId="0" fillId="0" borderId="9" xfId="5" applyFont="1" applyBorder="1">
      <alignment vertical="center"/>
    </xf>
    <xf numFmtId="0" fontId="0" fillId="0" borderId="1" xfId="0" applyBorder="1" applyAlignment="1">
      <alignment horizontal="center" vertical="center"/>
    </xf>
    <xf numFmtId="181" fontId="0" fillId="0" borderId="2" xfId="1" applyNumberFormat="1" applyFont="1" applyBorder="1">
      <alignment vertical="center"/>
    </xf>
    <xf numFmtId="181" fontId="0" fillId="0" borderId="3" xfId="1" applyNumberFormat="1" applyFont="1" applyBorder="1">
      <alignment vertical="center"/>
    </xf>
    <xf numFmtId="180" fontId="0" fillId="0" borderId="1" xfId="0" applyNumberFormat="1" applyBorder="1">
      <alignment vertical="center"/>
    </xf>
    <xf numFmtId="180" fontId="0" fillId="0" borderId="17" xfId="0" applyNumberFormat="1" applyBorder="1">
      <alignment vertical="center"/>
    </xf>
    <xf numFmtId="180" fontId="0" fillId="0" borderId="8" xfId="0" applyNumberFormat="1" applyBorder="1">
      <alignment vertical="center"/>
    </xf>
    <xf numFmtId="192" fontId="17" fillId="7" borderId="4" xfId="2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41" fontId="6" fillId="0" borderId="0" xfId="5" applyFont="1" applyBorder="1" applyAlignment="1">
      <alignment horizontal="center" vertical="center"/>
    </xf>
    <xf numFmtId="41" fontId="6" fillId="0" borderId="0" xfId="0" applyNumberFormat="1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0" fontId="0" fillId="0" borderId="24" xfId="1" applyNumberFormat="1" applyFont="1" applyBorder="1" applyAlignment="1">
      <alignment horizontal="center" vertical="center"/>
    </xf>
    <xf numFmtId="41" fontId="0" fillId="0" borderId="24" xfId="5" applyFont="1" applyBorder="1" applyAlignment="1">
      <alignment horizontal="center" vertical="center"/>
    </xf>
    <xf numFmtId="0" fontId="49" fillId="0" borderId="1" xfId="0" applyFont="1" applyBorder="1">
      <alignment vertical="center"/>
    </xf>
    <xf numFmtId="0" fontId="49" fillId="0" borderId="0" xfId="0" applyFont="1">
      <alignment vertical="center"/>
    </xf>
    <xf numFmtId="193" fontId="49" fillId="0" borderId="1" xfId="0" applyNumberFormat="1" applyFont="1" applyBorder="1" applyAlignment="1">
      <alignment horizontal="center" vertical="center"/>
    </xf>
    <xf numFmtId="14" fontId="49" fillId="0" borderId="1" xfId="0" applyNumberFormat="1" applyFont="1" applyBorder="1">
      <alignment vertical="center"/>
    </xf>
    <xf numFmtId="41" fontId="18" fillId="7" borderId="15" xfId="0" applyNumberFormat="1" applyFont="1" applyFill="1" applyBorder="1">
      <alignment vertical="center"/>
    </xf>
    <xf numFmtId="178" fontId="18" fillId="0" borderId="16" xfId="0" applyNumberFormat="1" applyFont="1" applyBorder="1">
      <alignment vertical="center"/>
    </xf>
    <xf numFmtId="180" fontId="18" fillId="0" borderId="15" xfId="0" applyNumberFormat="1" applyFont="1" applyBorder="1">
      <alignment vertical="center"/>
    </xf>
    <xf numFmtId="180" fontId="18" fillId="0" borderId="16" xfId="0" applyNumberFormat="1" applyFont="1" applyBorder="1">
      <alignment vertical="center"/>
    </xf>
    <xf numFmtId="178" fontId="18" fillId="0" borderId="15" xfId="0" applyNumberFormat="1" applyFont="1" applyBorder="1">
      <alignment vertical="center"/>
    </xf>
    <xf numFmtId="180" fontId="7" fillId="17" borderId="0" xfId="0" applyNumberFormat="1" applyFont="1" applyFill="1">
      <alignment vertical="center"/>
    </xf>
    <xf numFmtId="178" fontId="7" fillId="17" borderId="0" xfId="0" applyNumberFormat="1" applyFont="1" applyFill="1">
      <alignment vertical="center"/>
    </xf>
    <xf numFmtId="0" fontId="7" fillId="17" borderId="0" xfId="0" applyFont="1" applyFill="1">
      <alignment vertical="center"/>
    </xf>
    <xf numFmtId="41" fontId="7" fillId="17" borderId="0" xfId="5" applyFont="1" applyFill="1">
      <alignment vertical="center"/>
    </xf>
    <xf numFmtId="41" fontId="18" fillId="8" borderId="31" xfId="0" applyNumberFormat="1" applyFont="1" applyFill="1" applyBorder="1">
      <alignment vertical="center"/>
    </xf>
    <xf numFmtId="178" fontId="18" fillId="8" borderId="32" xfId="0" applyNumberFormat="1" applyFont="1" applyFill="1" applyBorder="1">
      <alignment vertical="center"/>
    </xf>
    <xf numFmtId="180" fontId="18" fillId="8" borderId="31" xfId="0" applyNumberFormat="1" applyFont="1" applyFill="1" applyBorder="1">
      <alignment vertical="center"/>
    </xf>
    <xf numFmtId="180" fontId="18" fillId="8" borderId="32" xfId="0" applyNumberFormat="1" applyFont="1" applyFill="1" applyBorder="1">
      <alignment vertical="center"/>
    </xf>
    <xf numFmtId="178" fontId="18" fillId="8" borderId="31" xfId="0" applyNumberFormat="1" applyFont="1" applyFill="1" applyBorder="1">
      <alignment vertical="center"/>
    </xf>
    <xf numFmtId="184" fontId="18" fillId="0" borderId="32" xfId="0" applyNumberFormat="1" applyFont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7" borderId="9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41" fontId="18" fillId="7" borderId="7" xfId="0" applyNumberFormat="1" applyFont="1" applyFill="1" applyBorder="1" applyAlignment="1">
      <alignment horizontal="center" vertical="center"/>
    </xf>
    <xf numFmtId="41" fontId="18" fillId="7" borderId="10" xfId="0" applyNumberFormat="1" applyFont="1" applyFill="1" applyBorder="1" applyAlignment="1">
      <alignment horizontal="center" vertical="center"/>
    </xf>
    <xf numFmtId="0" fontId="18" fillId="7" borderId="18" xfId="0" applyFont="1" applyFill="1" applyBorder="1" applyAlignment="1">
      <alignment horizontal="center" vertical="center"/>
    </xf>
    <xf numFmtId="0" fontId="18" fillId="7" borderId="19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49" fillId="0" borderId="1" xfId="0" applyFont="1" applyBorder="1" applyAlignment="1">
      <alignment horizontal="center" vertical="center"/>
    </xf>
    <xf numFmtId="0" fontId="49" fillId="0" borderId="1" xfId="0" quotePrefix="1" applyFont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8" fillId="0" borderId="0" xfId="2" applyAlignment="1">
      <alignment horizontal="center" vertical="center"/>
    </xf>
    <xf numFmtId="176" fontId="22" fillId="11" borderId="2" xfId="2" applyNumberFormat="1" applyFont="1" applyFill="1" applyBorder="1" applyAlignment="1">
      <alignment horizontal="center" vertical="center"/>
    </xf>
  </cellXfs>
  <cellStyles count="9">
    <cellStyle name="Comma [0]" xfId="5" builtinId="6"/>
    <cellStyle name="Normal" xfId="0" builtinId="0"/>
    <cellStyle name="Percent" xfId="1" builtinId="5"/>
    <cellStyle name="백분율 2" xfId="7" xr:uid="{74FAE034-EDF1-4B4D-8457-2769D84EC7DA}"/>
    <cellStyle name="쉼표 [0] 2" xfId="3" xr:uid="{23CAD7CB-97A0-470E-B402-B1B04DA7AA7D}"/>
    <cellStyle name="쉼표 [0] 26" xfId="4" xr:uid="{3A2C5D14-FD2D-479D-9C51-BD63A652FD68}"/>
    <cellStyle name="표준 2" xfId="2" xr:uid="{A496B72B-A359-45B2-97FD-E5C54410F8A1}"/>
    <cellStyle name="표준 3 4" xfId="8" xr:uid="{E9F30707-BF54-4363-A79E-89FB8CE5D665}"/>
    <cellStyle name="표준 8" xfId="6" xr:uid="{D448CF54-D4A7-4082-800D-F0ACC9847260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115956</xdr:colOff>
      <xdr:row>4</xdr:row>
      <xdr:rowOff>99391</xdr:rowOff>
    </xdr:from>
    <xdr:to>
      <xdr:col>22</xdr:col>
      <xdr:colOff>82824</xdr:colOff>
      <xdr:row>20</xdr:row>
      <xdr:rowOff>1</xdr:rowOff>
    </xdr:to>
    <xdr:sp macro="" textlink="">
      <xdr:nvSpPr>
        <xdr:cNvPr id="4" name="화살표: 아래쪽 3">
          <a:extLst>
            <a:ext uri="{FF2B5EF4-FFF2-40B4-BE49-F238E27FC236}">
              <a16:creationId xmlns:a16="http://schemas.microsoft.com/office/drawing/2014/main" id="{783BE2C3-9A8F-70ED-C035-262630491869}"/>
            </a:ext>
          </a:extLst>
        </xdr:cNvPr>
        <xdr:cNvSpPr/>
      </xdr:nvSpPr>
      <xdr:spPr>
        <a:xfrm>
          <a:off x="5474804" y="546652"/>
          <a:ext cx="149085" cy="2286001"/>
        </a:xfrm>
        <a:prstGeom prst="down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1D6F-3281-42B1-8E30-AD1B48E70AE1}">
  <dimension ref="B2:AG122"/>
  <sheetViews>
    <sheetView showGridLines="0" workbookViewId="0">
      <selection activeCell="D23" sqref="D23:E23"/>
    </sheetView>
  </sheetViews>
  <sheetFormatPr defaultRowHeight="13.2" outlineLevelRow="1" x14ac:dyDescent="0.3"/>
  <cols>
    <col min="2" max="2" width="12.125" customWidth="1"/>
    <col min="3" max="10" width="9.25" customWidth="1"/>
    <col min="11" max="11" width="17.75" customWidth="1"/>
    <col min="12" max="19" width="9.25" customWidth="1"/>
  </cols>
  <sheetData>
    <row r="2" spans="2:9" hidden="1" outlineLevel="1" x14ac:dyDescent="0.3">
      <c r="G2">
        <f>400/121</f>
        <v>3.3057851239669422</v>
      </c>
    </row>
    <row r="3" spans="2:9" collapsed="1" x14ac:dyDescent="0.3">
      <c r="B3" s="2" t="s">
        <v>0</v>
      </c>
    </row>
    <row r="4" spans="2:9" hidden="1" outlineLevel="1" x14ac:dyDescent="0.3"/>
    <row r="5" spans="2:9" hidden="1" outlineLevel="1" x14ac:dyDescent="0.3">
      <c r="B5" t="s">
        <v>102</v>
      </c>
    </row>
    <row r="6" spans="2:9" hidden="1" outlineLevel="1" x14ac:dyDescent="0.3">
      <c r="B6" t="s">
        <v>315</v>
      </c>
      <c r="C6" t="s">
        <v>316</v>
      </c>
    </row>
    <row r="7" spans="2:9" hidden="1" outlineLevel="1" x14ac:dyDescent="0.3">
      <c r="C7" s="249"/>
      <c r="D7" s="249"/>
      <c r="E7" s="249"/>
      <c r="F7" s="249"/>
      <c r="G7" s="249"/>
      <c r="H7" s="249"/>
      <c r="I7" s="249"/>
    </row>
    <row r="8" spans="2:9" hidden="1" outlineLevel="1" x14ac:dyDescent="0.3">
      <c r="B8" t="s">
        <v>313</v>
      </c>
      <c r="C8" s="255">
        <f>128702.1+5072.4</f>
        <v>133774.5</v>
      </c>
      <c r="D8" s="249">
        <f>C8/(400/121)</f>
        <v>40466.786249999997</v>
      </c>
      <c r="E8" s="249"/>
      <c r="F8" s="249"/>
      <c r="G8" s="249"/>
      <c r="H8" s="249"/>
      <c r="I8" s="249"/>
    </row>
    <row r="9" spans="2:9" hidden="1" outlineLevel="1" x14ac:dyDescent="0.3">
      <c r="B9" t="s">
        <v>314</v>
      </c>
      <c r="C9" s="255">
        <f>SUM(K38:K40,K46)</f>
        <v>51225.259999999995</v>
      </c>
      <c r="D9" s="249">
        <f>C9/(400/121)</f>
        <v>15495.641149999998</v>
      </c>
      <c r="E9" s="249"/>
      <c r="F9" s="249"/>
      <c r="G9" s="249"/>
      <c r="H9" s="249"/>
      <c r="I9" s="249"/>
    </row>
    <row r="10" spans="2:9" hidden="1" outlineLevel="1" x14ac:dyDescent="0.3">
      <c r="C10" s="249"/>
      <c r="D10" s="249"/>
      <c r="E10" s="249"/>
      <c r="F10" s="249"/>
      <c r="G10" s="249"/>
      <c r="H10" s="249"/>
      <c r="I10" s="249"/>
    </row>
    <row r="11" spans="2:9" hidden="1" outlineLevel="1" x14ac:dyDescent="0.3">
      <c r="C11" s="249"/>
      <c r="D11" s="249"/>
      <c r="E11" s="249"/>
      <c r="F11" s="249"/>
      <c r="G11" s="249"/>
      <c r="H11" s="249"/>
      <c r="I11" s="249"/>
    </row>
    <row r="12" spans="2:9" hidden="1" outlineLevel="1" x14ac:dyDescent="0.3">
      <c r="C12" s="249"/>
      <c r="D12" s="249"/>
      <c r="E12" s="249"/>
      <c r="F12" s="249"/>
      <c r="G12" s="249"/>
      <c r="H12" s="249"/>
      <c r="I12" s="249"/>
    </row>
    <row r="13" spans="2:9" hidden="1" outlineLevel="1" x14ac:dyDescent="0.3">
      <c r="C13" s="249"/>
      <c r="D13" s="249"/>
      <c r="E13" s="249"/>
      <c r="F13" s="249"/>
      <c r="G13" s="249"/>
      <c r="H13" s="249"/>
      <c r="I13" s="249"/>
    </row>
    <row r="14" spans="2:9" hidden="1" outlineLevel="1" x14ac:dyDescent="0.3">
      <c r="C14" s="249"/>
      <c r="D14" s="249"/>
      <c r="E14" s="249"/>
      <c r="F14" s="249"/>
      <c r="G14" s="249"/>
      <c r="H14" s="249"/>
      <c r="I14" s="249"/>
    </row>
    <row r="15" spans="2:9" collapsed="1" x14ac:dyDescent="0.3">
      <c r="C15" s="249"/>
      <c r="D15" s="249"/>
      <c r="E15" s="249"/>
      <c r="F15" s="249"/>
      <c r="G15" s="249"/>
      <c r="H15" s="249"/>
      <c r="I15" s="249"/>
    </row>
    <row r="16" spans="2:9" x14ac:dyDescent="0.3">
      <c r="B16" s="604" t="s">
        <v>144</v>
      </c>
      <c r="C16" s="605"/>
      <c r="D16" s="603" t="s">
        <v>478</v>
      </c>
      <c r="E16" s="604"/>
      <c r="F16" s="249"/>
      <c r="G16" s="249"/>
      <c r="H16" s="249"/>
      <c r="I16" s="249"/>
    </row>
    <row r="17" spans="2:9" x14ac:dyDescent="0.3">
      <c r="B17" s="320" t="s">
        <v>479</v>
      </c>
      <c r="C17" s="321"/>
      <c r="D17" s="322" t="s">
        <v>480</v>
      </c>
      <c r="E17" s="323"/>
      <c r="F17" s="249"/>
      <c r="G17" s="249"/>
      <c r="H17" s="249"/>
      <c r="I17" s="249"/>
    </row>
    <row r="18" spans="2:9" x14ac:dyDescent="0.3">
      <c r="B18" s="320" t="s">
        <v>481</v>
      </c>
      <c r="C18" s="321"/>
      <c r="D18" s="322" t="s">
        <v>482</v>
      </c>
      <c r="E18" s="323"/>
      <c r="F18" s="249"/>
      <c r="G18" s="249"/>
      <c r="H18" s="249"/>
      <c r="I18" s="249"/>
    </row>
    <row r="19" spans="2:9" x14ac:dyDescent="0.3">
      <c r="B19" s="320" t="s">
        <v>483</v>
      </c>
      <c r="C19" s="321"/>
      <c r="D19" s="322" t="s">
        <v>484</v>
      </c>
      <c r="E19" s="323"/>
      <c r="F19" s="249"/>
      <c r="G19" s="249"/>
      <c r="H19" s="249"/>
      <c r="I19" s="249"/>
    </row>
    <row r="20" spans="2:9" x14ac:dyDescent="0.3">
      <c r="B20" s="320" t="s">
        <v>485</v>
      </c>
      <c r="C20" s="321"/>
      <c r="D20" s="324">
        <v>133774.5</v>
      </c>
      <c r="E20" s="325">
        <f>D20/Unit</f>
        <v>40466.786249999997</v>
      </c>
      <c r="F20" s="249"/>
      <c r="G20" s="249"/>
      <c r="H20" s="249"/>
      <c r="I20" s="249"/>
    </row>
    <row r="21" spans="2:9" x14ac:dyDescent="0.3">
      <c r="B21" s="320" t="s">
        <v>486</v>
      </c>
      <c r="C21" s="321"/>
      <c r="D21" s="324">
        <f>D20</f>
        <v>133774.5</v>
      </c>
      <c r="E21" s="325">
        <f>D21/Unit</f>
        <v>40466.786249999997</v>
      </c>
      <c r="F21" s="249"/>
      <c r="G21" s="249"/>
      <c r="H21" s="249"/>
      <c r="I21" s="249"/>
    </row>
    <row r="22" spans="2:9" x14ac:dyDescent="0.3">
      <c r="B22" s="320" t="s">
        <v>487</v>
      </c>
      <c r="C22" s="321"/>
      <c r="D22" s="324">
        <v>57065.53</v>
      </c>
      <c r="E22" s="325">
        <f>D22/Unit</f>
        <v>17262.322824999999</v>
      </c>
      <c r="F22" s="249"/>
      <c r="G22" s="249"/>
      <c r="H22" s="249"/>
      <c r="I22" s="249"/>
    </row>
    <row r="23" spans="2:9" x14ac:dyDescent="0.3">
      <c r="B23" s="326" t="s">
        <v>488</v>
      </c>
      <c r="C23" s="327"/>
      <c r="D23" s="328">
        <f>K47</f>
        <v>56505.259173553706</v>
      </c>
      <c r="E23" s="325">
        <f>D23/Unit</f>
        <v>17092.840899999996</v>
      </c>
      <c r="F23" s="249"/>
      <c r="G23" s="249"/>
      <c r="H23" s="249"/>
      <c r="I23" s="249"/>
    </row>
    <row r="24" spans="2:9" x14ac:dyDescent="0.3">
      <c r="B24" s="327" t="s">
        <v>489</v>
      </c>
      <c r="C24" s="329" t="s">
        <v>490</v>
      </c>
      <c r="D24" s="330">
        <f>K47</f>
        <v>56505.259173553706</v>
      </c>
      <c r="E24" s="331">
        <f>D24/Unit</f>
        <v>17092.840899999996</v>
      </c>
      <c r="F24" s="249"/>
      <c r="G24" s="249"/>
      <c r="H24" s="249"/>
      <c r="I24" s="249"/>
    </row>
    <row r="25" spans="2:9" x14ac:dyDescent="0.3">
      <c r="B25" s="332"/>
      <c r="C25" s="333" t="s">
        <v>491</v>
      </c>
      <c r="D25" s="334"/>
      <c r="E25" s="335"/>
      <c r="F25" s="249"/>
      <c r="G25" s="249"/>
      <c r="H25" s="249"/>
      <c r="I25" s="249"/>
    </row>
    <row r="26" spans="2:9" x14ac:dyDescent="0.3">
      <c r="B26" s="336"/>
      <c r="C26" s="318" t="s">
        <v>10</v>
      </c>
      <c r="D26" s="324">
        <f>D25+D24</f>
        <v>56505.259173553706</v>
      </c>
      <c r="E26" s="325">
        <f>D26/Unit</f>
        <v>17092.840899999996</v>
      </c>
      <c r="F26" s="249"/>
      <c r="G26" s="249"/>
      <c r="H26" s="249"/>
      <c r="I26" s="249"/>
    </row>
    <row r="27" spans="2:9" x14ac:dyDescent="0.3">
      <c r="B27" s="320" t="s">
        <v>492</v>
      </c>
      <c r="C27" s="321"/>
      <c r="D27" s="337">
        <f>D22/D21</f>
        <v>0.42658002833125896</v>
      </c>
      <c r="E27" s="323" t="s">
        <v>493</v>
      </c>
      <c r="F27" s="249"/>
      <c r="G27" s="249"/>
      <c r="H27" s="249"/>
      <c r="I27" s="249"/>
    </row>
    <row r="28" spans="2:9" x14ac:dyDescent="0.3">
      <c r="B28" s="320" t="s">
        <v>494</v>
      </c>
      <c r="C28" s="321"/>
      <c r="D28" s="337">
        <f>D23/D21</f>
        <v>0.42239185475224134</v>
      </c>
      <c r="E28" s="323" t="s">
        <v>495</v>
      </c>
      <c r="F28" s="249"/>
      <c r="G28" s="249"/>
      <c r="H28" s="249"/>
      <c r="I28" s="249"/>
    </row>
    <row r="29" spans="2:9" x14ac:dyDescent="0.3">
      <c r="B29" s="320" t="s">
        <v>496</v>
      </c>
      <c r="C29" s="321"/>
      <c r="D29" s="322" t="s">
        <v>497</v>
      </c>
      <c r="E29" s="323"/>
      <c r="F29" s="249"/>
      <c r="G29" s="249"/>
      <c r="H29" s="249"/>
      <c r="I29" s="249"/>
    </row>
    <row r="30" spans="2:9" x14ac:dyDescent="0.3">
      <c r="B30" s="320" t="s">
        <v>498</v>
      </c>
      <c r="C30" s="321"/>
      <c r="D30" s="338" t="s">
        <v>499</v>
      </c>
      <c r="E30" s="323"/>
      <c r="F30" s="249"/>
      <c r="G30" s="249"/>
      <c r="H30" s="249"/>
      <c r="I30" s="249"/>
    </row>
    <row r="31" spans="2:9" x14ac:dyDescent="0.3">
      <c r="B31" s="320" t="s">
        <v>500</v>
      </c>
      <c r="C31" s="321"/>
      <c r="D31" s="322" t="s">
        <v>788</v>
      </c>
      <c r="E31" s="323"/>
      <c r="F31" s="249"/>
      <c r="G31" s="249"/>
      <c r="H31" s="249"/>
      <c r="I31" s="249"/>
    </row>
    <row r="32" spans="2:9" x14ac:dyDescent="0.3">
      <c r="B32" s="320" t="s">
        <v>501</v>
      </c>
      <c r="C32" s="321"/>
      <c r="D32" s="322" t="s">
        <v>502</v>
      </c>
      <c r="E32" s="323"/>
      <c r="F32" s="249"/>
      <c r="G32" s="249"/>
      <c r="H32" s="249"/>
      <c r="I32" s="249"/>
    </row>
    <row r="33" spans="2:19" x14ac:dyDescent="0.3">
      <c r="C33" s="249"/>
      <c r="D33" s="249"/>
      <c r="E33" s="249"/>
      <c r="F33" s="249"/>
      <c r="G33" s="249"/>
      <c r="H33" s="249"/>
      <c r="I33" s="249"/>
    </row>
    <row r="34" spans="2:19" x14ac:dyDescent="0.3">
      <c r="B34" s="2" t="s">
        <v>503</v>
      </c>
      <c r="C34" s="339"/>
      <c r="D34" s="339"/>
      <c r="E34" s="339"/>
      <c r="F34" s="339"/>
      <c r="G34" s="339"/>
      <c r="H34" s="339"/>
      <c r="I34" s="339"/>
      <c r="J34" s="339"/>
      <c r="K34" s="339"/>
      <c r="L34" s="339"/>
      <c r="M34" s="339"/>
      <c r="N34" s="339"/>
      <c r="O34" s="339"/>
      <c r="P34" s="339"/>
      <c r="Q34" s="339"/>
      <c r="R34" s="339"/>
    </row>
    <row r="35" spans="2:19" x14ac:dyDescent="0.3">
      <c r="B35" s="339"/>
      <c r="C35" s="339"/>
      <c r="D35" s="339"/>
      <c r="E35" s="339"/>
      <c r="F35" s="339"/>
      <c r="G35" s="339"/>
      <c r="H35" s="339"/>
      <c r="I35" s="339"/>
      <c r="J35" s="340"/>
      <c r="K35" s="339"/>
      <c r="L35" s="339"/>
      <c r="M35" s="339"/>
      <c r="N35" s="339"/>
      <c r="O35" s="339"/>
      <c r="P35" s="339"/>
      <c r="Q35" s="339"/>
      <c r="R35" s="339"/>
    </row>
    <row r="36" spans="2:19" x14ac:dyDescent="0.3">
      <c r="B36" s="605" t="s">
        <v>144</v>
      </c>
      <c r="C36" s="610"/>
      <c r="D36" s="610" t="s">
        <v>504</v>
      </c>
      <c r="E36" s="603" t="s">
        <v>505</v>
      </c>
      <c r="F36" s="604"/>
      <c r="G36" s="604"/>
      <c r="H36" s="604"/>
      <c r="I36" s="604"/>
      <c r="J36" s="605"/>
      <c r="K36" s="601" t="s">
        <v>107</v>
      </c>
      <c r="L36" s="603" t="s">
        <v>506</v>
      </c>
      <c r="M36" s="604"/>
      <c r="N36" s="604"/>
      <c r="O36" s="604"/>
      <c r="P36" s="604"/>
      <c r="Q36" s="605"/>
      <c r="R36" s="606" t="s">
        <v>107</v>
      </c>
    </row>
    <row r="37" spans="2:19" x14ac:dyDescent="0.3">
      <c r="B37" s="605"/>
      <c r="C37" s="610"/>
      <c r="D37" s="610"/>
      <c r="E37" s="341" t="s">
        <v>507</v>
      </c>
      <c r="F37" s="341" t="s">
        <v>508</v>
      </c>
      <c r="G37" s="341"/>
      <c r="H37" s="341"/>
      <c r="I37" s="341"/>
      <c r="J37" s="319"/>
      <c r="K37" s="602"/>
      <c r="L37" s="342" t="str">
        <f t="shared" ref="L37:Q37" si="0">E37</f>
        <v>지상1층</v>
      </c>
      <c r="M37" s="342" t="str">
        <f t="shared" si="0"/>
        <v>지상2층</v>
      </c>
      <c r="N37" s="342">
        <f t="shared" si="0"/>
        <v>0</v>
      </c>
      <c r="O37" s="342">
        <f t="shared" si="0"/>
        <v>0</v>
      </c>
      <c r="P37" s="342">
        <f t="shared" si="0"/>
        <v>0</v>
      </c>
      <c r="Q37" s="343">
        <f t="shared" si="0"/>
        <v>0</v>
      </c>
      <c r="R37" s="607"/>
    </row>
    <row r="38" spans="2:19" x14ac:dyDescent="0.3">
      <c r="B38" s="332" t="s">
        <v>509</v>
      </c>
      <c r="C38" s="344" t="s">
        <v>510</v>
      </c>
      <c r="D38" s="345" t="s">
        <v>511</v>
      </c>
      <c r="E38" s="346">
        <v>19864.310000000001</v>
      </c>
      <c r="F38" s="346"/>
      <c r="G38" s="346"/>
      <c r="H38" s="346"/>
      <c r="I38" s="346"/>
      <c r="J38" s="347"/>
      <c r="K38" s="346">
        <f t="shared" ref="K38:K47" si="1">SUM(E38:J38)</f>
        <v>19864.310000000001</v>
      </c>
      <c r="L38" s="348">
        <f>E38/Unit</f>
        <v>6008.953775</v>
      </c>
      <c r="M38" s="348"/>
      <c r="N38" s="345"/>
      <c r="O38" s="345"/>
      <c r="P38" s="345"/>
      <c r="Q38" s="345"/>
      <c r="R38" s="596">
        <f t="shared" ref="R38:R46" si="2">SUM(L38:Q38)</f>
        <v>6008.953775</v>
      </c>
    </row>
    <row r="39" spans="2:19" x14ac:dyDescent="0.3">
      <c r="B39" s="332"/>
      <c r="C39" s="344" t="s">
        <v>512</v>
      </c>
      <c r="D39" s="345" t="s">
        <v>513</v>
      </c>
      <c r="E39" s="346">
        <v>18889.14</v>
      </c>
      <c r="F39" s="346"/>
      <c r="G39" s="346"/>
      <c r="H39" s="346"/>
      <c r="I39" s="346"/>
      <c r="J39" s="347"/>
      <c r="K39" s="346">
        <f t="shared" si="1"/>
        <v>18889.14</v>
      </c>
      <c r="L39" s="348">
        <f>E39/Unit</f>
        <v>5713.9648499999994</v>
      </c>
      <c r="M39" s="348"/>
      <c r="N39" s="345"/>
      <c r="O39" s="345"/>
      <c r="P39" s="345"/>
      <c r="Q39" s="345"/>
      <c r="R39" s="345">
        <f t="shared" si="2"/>
        <v>5713.9648499999994</v>
      </c>
    </row>
    <row r="40" spans="2:19" x14ac:dyDescent="0.3">
      <c r="B40" s="332"/>
      <c r="C40" s="344" t="s">
        <v>514</v>
      </c>
      <c r="D40" s="345" t="s">
        <v>515</v>
      </c>
      <c r="E40" s="346">
        <v>10491.81</v>
      </c>
      <c r="F40" s="346"/>
      <c r="G40" s="346"/>
      <c r="H40" s="346"/>
      <c r="I40" s="346"/>
      <c r="J40" s="347"/>
      <c r="K40" s="346">
        <f t="shared" si="1"/>
        <v>10491.81</v>
      </c>
      <c r="L40" s="348">
        <f>E40/Unit</f>
        <v>3173.7725249999999</v>
      </c>
      <c r="M40" s="348"/>
      <c r="N40" s="345"/>
      <c r="O40" s="345"/>
      <c r="P40" s="345"/>
      <c r="Q40" s="345"/>
      <c r="R40" s="345">
        <f t="shared" si="2"/>
        <v>3173.7725249999999</v>
      </c>
      <c r="S40" s="249"/>
    </row>
    <row r="41" spans="2:19" x14ac:dyDescent="0.3">
      <c r="B41" s="332"/>
      <c r="C41" s="591" t="s">
        <v>516</v>
      </c>
      <c r="D41" s="592" t="s">
        <v>779</v>
      </c>
      <c r="E41" s="593">
        <f t="shared" ref="E41:E45" si="3">L41*400/121</f>
        <v>2644.6280991735539</v>
      </c>
      <c r="F41" s="593"/>
      <c r="G41" s="593"/>
      <c r="H41" s="593"/>
      <c r="I41" s="593"/>
      <c r="J41" s="594"/>
      <c r="K41" s="593">
        <f t="shared" si="1"/>
        <v>2644.6280991735539</v>
      </c>
      <c r="L41" s="595">
        <v>800</v>
      </c>
      <c r="M41" s="595"/>
      <c r="N41" s="592"/>
      <c r="O41" s="592"/>
      <c r="P41" s="592"/>
      <c r="Q41" s="592"/>
      <c r="R41" s="592">
        <f t="shared" si="2"/>
        <v>800</v>
      </c>
    </row>
    <row r="42" spans="2:19" x14ac:dyDescent="0.3">
      <c r="B42" s="332"/>
      <c r="C42" s="591" t="s">
        <v>791</v>
      </c>
      <c r="D42" s="592" t="s">
        <v>792</v>
      </c>
      <c r="E42" s="593">
        <v>651.9</v>
      </c>
      <c r="F42" s="593"/>
      <c r="G42" s="593"/>
      <c r="H42" s="593"/>
      <c r="I42" s="593"/>
      <c r="J42" s="594"/>
      <c r="K42" s="593">
        <f t="shared" si="1"/>
        <v>651.9</v>
      </c>
      <c r="L42" s="595">
        <v>197.19974999999999</v>
      </c>
      <c r="M42" s="595"/>
      <c r="N42" s="592"/>
      <c r="O42" s="592"/>
      <c r="P42" s="592"/>
      <c r="Q42" s="592"/>
      <c r="R42" s="592">
        <f t="shared" si="2"/>
        <v>197.19974999999999</v>
      </c>
      <c r="S42" t="s">
        <v>794</v>
      </c>
    </row>
    <row r="43" spans="2:19" x14ac:dyDescent="0.3">
      <c r="B43" s="332"/>
      <c r="C43" s="591" t="s">
        <v>517</v>
      </c>
      <c r="D43" s="592" t="s">
        <v>780</v>
      </c>
      <c r="E43" s="593">
        <f t="shared" si="3"/>
        <v>661.15702479338847</v>
      </c>
      <c r="F43" s="593"/>
      <c r="G43" s="593"/>
      <c r="H43" s="593"/>
      <c r="I43" s="593"/>
      <c r="J43" s="594"/>
      <c r="K43" s="593">
        <f t="shared" si="1"/>
        <v>661.15702479338847</v>
      </c>
      <c r="L43" s="595">
        <v>200</v>
      </c>
      <c r="M43" s="595"/>
      <c r="N43" s="592"/>
      <c r="O43" s="592"/>
      <c r="P43" s="592"/>
      <c r="Q43" s="592"/>
      <c r="R43" s="592">
        <f t="shared" si="2"/>
        <v>200</v>
      </c>
    </row>
    <row r="44" spans="2:19" x14ac:dyDescent="0.3">
      <c r="B44" s="332"/>
      <c r="C44" s="591" t="s">
        <v>781</v>
      </c>
      <c r="D44" s="592" t="s">
        <v>782</v>
      </c>
      <c r="E44" s="593">
        <f t="shared" si="3"/>
        <v>661.15702479338847</v>
      </c>
      <c r="F44" s="593"/>
      <c r="G44" s="593"/>
      <c r="H44" s="593"/>
      <c r="I44" s="593"/>
      <c r="J44" s="594"/>
      <c r="K44" s="593">
        <f t="shared" si="1"/>
        <v>661.15702479338847</v>
      </c>
      <c r="L44" s="595">
        <v>200</v>
      </c>
      <c r="M44" s="595"/>
      <c r="N44" s="592"/>
      <c r="O44" s="592"/>
      <c r="P44" s="592"/>
      <c r="Q44" s="592"/>
      <c r="R44" s="592">
        <f t="shared" si="2"/>
        <v>200</v>
      </c>
    </row>
    <row r="45" spans="2:19" x14ac:dyDescent="0.3">
      <c r="B45" s="332"/>
      <c r="C45" s="591" t="s">
        <v>783</v>
      </c>
      <c r="D45" s="592" t="s">
        <v>784</v>
      </c>
      <c r="E45" s="593">
        <f t="shared" si="3"/>
        <v>661.15702479338847</v>
      </c>
      <c r="F45" s="593"/>
      <c r="G45" s="593"/>
      <c r="H45" s="593"/>
      <c r="I45" s="593"/>
      <c r="J45" s="594"/>
      <c r="K45" s="593">
        <f t="shared" si="1"/>
        <v>661.15702479338847</v>
      </c>
      <c r="L45" s="595">
        <v>200</v>
      </c>
      <c r="M45" s="595"/>
      <c r="N45" s="592"/>
      <c r="O45" s="592"/>
      <c r="P45" s="592"/>
      <c r="Q45" s="592"/>
      <c r="R45" s="592">
        <f t="shared" si="2"/>
        <v>200</v>
      </c>
    </row>
    <row r="46" spans="2:19" ht="13.8" thickBot="1" x14ac:dyDescent="0.35">
      <c r="B46" s="332"/>
      <c r="C46" s="582" t="s">
        <v>785</v>
      </c>
      <c r="D46" s="583" t="s">
        <v>786</v>
      </c>
      <c r="E46" s="584">
        <v>990</v>
      </c>
      <c r="F46" s="584">
        <v>990</v>
      </c>
      <c r="G46" s="584"/>
      <c r="H46" s="584"/>
      <c r="I46" s="584"/>
      <c r="J46" s="585"/>
      <c r="K46" s="584">
        <f t="shared" si="1"/>
        <v>1980</v>
      </c>
      <c r="L46" s="586">
        <f>E46/Unit</f>
        <v>299.47499999999997</v>
      </c>
      <c r="M46" s="586">
        <f>F46/Unit</f>
        <v>299.47499999999997</v>
      </c>
      <c r="N46" s="583"/>
      <c r="O46" s="583"/>
      <c r="P46" s="583"/>
      <c r="Q46" s="583"/>
      <c r="R46" s="583">
        <f t="shared" si="2"/>
        <v>598.94999999999993</v>
      </c>
    </row>
    <row r="47" spans="2:19" ht="13.8" thickTop="1" x14ac:dyDescent="0.3">
      <c r="B47" s="608" t="s">
        <v>10</v>
      </c>
      <c r="C47" s="609"/>
      <c r="D47" s="349"/>
      <c r="E47" s="350">
        <f>SUM(E38:E46)</f>
        <v>55515.259173553706</v>
      </c>
      <c r="F47" s="350">
        <f>SUM(F38:F46)</f>
        <v>990</v>
      </c>
      <c r="G47" s="350">
        <f t="shared" ref="G47:J47" si="4">SUM(G38:G43)</f>
        <v>0</v>
      </c>
      <c r="H47" s="350">
        <f t="shared" si="4"/>
        <v>0</v>
      </c>
      <c r="I47" s="350">
        <f t="shared" si="4"/>
        <v>0</v>
      </c>
      <c r="J47" s="351">
        <f t="shared" si="4"/>
        <v>0</v>
      </c>
      <c r="K47" s="350">
        <f t="shared" si="1"/>
        <v>56505.259173553706</v>
      </c>
      <c r="L47" s="354">
        <f>SUM(L38:L46)</f>
        <v>16793.365899999997</v>
      </c>
      <c r="M47" s="354">
        <f t="shared" ref="M47:R47" si="5">SUM(M38:M46)</f>
        <v>299.47499999999997</v>
      </c>
      <c r="N47" s="350">
        <f t="shared" si="5"/>
        <v>0</v>
      </c>
      <c r="O47" s="350">
        <f t="shared" si="5"/>
        <v>0</v>
      </c>
      <c r="P47" s="350">
        <f t="shared" si="5"/>
        <v>0</v>
      </c>
      <c r="Q47" s="351">
        <f t="shared" si="5"/>
        <v>0</v>
      </c>
      <c r="R47" s="354">
        <f t="shared" si="5"/>
        <v>17092.840899999999</v>
      </c>
    </row>
    <row r="48" spans="2:19" x14ac:dyDescent="0.3">
      <c r="B48" s="339" t="s">
        <v>518</v>
      </c>
      <c r="C48" s="339"/>
      <c r="D48" s="339"/>
      <c r="E48" s="339"/>
      <c r="F48" s="339"/>
      <c r="G48" s="339"/>
      <c r="H48" s="339"/>
      <c r="I48" s="339"/>
      <c r="J48" s="339"/>
      <c r="K48" s="339"/>
      <c r="L48" s="339"/>
      <c r="M48" s="339"/>
      <c r="N48" s="339"/>
      <c r="O48" s="339"/>
      <c r="P48" s="352"/>
      <c r="Q48" s="339"/>
      <c r="R48" s="353"/>
    </row>
    <row r="49" spans="2:33" x14ac:dyDescent="0.3">
      <c r="C49" s="249"/>
      <c r="D49" s="249"/>
      <c r="E49" s="587">
        <f t="shared" ref="E49:F49" si="6">SUM(E38:E40,E46)</f>
        <v>50235.259999999995</v>
      </c>
      <c r="F49" s="587">
        <f t="shared" si="6"/>
        <v>990</v>
      </c>
      <c r="G49" s="588"/>
      <c r="H49" s="588"/>
      <c r="I49" s="588"/>
      <c r="J49" s="589"/>
      <c r="K49" s="587">
        <f>SUM(K38:K40,K46)</f>
        <v>51225.259999999995</v>
      </c>
      <c r="L49" s="590">
        <f t="shared" ref="L49:M49" si="7">SUM(L38:L40,L46)</f>
        <v>15196.166149999999</v>
      </c>
      <c r="M49" s="590">
        <f t="shared" si="7"/>
        <v>299.47499999999997</v>
      </c>
      <c r="N49" s="590"/>
      <c r="O49" s="590"/>
      <c r="P49" s="590"/>
      <c r="Q49" s="590"/>
      <c r="R49" s="590">
        <f>SUM(R38:R40,R46)</f>
        <v>15495.641149999999</v>
      </c>
      <c r="S49" s="498" t="s">
        <v>787</v>
      </c>
    </row>
    <row r="50" spans="2:33" x14ac:dyDescent="0.3">
      <c r="B50" s="2" t="s">
        <v>248</v>
      </c>
    </row>
    <row r="51" spans="2:33" x14ac:dyDescent="0.3">
      <c r="J51" t="s">
        <v>789</v>
      </c>
      <c r="K51" s="488">
        <v>56505.26</v>
      </c>
      <c r="L51" s="371" t="s">
        <v>793</v>
      </c>
      <c r="M51" s="371"/>
    </row>
    <row r="52" spans="2:33" x14ac:dyDescent="0.3">
      <c r="B52" s="1" t="s">
        <v>249</v>
      </c>
      <c r="J52" t="s">
        <v>790</v>
      </c>
      <c r="K52" s="488">
        <v>57065.53</v>
      </c>
    </row>
    <row r="53" spans="2:33" x14ac:dyDescent="0.3">
      <c r="AG53" t="s">
        <v>286</v>
      </c>
    </row>
    <row r="54" spans="2:33" x14ac:dyDescent="0.3">
      <c r="B54" s="597" t="s">
        <v>102</v>
      </c>
      <c r="C54" s="231" t="s">
        <v>250</v>
      </c>
      <c r="D54" s="231" t="s">
        <v>251</v>
      </c>
      <c r="E54" s="598" t="s">
        <v>252</v>
      </c>
      <c r="F54" s="598"/>
      <c r="G54" s="598" t="s">
        <v>253</v>
      </c>
      <c r="H54" s="598"/>
      <c r="I54" s="598"/>
      <c r="J54" s="599"/>
      <c r="K54" s="600" t="s">
        <v>137</v>
      </c>
      <c r="Z54" s="597" t="s">
        <v>102</v>
      </c>
      <c r="AA54" s="598" t="s">
        <v>283</v>
      </c>
      <c r="AB54" s="598"/>
      <c r="AC54" s="598" t="s">
        <v>258</v>
      </c>
      <c r="AD54" s="598"/>
      <c r="AE54" s="598"/>
      <c r="AF54" s="598" t="s">
        <v>259</v>
      </c>
      <c r="AG54" s="600"/>
    </row>
    <row r="55" spans="2:33" x14ac:dyDescent="0.3">
      <c r="B55" s="597"/>
      <c r="C55" s="233" t="s">
        <v>254</v>
      </c>
      <c r="D55" s="233" t="s">
        <v>254</v>
      </c>
      <c r="E55" s="232" t="s">
        <v>255</v>
      </c>
      <c r="F55" s="234" t="s">
        <v>256</v>
      </c>
      <c r="G55" s="234" t="s">
        <v>257</v>
      </c>
      <c r="H55" s="234" t="s">
        <v>258</v>
      </c>
      <c r="I55" s="234" t="s">
        <v>259</v>
      </c>
      <c r="J55" s="235" t="s">
        <v>73</v>
      </c>
      <c r="K55" s="600"/>
      <c r="Z55" s="597"/>
      <c r="AA55" s="232" t="s">
        <v>280</v>
      </c>
      <c r="AB55" s="232" t="s">
        <v>285</v>
      </c>
      <c r="AC55" s="232" t="s">
        <v>278</v>
      </c>
      <c r="AD55" s="232" t="s">
        <v>279</v>
      </c>
      <c r="AE55" s="232" t="s">
        <v>284</v>
      </c>
      <c r="AF55" s="598"/>
      <c r="AG55" s="600"/>
    </row>
    <row r="56" spans="2:33" x14ac:dyDescent="0.3">
      <c r="B56" s="56" t="s">
        <v>260</v>
      </c>
      <c r="C56" s="251">
        <v>3008</v>
      </c>
      <c r="D56" s="251">
        <v>1200</v>
      </c>
      <c r="E56" s="432">
        <f>민감도!D7</f>
        <v>23000</v>
      </c>
      <c r="F56" s="432" t="str">
        <f>민감도!E7</f>
        <v>-</v>
      </c>
      <c r="G56" s="236">
        <f>E56*AA56/1000000</f>
        <v>276</v>
      </c>
      <c r="H56" s="236">
        <f>E56*AC56*AD56/1000000</f>
        <v>92</v>
      </c>
      <c r="I56" s="236">
        <f>E56/$AC$63*AF56/1000000</f>
        <v>70</v>
      </c>
      <c r="J56" s="236">
        <f>SUM(G56:I56)</f>
        <v>438</v>
      </c>
      <c r="K56" s="238" t="s">
        <v>261</v>
      </c>
      <c r="Z56" s="56" t="str">
        <f>B56</f>
        <v>창고1</v>
      </c>
      <c r="AA56" s="236">
        <f>민감도!F7</f>
        <v>12000</v>
      </c>
      <c r="AB56" s="237" t="str">
        <f>민감도!G7</f>
        <v>-</v>
      </c>
      <c r="AC56" s="236">
        <f>민감도!H7</f>
        <v>400</v>
      </c>
      <c r="AD56" s="236">
        <f>민감도!I7</f>
        <v>10</v>
      </c>
      <c r="AE56" s="237" t="str">
        <f>민감도!J7</f>
        <v>-</v>
      </c>
      <c r="AF56" s="236">
        <f>민감도!K7</f>
        <v>70000</v>
      </c>
      <c r="AG56" s="238">
        <f>민감도!L7</f>
        <v>0</v>
      </c>
    </row>
    <row r="57" spans="2:33" x14ac:dyDescent="0.3">
      <c r="B57" s="56" t="s">
        <v>262</v>
      </c>
      <c r="C57" s="251">
        <v>3000</v>
      </c>
      <c r="D57" s="251">
        <v>1200</v>
      </c>
      <c r="E57" s="432">
        <f>민감도!D8</f>
        <v>23000</v>
      </c>
      <c r="F57" s="432" t="str">
        <f>민감도!E8</f>
        <v>-</v>
      </c>
      <c r="G57" s="236">
        <f t="shared" ref="G57:G58" si="8">E57*AA57/1000000</f>
        <v>276</v>
      </c>
      <c r="H57" s="236">
        <f>E57*AC57*AD57/1000000</f>
        <v>92</v>
      </c>
      <c r="I57" s="236">
        <f>E57/$AC$63*AF57/1000000</f>
        <v>70</v>
      </c>
      <c r="J57" s="236">
        <f t="shared" ref="J57:J62" si="9">SUM(G57:I57)</f>
        <v>438</v>
      </c>
      <c r="K57" s="238" t="s">
        <v>261</v>
      </c>
      <c r="Z57" s="56" t="str">
        <f t="shared" ref="Z57:Z62" si="10">B57</f>
        <v>창고2</v>
      </c>
      <c r="AA57" s="236">
        <f>민감도!F8</f>
        <v>12000</v>
      </c>
      <c r="AB57" s="237" t="str">
        <f>민감도!G8</f>
        <v>-</v>
      </c>
      <c r="AC57" s="236">
        <f>민감도!H8</f>
        <v>400</v>
      </c>
      <c r="AD57" s="236">
        <f>민감도!I8</f>
        <v>10</v>
      </c>
      <c r="AE57" s="237" t="str">
        <f>민감도!J8</f>
        <v>-</v>
      </c>
      <c r="AF57" s="236">
        <f>민감도!K8</f>
        <v>70000</v>
      </c>
      <c r="AG57" s="238">
        <f>민감도!L8</f>
        <v>0</v>
      </c>
    </row>
    <row r="58" spans="2:33" x14ac:dyDescent="0.3">
      <c r="B58" s="56" t="s">
        <v>263</v>
      </c>
      <c r="C58" s="251">
        <v>2857</v>
      </c>
      <c r="D58" s="251">
        <v>1200</v>
      </c>
      <c r="E58" s="432">
        <f>민감도!D9</f>
        <v>23000</v>
      </c>
      <c r="F58" s="432" t="str">
        <f>민감도!E9</f>
        <v>-</v>
      </c>
      <c r="G58" s="236">
        <f t="shared" si="8"/>
        <v>276</v>
      </c>
      <c r="H58" s="236">
        <f>E58*AC58*AD58/1000000</f>
        <v>92</v>
      </c>
      <c r="I58" s="236">
        <f>E58/$AC$63*AF58/1000000</f>
        <v>70</v>
      </c>
      <c r="J58" s="236">
        <f t="shared" si="9"/>
        <v>438</v>
      </c>
      <c r="K58" s="238" t="s">
        <v>261</v>
      </c>
      <c r="Z58" s="56" t="str">
        <f t="shared" si="10"/>
        <v>창고3</v>
      </c>
      <c r="AA58" s="236">
        <f>민감도!F9</f>
        <v>12000</v>
      </c>
      <c r="AB58" s="237" t="str">
        <f>민감도!G9</f>
        <v>-</v>
      </c>
      <c r="AC58" s="236">
        <f>민감도!H9</f>
        <v>400</v>
      </c>
      <c r="AD58" s="236">
        <f>민감도!I9</f>
        <v>10</v>
      </c>
      <c r="AE58" s="237" t="str">
        <f>민감도!J9</f>
        <v>-</v>
      </c>
      <c r="AF58" s="236">
        <f>민감도!K9</f>
        <v>70000</v>
      </c>
      <c r="AG58" s="238">
        <f>민감도!L9</f>
        <v>0</v>
      </c>
    </row>
    <row r="59" spans="2:33" x14ac:dyDescent="0.3">
      <c r="B59" s="56" t="s">
        <v>264</v>
      </c>
      <c r="C59" s="251">
        <v>2857</v>
      </c>
      <c r="D59" s="251">
        <v>1200</v>
      </c>
      <c r="E59" s="432">
        <f>민감도!D10</f>
        <v>30000</v>
      </c>
      <c r="F59" s="432" t="str">
        <f>민감도!E10</f>
        <v>-</v>
      </c>
      <c r="G59" s="236">
        <f>(E59*70%*AA59+E59*30%/AC63*AB59)/1000000</f>
        <v>227.93478260869566</v>
      </c>
      <c r="H59" s="236">
        <f>E59*AC59*AD59/1000000</f>
        <v>90</v>
      </c>
      <c r="I59" s="236">
        <f>E59/AC63*AF59/1000000</f>
        <v>65.217391304347828</v>
      </c>
      <c r="J59" s="236">
        <f t="shared" si="9"/>
        <v>383.15217391304344</v>
      </c>
      <c r="K59" s="238" t="s">
        <v>282</v>
      </c>
      <c r="Z59" s="56" t="str">
        <f t="shared" si="10"/>
        <v>창고4</v>
      </c>
      <c r="AA59" s="236">
        <f>민감도!F10</f>
        <v>7500</v>
      </c>
      <c r="AB59" s="236">
        <f>민감도!G10</f>
        <v>180000</v>
      </c>
      <c r="AC59" s="236">
        <f>민감도!H10</f>
        <v>100</v>
      </c>
      <c r="AD59" s="236">
        <f>민감도!I10</f>
        <v>30</v>
      </c>
      <c r="AE59" s="237" t="str">
        <f>민감도!J10</f>
        <v>-</v>
      </c>
      <c r="AF59" s="236">
        <f>민감도!K10</f>
        <v>50000</v>
      </c>
      <c r="AG59" s="238">
        <f>민감도!L10</f>
        <v>0</v>
      </c>
    </row>
    <row r="60" spans="2:33" x14ac:dyDescent="0.3">
      <c r="B60" s="56" t="s">
        <v>265</v>
      </c>
      <c r="C60" s="251">
        <v>1670</v>
      </c>
      <c r="D60" s="251">
        <v>660</v>
      </c>
      <c r="E60" s="432" t="str">
        <f>민감도!D11</f>
        <v>-</v>
      </c>
      <c r="F60" s="432">
        <f>민감도!E11</f>
        <v>400</v>
      </c>
      <c r="G60" s="236">
        <f>F60*AB60/1000000</f>
        <v>112</v>
      </c>
      <c r="H60" s="236">
        <f>C60*AE60/1000000</f>
        <v>30.06</v>
      </c>
      <c r="I60" s="236">
        <f>(F60*70%*AF60+F60*30%*AG60)/1000000</f>
        <v>28.4</v>
      </c>
      <c r="J60" s="236">
        <f t="shared" si="9"/>
        <v>170.46</v>
      </c>
      <c r="K60" s="238" t="s">
        <v>266</v>
      </c>
      <c r="Z60" s="56" t="str">
        <f t="shared" si="10"/>
        <v>창고5</v>
      </c>
      <c r="AA60" s="237" t="str">
        <f>민감도!F11</f>
        <v>-</v>
      </c>
      <c r="AB60" s="236">
        <f>민감도!G11</f>
        <v>280000</v>
      </c>
      <c r="AC60" s="237" t="str">
        <f>민감도!H11</f>
        <v>-</v>
      </c>
      <c r="AD60" s="237" t="str">
        <f>민감도!I11</f>
        <v>-</v>
      </c>
      <c r="AE60" s="236">
        <f>민감도!J11</f>
        <v>18000</v>
      </c>
      <c r="AF60" s="236">
        <f>민감도!K11</f>
        <v>80000</v>
      </c>
      <c r="AG60" s="238">
        <f>민감도!L11</f>
        <v>50000</v>
      </c>
    </row>
    <row r="61" spans="2:33" x14ac:dyDescent="0.3">
      <c r="B61" s="56" t="s">
        <v>267</v>
      </c>
      <c r="C61" s="251">
        <v>1504</v>
      </c>
      <c r="D61" s="251">
        <v>640</v>
      </c>
      <c r="E61" s="432" t="str">
        <f>민감도!D12</f>
        <v>-</v>
      </c>
      <c r="F61" s="432">
        <f>민감도!E12</f>
        <v>500</v>
      </c>
      <c r="G61" s="236">
        <f>F61*AB61/1000000</f>
        <v>90</v>
      </c>
      <c r="H61" s="236">
        <f>(C61*AE61+F61*AC61*AD61)/1000000</f>
        <v>52.072000000000003</v>
      </c>
      <c r="I61" s="236">
        <f>(F61*70%*AF61+F61*30%*AG61)/1000000</f>
        <v>22</v>
      </c>
      <c r="J61" s="236">
        <f t="shared" si="9"/>
        <v>164.072</v>
      </c>
      <c r="K61" s="238" t="s">
        <v>268</v>
      </c>
      <c r="Z61" s="56" t="str">
        <f t="shared" si="10"/>
        <v>창고6</v>
      </c>
      <c r="AA61" s="237" t="str">
        <f>민감도!F12</f>
        <v>-</v>
      </c>
      <c r="AB61" s="236">
        <f>민감도!G12</f>
        <v>180000</v>
      </c>
      <c r="AC61" s="236">
        <f>민감도!H12</f>
        <v>1666.6666666666667</v>
      </c>
      <c r="AD61" s="236">
        <f>민감도!I12</f>
        <v>30</v>
      </c>
      <c r="AE61" s="236">
        <f>민감도!J12</f>
        <v>18000</v>
      </c>
      <c r="AF61" s="236">
        <f>민감도!K12</f>
        <v>50000</v>
      </c>
      <c r="AG61" s="238">
        <f>민감도!L12</f>
        <v>30000</v>
      </c>
    </row>
    <row r="62" spans="2:33" x14ac:dyDescent="0.3">
      <c r="B62" s="56" t="s">
        <v>549</v>
      </c>
      <c r="C62" s="252" t="s">
        <v>120</v>
      </c>
      <c r="D62" s="252">
        <v>4700</v>
      </c>
      <c r="E62" s="432" t="str">
        <f>민감도!D13</f>
        <v>-</v>
      </c>
      <c r="F62" s="432">
        <f>민감도!E13</f>
        <v>400</v>
      </c>
      <c r="G62" s="236">
        <f>F62*AB62/1000000</f>
        <v>16</v>
      </c>
      <c r="H62" s="236">
        <f>F62*AC62*AD62/1000000</f>
        <v>20</v>
      </c>
      <c r="I62" s="236">
        <f>(F62*70%*AF62+F62*30%*AG62)/1000000</f>
        <v>28.4</v>
      </c>
      <c r="J62" s="236">
        <f t="shared" si="9"/>
        <v>64.400000000000006</v>
      </c>
      <c r="K62" s="238" t="s">
        <v>270</v>
      </c>
      <c r="Z62" s="56" t="str">
        <f t="shared" si="10"/>
        <v>컨테이너장치장</v>
      </c>
      <c r="AA62" s="237" t="str">
        <f>민감도!F13</f>
        <v>-</v>
      </c>
      <c r="AB62" s="236">
        <f>민감도!G13</f>
        <v>40000</v>
      </c>
      <c r="AC62" s="236">
        <f>민감도!H13</f>
        <v>5000</v>
      </c>
      <c r="AD62" s="236">
        <f>민감도!I13</f>
        <v>10</v>
      </c>
      <c r="AE62" s="237" t="str">
        <f>민감도!J13</f>
        <v>-</v>
      </c>
      <c r="AF62" s="236">
        <f>민감도!K13</f>
        <v>80000</v>
      </c>
      <c r="AG62" s="238">
        <f>민감도!L13</f>
        <v>50000</v>
      </c>
    </row>
    <row r="63" spans="2:33" ht="13.8" thickBot="1" x14ac:dyDescent="0.35">
      <c r="B63" s="239" t="s">
        <v>271</v>
      </c>
      <c r="C63" s="253" t="s">
        <v>120</v>
      </c>
      <c r="D63" s="253">
        <v>6709</v>
      </c>
      <c r="E63" s="432">
        <f>민감도!D14</f>
        <v>0</v>
      </c>
      <c r="F63" s="432">
        <f>민감도!E14</f>
        <v>0</v>
      </c>
      <c r="G63" s="240" t="s">
        <v>120</v>
      </c>
      <c r="H63" s="240" t="s">
        <v>120</v>
      </c>
      <c r="I63" s="240" t="s">
        <v>120</v>
      </c>
      <c r="J63" s="254">
        <v>1</v>
      </c>
      <c r="K63" s="241" t="s">
        <v>272</v>
      </c>
      <c r="Z63" t="s">
        <v>281</v>
      </c>
      <c r="AA63" s="249"/>
      <c r="AB63" s="249"/>
      <c r="AC63" s="255">
        <v>23</v>
      </c>
    </row>
    <row r="64" spans="2:33" ht="13.8" thickTop="1" x14ac:dyDescent="0.3">
      <c r="B64" s="242" t="s">
        <v>107</v>
      </c>
      <c r="C64" s="243">
        <v>14897</v>
      </c>
      <c r="D64" s="243">
        <f>SUM(D56:D63)</f>
        <v>17509</v>
      </c>
      <c r="E64" s="243">
        <f t="shared" ref="E64:J64" si="11">SUM(E56:E63)</f>
        <v>99000</v>
      </c>
      <c r="F64" s="243">
        <f t="shared" si="11"/>
        <v>1300</v>
      </c>
      <c r="G64" s="243">
        <f t="shared" si="11"/>
        <v>1273.9347826086957</v>
      </c>
      <c r="H64" s="243">
        <f t="shared" si="11"/>
        <v>468.13200000000001</v>
      </c>
      <c r="I64" s="243">
        <f t="shared" si="11"/>
        <v>354.01739130434777</v>
      </c>
      <c r="J64" s="243">
        <f t="shared" si="11"/>
        <v>2097.0841739130437</v>
      </c>
      <c r="K64" s="244"/>
      <c r="AA64" s="249"/>
      <c r="AB64" s="249"/>
      <c r="AC64" s="249"/>
      <c r="AD64" s="249"/>
      <c r="AE64" s="249"/>
      <c r="AF64" s="249"/>
      <c r="AG64" s="249"/>
    </row>
    <row r="65" spans="2:33" x14ac:dyDescent="0.3">
      <c r="B65" s="245" t="s">
        <v>136</v>
      </c>
      <c r="C65" s="246"/>
      <c r="D65" s="246"/>
      <c r="E65" s="246"/>
      <c r="F65" s="246"/>
      <c r="G65" s="247">
        <f>G64/$J$64</f>
        <v>0.60747908856305155</v>
      </c>
      <c r="H65" s="247">
        <f t="shared" ref="H65:J65" si="12">H64/$J$64</f>
        <v>0.22322995224673858</v>
      </c>
      <c r="I65" s="247">
        <f t="shared" si="12"/>
        <v>0.16881410660964113</v>
      </c>
      <c r="J65" s="247">
        <f t="shared" si="12"/>
        <v>1</v>
      </c>
      <c r="K65" s="248"/>
      <c r="AD65" s="249"/>
      <c r="AE65" s="249"/>
      <c r="AF65" s="249"/>
      <c r="AG65" s="249"/>
    </row>
    <row r="66" spans="2:33" x14ac:dyDescent="0.3">
      <c r="C66" s="249"/>
      <c r="D66" s="249"/>
      <c r="E66" s="249"/>
      <c r="F66" s="249"/>
      <c r="G66" s="250">
        <f>'추정매출(1안)'!F17/1000</f>
        <v>1269.3</v>
      </c>
      <c r="H66" s="250">
        <f>'추정매출(1안)'!J17/1000</f>
        <v>469.5</v>
      </c>
      <c r="I66" s="250">
        <f>'추정매출(1안)'!K17/1000</f>
        <v>352.36539130434784</v>
      </c>
      <c r="J66" s="249">
        <f>SUM(G66:I66)</f>
        <v>2091.1653913043478</v>
      </c>
      <c r="K66" s="249"/>
      <c r="AA66" s="249"/>
      <c r="AB66" s="249"/>
      <c r="AC66" s="249"/>
      <c r="AD66" s="249"/>
      <c r="AE66" s="249"/>
      <c r="AF66" s="249"/>
      <c r="AG66" s="249"/>
    </row>
    <row r="67" spans="2:33" x14ac:dyDescent="0.3">
      <c r="B67" t="s">
        <v>328</v>
      </c>
      <c r="C67" s="249"/>
      <c r="D67" s="249"/>
      <c r="E67" s="249"/>
      <c r="F67" s="249"/>
      <c r="G67" s="249"/>
      <c r="H67" s="249"/>
      <c r="I67" s="249"/>
      <c r="J67" s="249"/>
      <c r="K67" s="249"/>
      <c r="AA67" s="249"/>
      <c r="AB67" s="249"/>
      <c r="AC67" s="249"/>
      <c r="AD67" s="249"/>
      <c r="AE67" s="249"/>
      <c r="AF67" s="249"/>
      <c r="AG67" s="249"/>
    </row>
    <row r="68" spans="2:33" x14ac:dyDescent="0.3">
      <c r="C68" s="249"/>
      <c r="D68" s="267" t="s">
        <v>128</v>
      </c>
      <c r="E68" s="249"/>
      <c r="F68" s="249"/>
      <c r="G68" s="249"/>
      <c r="H68" s="249"/>
      <c r="I68" s="249"/>
      <c r="J68" s="249"/>
      <c r="K68" s="249"/>
      <c r="AA68" s="249"/>
      <c r="AB68" s="249"/>
      <c r="AC68" s="249"/>
      <c r="AD68" s="249"/>
      <c r="AE68" s="249"/>
      <c r="AF68" s="249"/>
      <c r="AG68" s="249"/>
    </row>
    <row r="69" spans="2:33" x14ac:dyDescent="0.3">
      <c r="B69" s="54" t="s">
        <v>102</v>
      </c>
      <c r="C69" s="234" t="s">
        <v>132</v>
      </c>
      <c r="D69" s="272" t="s">
        <v>137</v>
      </c>
      <c r="E69" s="249"/>
      <c r="F69" s="249"/>
      <c r="G69" s="249"/>
      <c r="H69" s="249"/>
      <c r="I69" s="249"/>
      <c r="J69" s="249"/>
      <c r="K69" s="249"/>
      <c r="AA69" s="249"/>
      <c r="AB69" s="249"/>
      <c r="AC69" s="249"/>
      <c r="AD69" s="249"/>
      <c r="AE69" s="249"/>
      <c r="AF69" s="249"/>
      <c r="AG69" s="249"/>
    </row>
    <row r="70" spans="2:33" x14ac:dyDescent="0.3">
      <c r="B70" s="56" t="s">
        <v>329</v>
      </c>
      <c r="C70" s="265">
        <f>'첨부1 추정손익(태양광 포함)'!C8/1000</f>
        <v>613.20000000000005</v>
      </c>
      <c r="D70" s="238" t="s">
        <v>331</v>
      </c>
      <c r="E70" s="249"/>
      <c r="F70" s="273">
        <v>5.0000000000000001E-3</v>
      </c>
      <c r="G70" s="249"/>
      <c r="H70" s="249"/>
      <c r="I70" s="249"/>
      <c r="J70" s="249"/>
      <c r="K70" s="249"/>
      <c r="AA70" s="249"/>
      <c r="AB70" s="249"/>
      <c r="AC70" s="249"/>
      <c r="AD70" s="249"/>
      <c r="AE70" s="249"/>
      <c r="AF70" s="249"/>
      <c r="AG70" s="249"/>
    </row>
    <row r="71" spans="2:33" x14ac:dyDescent="0.3">
      <c r="C71" s="249"/>
      <c r="D71" s="249"/>
      <c r="E71" s="249"/>
      <c r="F71" s="249"/>
      <c r="G71" s="249"/>
      <c r="H71" s="249"/>
      <c r="I71" s="249"/>
      <c r="J71" s="249"/>
      <c r="K71" s="249"/>
      <c r="AA71" s="249"/>
      <c r="AB71" s="249"/>
      <c r="AC71" s="249"/>
      <c r="AD71" s="249"/>
      <c r="AE71" s="249"/>
      <c r="AF71" s="249"/>
      <c r="AG71" s="249"/>
    </row>
    <row r="72" spans="2:33" x14ac:dyDescent="0.3">
      <c r="B72" t="s">
        <v>330</v>
      </c>
      <c r="C72" s="249"/>
      <c r="D72" s="249"/>
      <c r="E72" s="249"/>
      <c r="F72" s="249"/>
      <c r="G72" s="249"/>
      <c r="H72" s="249"/>
      <c r="I72" s="249"/>
      <c r="J72" s="249"/>
      <c r="K72" s="249"/>
      <c r="AA72" s="249"/>
      <c r="AB72" s="249"/>
      <c r="AC72" s="249"/>
      <c r="AD72" s="249"/>
      <c r="AE72" s="249"/>
      <c r="AF72" s="249"/>
      <c r="AG72" s="249"/>
    </row>
    <row r="73" spans="2:33" x14ac:dyDescent="0.3">
      <c r="C73" s="249"/>
      <c r="D73" s="249"/>
      <c r="E73" s="249"/>
      <c r="F73" s="249"/>
      <c r="G73" s="249"/>
      <c r="H73" s="249"/>
      <c r="I73" s="249"/>
      <c r="J73" s="249"/>
      <c r="K73" s="249"/>
      <c r="AA73" s="249"/>
      <c r="AB73" s="249"/>
      <c r="AC73" s="249"/>
      <c r="AD73" s="249"/>
      <c r="AE73" s="249"/>
      <c r="AF73" s="249"/>
      <c r="AG73" s="249"/>
    </row>
    <row r="74" spans="2:33" x14ac:dyDescent="0.3">
      <c r="B74" s="1" t="s">
        <v>324</v>
      </c>
      <c r="E74" s="249"/>
      <c r="F74" s="249"/>
      <c r="G74" s="249"/>
      <c r="H74" s="249"/>
      <c r="I74" s="249"/>
      <c r="J74" s="249"/>
      <c r="K74" s="249"/>
      <c r="AA74" s="249"/>
      <c r="AB74" s="249"/>
      <c r="AC74" s="249"/>
      <c r="AD74" s="249"/>
      <c r="AE74" s="249"/>
      <c r="AF74" s="249"/>
      <c r="AG74" s="249"/>
    </row>
    <row r="75" spans="2:33" x14ac:dyDescent="0.3">
      <c r="AA75" s="249"/>
      <c r="AB75" s="249"/>
      <c r="AC75" s="249"/>
      <c r="AD75" s="249"/>
      <c r="AE75" s="249"/>
      <c r="AF75" s="249"/>
      <c r="AG75" s="249"/>
    </row>
    <row r="76" spans="2:33" x14ac:dyDescent="0.3">
      <c r="B76" s="597" t="s">
        <v>102</v>
      </c>
      <c r="C76" s="231" t="s">
        <v>250</v>
      </c>
      <c r="D76" s="231" t="s">
        <v>251</v>
      </c>
      <c r="E76" s="598" t="s">
        <v>252</v>
      </c>
      <c r="F76" s="598"/>
      <c r="G76" s="598" t="s">
        <v>273</v>
      </c>
      <c r="H76" s="598"/>
      <c r="I76" s="598"/>
      <c r="J76" s="599"/>
      <c r="K76" s="600" t="s">
        <v>137</v>
      </c>
      <c r="Z76" s="597" t="s">
        <v>102</v>
      </c>
      <c r="AA76" s="598" t="s">
        <v>283</v>
      </c>
      <c r="AB76" s="598"/>
      <c r="AC76" s="598" t="s">
        <v>259</v>
      </c>
      <c r="AD76" s="600"/>
      <c r="AE76" s="249"/>
    </row>
    <row r="77" spans="2:33" x14ac:dyDescent="0.3">
      <c r="B77" s="597"/>
      <c r="C77" s="233" t="s">
        <v>254</v>
      </c>
      <c r="D77" s="233" t="s">
        <v>254</v>
      </c>
      <c r="E77" s="232" t="s">
        <v>255</v>
      </c>
      <c r="F77" s="234" t="s">
        <v>256</v>
      </c>
      <c r="G77" s="234" t="s">
        <v>257</v>
      </c>
      <c r="H77" s="234" t="s">
        <v>258</v>
      </c>
      <c r="I77" s="234" t="s">
        <v>259</v>
      </c>
      <c r="J77" s="235" t="s">
        <v>73</v>
      </c>
      <c r="K77" s="600"/>
      <c r="Z77" s="597"/>
      <c r="AA77" s="232" t="s">
        <v>280</v>
      </c>
      <c r="AB77" s="232" t="s">
        <v>285</v>
      </c>
      <c r="AC77" s="598"/>
      <c r="AD77" s="600"/>
      <c r="AE77" s="249"/>
    </row>
    <row r="78" spans="2:33" x14ac:dyDescent="0.3">
      <c r="B78" s="56" t="s">
        <v>260</v>
      </c>
      <c r="C78" s="236">
        <f>C56</f>
        <v>3008</v>
      </c>
      <c r="D78" s="236">
        <f t="shared" ref="D78:F78" si="13">D56</f>
        <v>1200</v>
      </c>
      <c r="E78" s="236">
        <f t="shared" si="13"/>
        <v>23000</v>
      </c>
      <c r="F78" s="237" t="str">
        <f t="shared" si="13"/>
        <v>-</v>
      </c>
      <c r="G78" s="236">
        <f>E78*AA78/1000000</f>
        <v>230</v>
      </c>
      <c r="H78" s="237" t="s">
        <v>120</v>
      </c>
      <c r="I78" s="236">
        <f>I56*AD78</f>
        <v>63</v>
      </c>
      <c r="J78" s="236">
        <f>SUM(G78:I78)</f>
        <v>293</v>
      </c>
      <c r="K78" s="238" t="s">
        <v>560</v>
      </c>
      <c r="Z78" s="56" t="str">
        <f>B78</f>
        <v>창고1</v>
      </c>
      <c r="AA78" s="236">
        <f>민감도!D17</f>
        <v>10000</v>
      </c>
      <c r="AB78" s="237" t="str">
        <f>민감도!E17</f>
        <v>-</v>
      </c>
      <c r="AC78" s="236">
        <f>민감도!F17</f>
        <v>63000</v>
      </c>
      <c r="AD78" s="439">
        <f>민감도!G17</f>
        <v>0.9</v>
      </c>
      <c r="AE78" s="249"/>
    </row>
    <row r="79" spans="2:33" x14ac:dyDescent="0.3">
      <c r="B79" s="56" t="s">
        <v>262</v>
      </c>
      <c r="C79" s="236">
        <f t="shared" ref="C79:F79" si="14">C57</f>
        <v>3000</v>
      </c>
      <c r="D79" s="236">
        <f t="shared" si="14"/>
        <v>1200</v>
      </c>
      <c r="E79" s="236">
        <f t="shared" si="14"/>
        <v>23000</v>
      </c>
      <c r="F79" s="237" t="str">
        <f t="shared" si="14"/>
        <v>-</v>
      </c>
      <c r="G79" s="236">
        <f t="shared" ref="G79:G80" si="15">E79*AA79/1000000</f>
        <v>230</v>
      </c>
      <c r="H79" s="237" t="s">
        <v>120</v>
      </c>
      <c r="I79" s="236">
        <f>I57*AD79</f>
        <v>63</v>
      </c>
      <c r="J79" s="236">
        <f t="shared" ref="J79:J84" si="16">SUM(G79:I79)</f>
        <v>293</v>
      </c>
      <c r="K79" s="238" t="s">
        <v>559</v>
      </c>
      <c r="Z79" s="56" t="str">
        <f t="shared" ref="Z79:Z84" si="17">B79</f>
        <v>창고2</v>
      </c>
      <c r="AA79" s="236">
        <f>민감도!D18</f>
        <v>10000</v>
      </c>
      <c r="AB79" s="237" t="str">
        <f>민감도!E18</f>
        <v>-</v>
      </c>
      <c r="AC79" s="236">
        <f>민감도!F18</f>
        <v>63000</v>
      </c>
      <c r="AD79" s="439">
        <f>민감도!G18</f>
        <v>0.9</v>
      </c>
      <c r="AE79" s="249"/>
    </row>
    <row r="80" spans="2:33" x14ac:dyDescent="0.3">
      <c r="B80" s="56" t="s">
        <v>263</v>
      </c>
      <c r="C80" s="236">
        <f t="shared" ref="C80:F80" si="18">C58</f>
        <v>2857</v>
      </c>
      <c r="D80" s="236">
        <f t="shared" si="18"/>
        <v>1200</v>
      </c>
      <c r="E80" s="236">
        <f t="shared" si="18"/>
        <v>23000</v>
      </c>
      <c r="F80" s="237" t="str">
        <f t="shared" si="18"/>
        <v>-</v>
      </c>
      <c r="G80" s="236">
        <f t="shared" si="15"/>
        <v>230</v>
      </c>
      <c r="H80" s="237" t="s">
        <v>120</v>
      </c>
      <c r="I80" s="236">
        <f>I58*AD80</f>
        <v>63</v>
      </c>
      <c r="J80" s="236">
        <f t="shared" si="16"/>
        <v>293</v>
      </c>
      <c r="K80" s="238" t="s">
        <v>559</v>
      </c>
      <c r="Z80" s="56" t="str">
        <f t="shared" si="17"/>
        <v>창고3</v>
      </c>
      <c r="AA80" s="236">
        <f>민감도!D19</f>
        <v>10000</v>
      </c>
      <c r="AB80" s="237" t="str">
        <f>민감도!E19</f>
        <v>-</v>
      </c>
      <c r="AC80" s="236">
        <f>민감도!F19</f>
        <v>63000</v>
      </c>
      <c r="AD80" s="439">
        <f>민감도!G19</f>
        <v>0.9</v>
      </c>
      <c r="AE80" s="249"/>
    </row>
    <row r="81" spans="2:31" x14ac:dyDescent="0.3">
      <c r="B81" s="56" t="s">
        <v>264</v>
      </c>
      <c r="C81" s="236">
        <f t="shared" ref="C81:F81" si="19">C59</f>
        <v>2857</v>
      </c>
      <c r="D81" s="236">
        <f t="shared" si="19"/>
        <v>1200</v>
      </c>
      <c r="E81" s="236">
        <f t="shared" si="19"/>
        <v>30000</v>
      </c>
      <c r="F81" s="237" t="str">
        <f t="shared" si="19"/>
        <v>-</v>
      </c>
      <c r="G81" s="236">
        <f>(E81*70%*AA81+E81*30%/AC63*AB81)/1000000</f>
        <v>191.28260869565219</v>
      </c>
      <c r="H81" s="237" t="s">
        <v>120</v>
      </c>
      <c r="I81" s="236">
        <f>I59*AD81</f>
        <v>58.695652173913047</v>
      </c>
      <c r="J81" s="236">
        <f t="shared" si="16"/>
        <v>249.97826086956525</v>
      </c>
      <c r="K81" s="238" t="s">
        <v>287</v>
      </c>
      <c r="Z81" s="56" t="str">
        <f t="shared" si="17"/>
        <v>창고4</v>
      </c>
      <c r="AA81" s="236">
        <f>민감도!D20</f>
        <v>6500</v>
      </c>
      <c r="AB81" s="236">
        <f>민감도!E20</f>
        <v>140000</v>
      </c>
      <c r="AC81" s="236">
        <f>민감도!F20</f>
        <v>45000</v>
      </c>
      <c r="AD81" s="439">
        <f>민감도!G20</f>
        <v>0.9</v>
      </c>
      <c r="AE81" s="249"/>
    </row>
    <row r="82" spans="2:31" x14ac:dyDescent="0.3">
      <c r="B82" s="56" t="s">
        <v>265</v>
      </c>
      <c r="C82" s="236">
        <f t="shared" ref="C82:F82" si="20">C60</f>
        <v>1670</v>
      </c>
      <c r="D82" s="236">
        <f t="shared" si="20"/>
        <v>660</v>
      </c>
      <c r="E82" s="237" t="str">
        <f t="shared" si="20"/>
        <v>-</v>
      </c>
      <c r="F82" s="236">
        <f t="shared" si="20"/>
        <v>400</v>
      </c>
      <c r="G82" s="236">
        <f>F82*AB82/1000000</f>
        <v>72</v>
      </c>
      <c r="H82" s="237" t="s">
        <v>120</v>
      </c>
      <c r="I82" s="236">
        <f>(F82*70%*AC82+F82*30%*AD82)/1000000</f>
        <v>25</v>
      </c>
      <c r="J82" s="236">
        <f t="shared" si="16"/>
        <v>97</v>
      </c>
      <c r="K82" s="238" t="s">
        <v>274</v>
      </c>
      <c r="Z82" s="56" t="str">
        <f t="shared" si="17"/>
        <v>창고5</v>
      </c>
      <c r="AA82" s="237" t="str">
        <f>민감도!D21</f>
        <v>-</v>
      </c>
      <c r="AB82" s="236">
        <f>민감도!E21</f>
        <v>180000</v>
      </c>
      <c r="AC82" s="236">
        <f>민감도!F21</f>
        <v>70000</v>
      </c>
      <c r="AD82" s="238">
        <f>민감도!G21</f>
        <v>45000</v>
      </c>
      <c r="AE82" s="249"/>
    </row>
    <row r="83" spans="2:31" x14ac:dyDescent="0.3">
      <c r="B83" s="56" t="s">
        <v>267</v>
      </c>
      <c r="C83" s="236">
        <f t="shared" ref="C83:F83" si="21">C61</f>
        <v>1504</v>
      </c>
      <c r="D83" s="236">
        <f t="shared" si="21"/>
        <v>640</v>
      </c>
      <c r="E83" s="237" t="str">
        <f t="shared" si="21"/>
        <v>-</v>
      </c>
      <c r="F83" s="236">
        <f t="shared" si="21"/>
        <v>500</v>
      </c>
      <c r="G83" s="236">
        <f>F83*AB83/1000000</f>
        <v>70</v>
      </c>
      <c r="H83" s="237" t="s">
        <v>120</v>
      </c>
      <c r="I83" s="236">
        <f>(F83*70%*AC83+F83*30%*AD83)/1000000</f>
        <v>19.8</v>
      </c>
      <c r="J83" s="236">
        <f t="shared" si="16"/>
        <v>89.8</v>
      </c>
      <c r="K83" s="238" t="s">
        <v>275</v>
      </c>
      <c r="Z83" s="56" t="str">
        <f t="shared" si="17"/>
        <v>창고6</v>
      </c>
      <c r="AA83" s="237" t="str">
        <f>민감도!D22</f>
        <v>-</v>
      </c>
      <c r="AB83" s="236">
        <f>민감도!E22</f>
        <v>140000</v>
      </c>
      <c r="AC83" s="236">
        <f>민감도!F22</f>
        <v>45000</v>
      </c>
      <c r="AD83" s="238">
        <f>민감도!G22</f>
        <v>27000</v>
      </c>
      <c r="AE83" s="249"/>
    </row>
    <row r="84" spans="2:31" x14ac:dyDescent="0.3">
      <c r="B84" s="56" t="s">
        <v>269</v>
      </c>
      <c r="C84" s="237" t="str">
        <f t="shared" ref="C84:F84" si="22">C62</f>
        <v>-</v>
      </c>
      <c r="D84" s="237">
        <f t="shared" si="22"/>
        <v>4700</v>
      </c>
      <c r="E84" s="237" t="str">
        <f t="shared" si="22"/>
        <v>-</v>
      </c>
      <c r="F84" s="236">
        <f t="shared" si="22"/>
        <v>400</v>
      </c>
      <c r="G84" s="236">
        <f>F84*AB84/1000000</f>
        <v>8</v>
      </c>
      <c r="H84" s="237" t="s">
        <v>120</v>
      </c>
      <c r="I84" s="236">
        <f>(F84*70%*AC84+F84*30%*AD84)/1000000</f>
        <v>25</v>
      </c>
      <c r="J84" s="236">
        <f t="shared" si="16"/>
        <v>33</v>
      </c>
      <c r="K84" s="238" t="s">
        <v>276</v>
      </c>
      <c r="Z84" s="56" t="str">
        <f t="shared" si="17"/>
        <v>컨테이너장차장</v>
      </c>
      <c r="AA84" s="237" t="str">
        <f>민감도!D23</f>
        <v>-</v>
      </c>
      <c r="AB84" s="236">
        <f>민감도!E23</f>
        <v>20000</v>
      </c>
      <c r="AC84" s="236">
        <f>민감도!F23</f>
        <v>70000</v>
      </c>
      <c r="AD84" s="238">
        <f>민감도!G23</f>
        <v>45000</v>
      </c>
      <c r="AE84" s="249"/>
    </row>
    <row r="85" spans="2:31" ht="13.8" thickBot="1" x14ac:dyDescent="0.35">
      <c r="B85" s="239" t="s">
        <v>271</v>
      </c>
      <c r="C85" s="240" t="str">
        <f t="shared" ref="C85:F85" si="23">C63</f>
        <v>-</v>
      </c>
      <c r="D85" s="240">
        <f t="shared" si="23"/>
        <v>6709</v>
      </c>
      <c r="E85" s="240">
        <f t="shared" si="23"/>
        <v>0</v>
      </c>
      <c r="F85" s="240">
        <f t="shared" si="23"/>
        <v>0</v>
      </c>
      <c r="G85" s="240" t="s">
        <v>120</v>
      </c>
      <c r="H85" s="240" t="s">
        <v>120</v>
      </c>
      <c r="I85" s="240" t="s">
        <v>120</v>
      </c>
      <c r="J85" s="240" t="s">
        <v>120</v>
      </c>
      <c r="K85" s="241" t="s">
        <v>272</v>
      </c>
      <c r="AC85" s="249"/>
      <c r="AD85" s="249"/>
      <c r="AE85" s="249"/>
    </row>
    <row r="86" spans="2:31" ht="13.8" thickTop="1" x14ac:dyDescent="0.3">
      <c r="B86" s="242" t="s">
        <v>107</v>
      </c>
      <c r="C86" s="243">
        <f>SUM(C78:C85)</f>
        <v>14896</v>
      </c>
      <c r="D86" s="243">
        <f>SUM(D78:D85)</f>
        <v>17509</v>
      </c>
      <c r="E86" s="243">
        <f t="shared" ref="E86:J86" si="24">SUM(E78:E85)</f>
        <v>99000</v>
      </c>
      <c r="F86" s="243">
        <f t="shared" si="24"/>
        <v>1300</v>
      </c>
      <c r="G86" s="243">
        <f t="shared" si="24"/>
        <v>1031.2826086956522</v>
      </c>
      <c r="H86" s="243">
        <f t="shared" si="24"/>
        <v>0</v>
      </c>
      <c r="I86" s="243">
        <f t="shared" si="24"/>
        <v>317.49565217391307</v>
      </c>
      <c r="J86" s="243">
        <f t="shared" si="24"/>
        <v>1348.7782608695652</v>
      </c>
      <c r="K86" s="244"/>
      <c r="AC86" s="249"/>
      <c r="AD86" s="249"/>
      <c r="AE86" s="249"/>
    </row>
    <row r="87" spans="2:31" x14ac:dyDescent="0.3">
      <c r="B87" s="245" t="s">
        <v>277</v>
      </c>
      <c r="C87" s="246"/>
      <c r="D87" s="246"/>
      <c r="E87" s="246"/>
      <c r="F87" s="246"/>
      <c r="G87" s="247">
        <f>(G64-G86)/G64</f>
        <v>0.19047456528045598</v>
      </c>
      <c r="H87" s="247">
        <f>(H64-H86)/H64</f>
        <v>1</v>
      </c>
      <c r="I87" s="247">
        <f>(I64-I86)/I64</f>
        <v>0.10316368638239316</v>
      </c>
      <c r="J87" s="247">
        <f>(J64-J86)/J64</f>
        <v>0.3568316056895231</v>
      </c>
      <c r="K87" s="248"/>
    </row>
    <row r="88" spans="2:31" x14ac:dyDescent="0.3">
      <c r="G88" s="250">
        <f>'추정매출(1안)'!F40/1000</f>
        <v>854.4</v>
      </c>
      <c r="H88" s="250">
        <f>'추정매출(1안)'!J40/1000</f>
        <v>0</v>
      </c>
      <c r="I88" s="250">
        <f>'추정매출(1안)'!K40/1000</f>
        <v>316.00885217391306</v>
      </c>
      <c r="J88" s="249">
        <f>SUM(G88:I88)</f>
        <v>1170.4088521739131</v>
      </c>
    </row>
    <row r="89" spans="2:31" x14ac:dyDescent="0.3">
      <c r="B89" t="s">
        <v>325</v>
      </c>
    </row>
    <row r="90" spans="2:31" x14ac:dyDescent="0.3">
      <c r="D90" s="267" t="s">
        <v>128</v>
      </c>
    </row>
    <row r="91" spans="2:31" x14ac:dyDescent="0.3">
      <c r="B91" s="54" t="s">
        <v>102</v>
      </c>
      <c r="C91" s="234" t="s">
        <v>132</v>
      </c>
      <c r="D91" s="272" t="s">
        <v>137</v>
      </c>
      <c r="E91" s="249"/>
      <c r="F91" s="249"/>
      <c r="J91" s="271">
        <v>145</v>
      </c>
      <c r="K91" t="s">
        <v>90</v>
      </c>
    </row>
    <row r="92" spans="2:31" x14ac:dyDescent="0.3">
      <c r="B92" s="56" t="s">
        <v>310</v>
      </c>
      <c r="C92" s="236">
        <f>C8*(J91+J92)*12/1000000</f>
        <v>272.89998000000003</v>
      </c>
      <c r="D92" s="238" t="s">
        <v>317</v>
      </c>
      <c r="E92" s="249"/>
      <c r="F92" s="249"/>
      <c r="J92" s="271">
        <v>25</v>
      </c>
      <c r="K92" t="s">
        <v>88</v>
      </c>
    </row>
    <row r="93" spans="2:31" x14ac:dyDescent="0.3">
      <c r="B93" s="56" t="s">
        <v>312</v>
      </c>
      <c r="C93" s="265">
        <f>'첨부1 추정손익(태양광 포함)'!C13/1000</f>
        <v>60</v>
      </c>
      <c r="D93" s="238"/>
      <c r="E93" s="249"/>
      <c r="F93" s="249"/>
    </row>
    <row r="95" spans="2:31" x14ac:dyDescent="0.3">
      <c r="B95" s="1" t="s">
        <v>326</v>
      </c>
    </row>
    <row r="96" spans="2:31" x14ac:dyDescent="0.3">
      <c r="H96" s="267" t="s">
        <v>128</v>
      </c>
    </row>
    <row r="97" spans="2:12" x14ac:dyDescent="0.3">
      <c r="B97" s="54" t="s">
        <v>102</v>
      </c>
      <c r="C97" s="232" t="s">
        <v>289</v>
      </c>
      <c r="D97" s="232" t="s">
        <v>290</v>
      </c>
      <c r="E97" s="232" t="s">
        <v>291</v>
      </c>
      <c r="F97" s="232" t="s">
        <v>292</v>
      </c>
      <c r="G97" s="232" t="s">
        <v>293</v>
      </c>
      <c r="H97" s="55" t="s">
        <v>137</v>
      </c>
    </row>
    <row r="98" spans="2:12" x14ac:dyDescent="0.3">
      <c r="B98" s="56" t="s">
        <v>288</v>
      </c>
      <c r="C98" s="265">
        <f>SUM('첨부1 추정손익(태양광 포함)'!B17:B19)/1000*(1+민감도!$D$50)</f>
        <v>879.27020920000007</v>
      </c>
      <c r="D98" s="265">
        <f>SUM('첨부1 추정손익(태양광 포함)'!C17:C19)/1000*(1+민감도!$D$50)</f>
        <v>1028.7861094</v>
      </c>
      <c r="E98" s="265">
        <f>SUM('첨부1 추정손익(태양광 포함)'!D17:D19)/1000*(1+민감도!$D$50)</f>
        <v>1115.0105023000001</v>
      </c>
      <c r="F98" s="265">
        <f>SUM('첨부1 추정손익(태양광 포함)'!E17:E19)/1000*(1+민감도!$D$50)</f>
        <v>1260.6034750000001</v>
      </c>
      <c r="G98" s="265">
        <f>SUM('첨부1 추정손익(태양광 포함)'!F17:F19)/1000*(1+민감도!$D$50)</f>
        <v>1291.8611395999999</v>
      </c>
      <c r="H98" s="238" t="s">
        <v>294</v>
      </c>
      <c r="I98" s="249"/>
      <c r="J98" s="249"/>
      <c r="K98" s="249"/>
      <c r="L98" s="249"/>
    </row>
    <row r="99" spans="2:12" x14ac:dyDescent="0.3">
      <c r="B99" s="56" t="s">
        <v>474</v>
      </c>
      <c r="C99" s="265">
        <f>'첨부1 추정손익(태양광 포함)'!B25/1000*(1+민감도!$D$50)</f>
        <v>60</v>
      </c>
      <c r="D99" s="265">
        <f>'첨부1 추정손익(태양광 포함)'!C25/1000</f>
        <v>60</v>
      </c>
      <c r="E99" s="265">
        <f>'첨부1 추정손익(태양광 포함)'!D25/1000</f>
        <v>60</v>
      </c>
      <c r="F99" s="265">
        <f>'첨부1 추정손익(태양광 포함)'!E25/1000</f>
        <v>60</v>
      </c>
      <c r="G99" s="265">
        <f>'첨부1 추정손익(태양광 포함)'!F25/1000</f>
        <v>60</v>
      </c>
      <c r="H99" s="238" t="s">
        <v>550</v>
      </c>
      <c r="I99" s="249"/>
      <c r="J99" s="249"/>
      <c r="K99" s="249"/>
      <c r="L99" s="249"/>
    </row>
    <row r="100" spans="2:12" x14ac:dyDescent="0.3">
      <c r="B100" s="56" t="s">
        <v>295</v>
      </c>
      <c r="C100" s="265">
        <f>'첨부1 추정손익(태양광 포함)'!B27/1000*(1+민감도!$D$50)</f>
        <v>60</v>
      </c>
      <c r="D100" s="265">
        <f>'첨부1 추정손익(태양광 포함)'!C27/1000</f>
        <v>60</v>
      </c>
      <c r="E100" s="265">
        <f>'첨부1 추정손익(태양광 포함)'!D27/1000</f>
        <v>60</v>
      </c>
      <c r="F100" s="265">
        <f>'첨부1 추정손익(태양광 포함)'!E27/1000</f>
        <v>60</v>
      </c>
      <c r="G100" s="265">
        <f>'첨부1 추정손익(태양광 포함)'!F27/1000</f>
        <v>60</v>
      </c>
      <c r="H100" s="238" t="s">
        <v>550</v>
      </c>
      <c r="I100" s="249"/>
      <c r="J100" s="249"/>
      <c r="K100" s="249"/>
      <c r="L100" s="249"/>
    </row>
    <row r="101" spans="2:12" x14ac:dyDescent="0.3">
      <c r="B101" s="56" t="s">
        <v>296</v>
      </c>
      <c r="C101" s="265">
        <f>'첨부1 추정손익(태양광 포함)'!B29/1000*(1+민감도!$D$50)</f>
        <v>60</v>
      </c>
      <c r="D101" s="265">
        <f>'첨부1 추정손익(태양광 포함)'!C29/1000</f>
        <v>60</v>
      </c>
      <c r="E101" s="265">
        <f>'첨부1 추정손익(태양광 포함)'!D29/1000</f>
        <v>60</v>
      </c>
      <c r="F101" s="265">
        <f>'첨부1 추정손익(태양광 포함)'!E29/1000</f>
        <v>60</v>
      </c>
      <c r="G101" s="265">
        <f>'첨부1 추정손익(태양광 포함)'!F29/1000</f>
        <v>60</v>
      </c>
      <c r="H101" s="238" t="s">
        <v>302</v>
      </c>
      <c r="I101" s="249"/>
      <c r="J101" s="249"/>
      <c r="K101" s="249"/>
      <c r="L101" s="249"/>
    </row>
    <row r="102" spans="2:12" x14ac:dyDescent="0.3">
      <c r="B102" s="56" t="s">
        <v>297</v>
      </c>
      <c r="C102" s="265">
        <f>'첨부1 추정손익(태양광 포함)'!B30/1000*(1+민감도!$D$50)</f>
        <v>56.427999999999997</v>
      </c>
      <c r="D102" s="265">
        <f>'첨부1 추정손익(태양광 포함)'!C30/1000</f>
        <v>56.427999999999997</v>
      </c>
      <c r="E102" s="265">
        <f>'첨부1 추정손익(태양광 포함)'!D30/1000</f>
        <v>56.427999999999997</v>
      </c>
      <c r="F102" s="265">
        <f>'첨부1 추정손익(태양광 포함)'!E30/1000</f>
        <v>56.427999999999997</v>
      </c>
      <c r="G102" s="265">
        <f>'첨부1 추정손익(태양광 포함)'!F30/1000</f>
        <v>56.427999999999997</v>
      </c>
      <c r="H102" s="238" t="s">
        <v>300</v>
      </c>
      <c r="I102" s="249"/>
      <c r="J102" s="249"/>
      <c r="K102" s="249"/>
      <c r="L102" s="249"/>
    </row>
    <row r="103" spans="2:12" x14ac:dyDescent="0.3">
      <c r="B103" s="239" t="s">
        <v>475</v>
      </c>
      <c r="C103" s="276">
        <f>K103*L103*(1+민감도!$D$50)</f>
        <v>522.68730424291255</v>
      </c>
      <c r="D103" s="276">
        <f>C103</f>
        <v>522.68730424291255</v>
      </c>
      <c r="E103" s="276">
        <f t="shared" ref="E103:G103" si="25">D103</f>
        <v>522.68730424291255</v>
      </c>
      <c r="F103" s="276">
        <f t="shared" si="25"/>
        <v>522.68730424291255</v>
      </c>
      <c r="G103" s="276">
        <f t="shared" si="25"/>
        <v>522.68730424291255</v>
      </c>
      <c r="H103" s="241" t="s">
        <v>476</v>
      </c>
      <c r="I103" s="249"/>
      <c r="J103" s="249"/>
      <c r="K103" s="249">
        <f>개발기간!N19</f>
        <v>52268.730424291258</v>
      </c>
      <c r="L103" s="273">
        <v>0.01</v>
      </c>
    </row>
    <row r="104" spans="2:12" ht="13.8" thickBot="1" x14ac:dyDescent="0.35">
      <c r="B104" s="239" t="s">
        <v>298</v>
      </c>
      <c r="C104" s="266">
        <f>'첨부1 추정손익(태양광 포함)'!B39/1000*(1+민감도!$D$50)</f>
        <v>126</v>
      </c>
      <c r="D104" s="266">
        <f>'첨부1 추정손익(태양광 포함)'!C39/1000</f>
        <v>126</v>
      </c>
      <c r="E104" s="266">
        <f>'첨부1 추정손익(태양광 포함)'!D39/1000</f>
        <v>126</v>
      </c>
      <c r="F104" s="266">
        <f>'첨부1 추정손익(태양광 포함)'!E39/1000</f>
        <v>126</v>
      </c>
      <c r="G104" s="266">
        <f>'첨부1 추정손익(태양광 포함)'!F39/1000</f>
        <v>126</v>
      </c>
      <c r="H104" s="241" t="s">
        <v>303</v>
      </c>
      <c r="I104" s="249"/>
      <c r="J104" s="249"/>
      <c r="K104" s="249"/>
      <c r="L104" s="249"/>
    </row>
    <row r="105" spans="2:12" ht="13.8" thickTop="1" x14ac:dyDescent="0.3">
      <c r="B105" s="262" t="s">
        <v>107</v>
      </c>
      <c r="C105" s="263">
        <f>SUM(C98:C104)</f>
        <v>1764.3855134429123</v>
      </c>
      <c r="D105" s="263">
        <f t="shared" ref="D105:G105" si="26">SUM(D98:D104)</f>
        <v>1913.9014136429123</v>
      </c>
      <c r="E105" s="263">
        <f t="shared" si="26"/>
        <v>2000.1258065429124</v>
      </c>
      <c r="F105" s="263">
        <f t="shared" si="26"/>
        <v>2145.7187792429127</v>
      </c>
      <c r="G105" s="263">
        <f t="shared" si="26"/>
        <v>2176.9764438429124</v>
      </c>
      <c r="H105" s="264"/>
      <c r="I105" s="249"/>
      <c r="J105" s="249"/>
      <c r="K105" s="249"/>
      <c r="L105" s="249"/>
    </row>
    <row r="106" spans="2:12" x14ac:dyDescent="0.3">
      <c r="B106" t="s">
        <v>299</v>
      </c>
      <c r="C106" s="249"/>
      <c r="D106" s="249"/>
      <c r="E106" s="249"/>
      <c r="F106" s="249"/>
      <c r="G106" s="249"/>
      <c r="H106" s="249"/>
      <c r="I106" s="249"/>
      <c r="J106" s="249"/>
      <c r="K106" s="249"/>
      <c r="L106" s="249"/>
    </row>
    <row r="107" spans="2:12" x14ac:dyDescent="0.3">
      <c r="B107" t="s">
        <v>473</v>
      </c>
      <c r="C107" s="249"/>
      <c r="D107" s="249"/>
      <c r="E107" s="249"/>
      <c r="F107" s="249"/>
      <c r="G107" s="249"/>
      <c r="H107" s="249"/>
      <c r="I107" s="249"/>
      <c r="J107" s="249"/>
      <c r="K107" s="249"/>
      <c r="L107" s="249"/>
    </row>
    <row r="108" spans="2:12" x14ac:dyDescent="0.3">
      <c r="C108" s="249"/>
      <c r="D108" s="249"/>
      <c r="E108" s="249"/>
      <c r="F108" s="249"/>
      <c r="G108" s="249"/>
      <c r="H108" s="249"/>
      <c r="I108" s="249"/>
      <c r="J108" s="249"/>
      <c r="K108" s="249"/>
      <c r="L108" s="249"/>
    </row>
    <row r="109" spans="2:12" x14ac:dyDescent="0.3">
      <c r="B109" t="s">
        <v>327</v>
      </c>
      <c r="C109" s="249"/>
      <c r="D109" s="249"/>
      <c r="E109" s="249"/>
      <c r="F109" s="249"/>
      <c r="G109" s="249"/>
      <c r="H109" s="249"/>
      <c r="I109" s="249"/>
      <c r="J109" s="249"/>
      <c r="K109" s="249"/>
      <c r="L109" s="249"/>
    </row>
    <row r="110" spans="2:12" x14ac:dyDescent="0.3">
      <c r="C110" s="249"/>
      <c r="D110" s="249"/>
      <c r="E110" s="249"/>
      <c r="F110" s="249"/>
      <c r="G110" s="249"/>
      <c r="H110" s="249"/>
      <c r="I110" s="249"/>
      <c r="J110" s="249"/>
      <c r="K110" s="249"/>
      <c r="L110" s="249"/>
    </row>
    <row r="111" spans="2:12" x14ac:dyDescent="0.3">
      <c r="B111" s="54" t="s">
        <v>102</v>
      </c>
      <c r="C111" s="232" t="s">
        <v>289</v>
      </c>
      <c r="D111" s="232" t="s">
        <v>290</v>
      </c>
      <c r="E111" s="232" t="s">
        <v>291</v>
      </c>
      <c r="F111" s="232" t="s">
        <v>292</v>
      </c>
      <c r="G111" s="232" t="s">
        <v>293</v>
      </c>
      <c r="H111" s="55" t="s">
        <v>137</v>
      </c>
      <c r="I111" s="249"/>
      <c r="J111" s="249"/>
      <c r="K111" s="249"/>
      <c r="L111" s="249"/>
    </row>
    <row r="112" spans="2:12" x14ac:dyDescent="0.3">
      <c r="B112" s="56" t="s">
        <v>305</v>
      </c>
      <c r="C112" s="265">
        <f>('첨부1 추정손익(태양광 포함)'!B5-'첨부1 추정손익(태양광 포함)'!B8)/1000</f>
        <v>10794.705599999999</v>
      </c>
      <c r="D112" s="265">
        <f>('첨부1 추정손익(태양광 포함)'!C5-'첨부1 추정손익(태양광 포함)'!C8)/1000</f>
        <v>13302.882</v>
      </c>
      <c r="E112" s="265">
        <f>('첨부1 추정손익(태양광 포함)'!D5-'첨부1 추정손익(태양광 포함)'!D8)/1000</f>
        <v>15811.0584</v>
      </c>
      <c r="F112" s="265">
        <f>('첨부1 추정손익(태양광 포함)'!E5-'첨부1 추정손익(태양광 포함)'!E8)/1000</f>
        <v>18319.234800000002</v>
      </c>
      <c r="G112" s="265">
        <f>('첨부1 추정손익(태양광 포함)'!F5-'첨부1 추정손익(태양광 포함)'!F8)/1000</f>
        <v>20827.411199999999</v>
      </c>
      <c r="H112" s="238" t="s">
        <v>304</v>
      </c>
      <c r="I112" s="249"/>
      <c r="J112" s="249"/>
      <c r="K112" s="249"/>
      <c r="L112" s="249"/>
    </row>
    <row r="113" spans="2:12" x14ac:dyDescent="0.3">
      <c r="B113" s="56" t="s">
        <v>307</v>
      </c>
      <c r="C113" s="236">
        <f>J64*12</f>
        <v>25165.010086956525</v>
      </c>
      <c r="D113" s="236">
        <f>C113</f>
        <v>25165.010086956525</v>
      </c>
      <c r="E113" s="236">
        <f t="shared" ref="E113:G113" si="27">D113</f>
        <v>25165.010086956525</v>
      </c>
      <c r="F113" s="236">
        <f t="shared" si="27"/>
        <v>25165.010086956525</v>
      </c>
      <c r="G113" s="236">
        <f t="shared" si="27"/>
        <v>25165.010086956525</v>
      </c>
      <c r="H113" s="238"/>
      <c r="I113" s="249"/>
      <c r="J113" s="249"/>
      <c r="K113" s="249"/>
      <c r="L113" s="249"/>
    </row>
    <row r="114" spans="2:12" x14ac:dyDescent="0.3">
      <c r="B114" s="56" t="s">
        <v>306</v>
      </c>
      <c r="C114" s="269">
        <f>C112/C113</f>
        <v>0.42895693515319067</v>
      </c>
      <c r="D114" s="269">
        <f t="shared" ref="D114:G114" si="28">D112/D113</f>
        <v>0.52862613422496185</v>
      </c>
      <c r="E114" s="269">
        <f t="shared" si="28"/>
        <v>0.62829533329673304</v>
      </c>
      <c r="F114" s="269">
        <f t="shared" si="28"/>
        <v>0.72796453236850434</v>
      </c>
      <c r="G114" s="269">
        <f t="shared" si="28"/>
        <v>0.82763373144027541</v>
      </c>
      <c r="H114" s="238"/>
      <c r="I114" s="249"/>
      <c r="J114" s="249"/>
      <c r="K114" s="249"/>
      <c r="L114" s="249"/>
    </row>
    <row r="115" spans="2:12" x14ac:dyDescent="0.3">
      <c r="B115" s="56" t="s">
        <v>308</v>
      </c>
      <c r="C115" s="438">
        <f>민감도!D27</f>
        <v>0.4</v>
      </c>
      <c r="D115" s="438">
        <f>민감도!E27</f>
        <v>0.5</v>
      </c>
      <c r="E115" s="438">
        <f>민감도!F27</f>
        <v>0.6</v>
      </c>
      <c r="F115" s="438">
        <f>민감도!G27</f>
        <v>0.7</v>
      </c>
      <c r="G115" s="438">
        <f>민감도!H27</f>
        <v>0.75</v>
      </c>
      <c r="H115" s="238"/>
      <c r="I115" s="249"/>
      <c r="J115" s="447"/>
      <c r="K115" s="249"/>
      <c r="L115" s="249"/>
    </row>
    <row r="116" spans="2:12" x14ac:dyDescent="0.3">
      <c r="C116" s="249"/>
      <c r="D116" s="249"/>
      <c r="E116" s="249"/>
      <c r="F116" s="249"/>
      <c r="G116" s="249"/>
      <c r="H116" s="249"/>
      <c r="I116" s="249"/>
      <c r="J116" s="249"/>
      <c r="K116" s="249"/>
      <c r="L116" s="249"/>
    </row>
    <row r="117" spans="2:12" x14ac:dyDescent="0.3">
      <c r="B117" t="s">
        <v>373</v>
      </c>
      <c r="C117" s="249"/>
      <c r="D117" s="249"/>
      <c r="E117" s="249"/>
      <c r="F117" s="249"/>
      <c r="G117" s="249"/>
      <c r="H117" s="249"/>
      <c r="I117" s="249"/>
      <c r="J117" s="249"/>
      <c r="K117" s="249"/>
      <c r="L117" s="249"/>
    </row>
    <row r="118" spans="2:12" x14ac:dyDescent="0.3">
      <c r="C118" s="249"/>
      <c r="D118" s="249"/>
      <c r="E118" s="249"/>
      <c r="F118" s="249"/>
      <c r="G118" s="249"/>
      <c r="H118" s="249"/>
      <c r="I118" s="249"/>
      <c r="J118" s="249"/>
      <c r="K118" s="249"/>
      <c r="L118" s="249"/>
    </row>
    <row r="119" spans="2:12" x14ac:dyDescent="0.3">
      <c r="B119" s="54" t="s">
        <v>102</v>
      </c>
      <c r="C119" s="234" t="s">
        <v>117</v>
      </c>
      <c r="D119" s="272" t="s">
        <v>137</v>
      </c>
      <c r="E119" s="249"/>
      <c r="F119" s="249"/>
      <c r="G119" s="249"/>
      <c r="H119" s="249"/>
      <c r="I119" s="249"/>
      <c r="J119" s="249"/>
      <c r="K119" s="249"/>
      <c r="L119" s="249"/>
    </row>
    <row r="120" spans="2:12" x14ac:dyDescent="0.3">
      <c r="B120" s="56" t="s">
        <v>372</v>
      </c>
      <c r="C120" s="438">
        <f>민감도!D30</f>
        <v>0.01</v>
      </c>
      <c r="D120" s="238" t="s">
        <v>371</v>
      </c>
      <c r="E120" s="249"/>
      <c r="F120" s="249"/>
      <c r="G120" s="249"/>
      <c r="H120" s="249"/>
      <c r="I120" s="249"/>
      <c r="J120" s="249"/>
      <c r="K120" s="249"/>
      <c r="L120" s="249"/>
    </row>
    <row r="121" spans="2:12" x14ac:dyDescent="0.3">
      <c r="B121" s="56" t="s">
        <v>370</v>
      </c>
      <c r="C121" s="438">
        <f>민감도!D31</f>
        <v>0.02</v>
      </c>
      <c r="D121" s="238" t="s">
        <v>371</v>
      </c>
      <c r="E121" s="249"/>
      <c r="F121" s="249"/>
      <c r="G121" s="249"/>
      <c r="H121" s="249"/>
      <c r="I121" s="249"/>
      <c r="J121" s="249"/>
      <c r="K121" s="249"/>
      <c r="L121" s="249"/>
    </row>
    <row r="122" spans="2:12" x14ac:dyDescent="0.3">
      <c r="E122" s="249"/>
      <c r="F122" s="249"/>
      <c r="G122" s="249"/>
      <c r="H122" s="249"/>
      <c r="I122" s="249"/>
      <c r="J122" s="249"/>
      <c r="K122" s="249"/>
      <c r="L122" s="249"/>
    </row>
  </sheetData>
  <mergeCells count="24">
    <mergeCell ref="K36:K37"/>
    <mergeCell ref="L36:Q36"/>
    <mergeCell ref="R36:R37"/>
    <mergeCell ref="B47:C47"/>
    <mergeCell ref="B16:C16"/>
    <mergeCell ref="D16:E16"/>
    <mergeCell ref="B36:C37"/>
    <mergeCell ref="D36:D37"/>
    <mergeCell ref="E36:J36"/>
    <mergeCell ref="Z54:Z55"/>
    <mergeCell ref="AA54:AB54"/>
    <mergeCell ref="AC54:AE54"/>
    <mergeCell ref="AF54:AG55"/>
    <mergeCell ref="Z76:Z77"/>
    <mergeCell ref="AA76:AB76"/>
    <mergeCell ref="AC76:AD77"/>
    <mergeCell ref="B54:B55"/>
    <mergeCell ref="E54:F54"/>
    <mergeCell ref="G54:J54"/>
    <mergeCell ref="K54:K55"/>
    <mergeCell ref="B76:B77"/>
    <mergeCell ref="E76:F76"/>
    <mergeCell ref="G76:J76"/>
    <mergeCell ref="K76:K77"/>
  </mergeCells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8DFB-B97D-4442-A750-E03A2AC3A218}">
  <dimension ref="A3:H101"/>
  <sheetViews>
    <sheetView tabSelected="1" zoomScaleNormal="100" workbookViewId="0">
      <selection activeCell="B23" sqref="B23"/>
    </sheetView>
  </sheetViews>
  <sheetFormatPr defaultRowHeight="13.2" x14ac:dyDescent="0.3"/>
  <cols>
    <col min="1" max="1" width="5.75" style="2" customWidth="1"/>
    <col min="2" max="2" width="17.375" bestFit="1" customWidth="1"/>
    <col min="3" max="3" width="16.75" customWidth="1"/>
  </cols>
  <sheetData>
    <row r="3" spans="1:4" x14ac:dyDescent="0.3">
      <c r="B3" s="2" t="s">
        <v>703</v>
      </c>
    </row>
    <row r="5" spans="1:4" x14ac:dyDescent="0.3">
      <c r="A5" s="2">
        <v>1</v>
      </c>
      <c r="B5" s="2" t="s">
        <v>714</v>
      </c>
    </row>
    <row r="6" spans="1:4" x14ac:dyDescent="0.3">
      <c r="B6" s="2"/>
    </row>
    <row r="7" spans="1:4" x14ac:dyDescent="0.3">
      <c r="B7" s="55" t="s">
        <v>704</v>
      </c>
      <c r="C7" s="54" t="s">
        <v>132</v>
      </c>
    </row>
    <row r="8" spans="1:4" x14ac:dyDescent="0.3">
      <c r="B8" s="503">
        <v>45194</v>
      </c>
      <c r="C8" s="504">
        <v>13000</v>
      </c>
    </row>
    <row r="9" spans="1:4" x14ac:dyDescent="0.3">
      <c r="B9" s="503">
        <v>45318</v>
      </c>
      <c r="C9" s="504">
        <v>12000</v>
      </c>
    </row>
    <row r="10" spans="1:4" x14ac:dyDescent="0.3">
      <c r="B10" s="505">
        <v>45470</v>
      </c>
      <c r="C10" s="506">
        <v>2000</v>
      </c>
    </row>
    <row r="12" spans="1:4" x14ac:dyDescent="0.3">
      <c r="A12" s="2">
        <v>2</v>
      </c>
      <c r="B12" s="2" t="s">
        <v>719</v>
      </c>
    </row>
    <row r="14" spans="1:4" x14ac:dyDescent="0.3">
      <c r="B14" s="54" t="s">
        <v>102</v>
      </c>
      <c r="C14" s="55" t="s">
        <v>117</v>
      </c>
    </row>
    <row r="15" spans="1:4" x14ac:dyDescent="0.3">
      <c r="B15" s="56" t="s">
        <v>114</v>
      </c>
      <c r="C15" s="499">
        <v>0</v>
      </c>
    </row>
    <row r="16" spans="1:4" x14ac:dyDescent="0.3">
      <c r="B16" s="56" t="s">
        <v>116</v>
      </c>
      <c r="C16" s="493">
        <f>IF(D16=B17,C17,C18)</f>
        <v>4.5526999999999998E-2</v>
      </c>
      <c r="D16" s="498" t="s">
        <v>760</v>
      </c>
    </row>
    <row r="17" spans="1:8" x14ac:dyDescent="0.3">
      <c r="B17" s="56" t="s">
        <v>682</v>
      </c>
      <c r="C17" s="545">
        <v>4.5526999999999998E-2</v>
      </c>
    </row>
    <row r="23" spans="1:8" x14ac:dyDescent="0.3">
      <c r="A23" s="2">
        <v>3</v>
      </c>
      <c r="B23" s="2" t="s">
        <v>707</v>
      </c>
    </row>
    <row r="25" spans="1:8" x14ac:dyDescent="0.3">
      <c r="B25" s="295" t="s">
        <v>711</v>
      </c>
      <c r="C25" s="507">
        <f>현금흐름!D13</f>
        <v>27000</v>
      </c>
    </row>
    <row r="26" spans="1:8" x14ac:dyDescent="0.3">
      <c r="B26" s="486" t="s">
        <v>712</v>
      </c>
      <c r="C26" s="508" t="s">
        <v>713</v>
      </c>
    </row>
    <row r="28" spans="1:8" x14ac:dyDescent="0.3">
      <c r="B28" s="454" t="s">
        <v>761</v>
      </c>
      <c r="C28" s="454" t="s">
        <v>709</v>
      </c>
      <c r="D28" s="454" t="s">
        <v>708</v>
      </c>
      <c r="E28" s="454" t="s">
        <v>756</v>
      </c>
      <c r="F28" s="454" t="s">
        <v>757</v>
      </c>
      <c r="G28" s="454" t="s">
        <v>758</v>
      </c>
      <c r="H28" s="454" t="s">
        <v>710</v>
      </c>
    </row>
    <row r="29" spans="1:8" x14ac:dyDescent="0.3">
      <c r="B29" s="570"/>
      <c r="C29" s="571">
        <v>45285</v>
      </c>
      <c r="D29" s="570"/>
      <c r="E29" s="570"/>
      <c r="F29" s="572">
        <f>INDEX(현금흐름!$F$18:$GF$18,MATCH(Assumption!C29,현금흐름!$F$6:$GF$6))</f>
        <v>147.55737260273972</v>
      </c>
      <c r="G29" s="573">
        <f>E29+F29</f>
        <v>147.55737260273972</v>
      </c>
      <c r="H29" s="570"/>
    </row>
    <row r="30" spans="1:8" x14ac:dyDescent="0.3">
      <c r="B30" s="570"/>
      <c r="C30" s="571">
        <v>45376</v>
      </c>
      <c r="D30" s="570"/>
      <c r="E30" s="570"/>
      <c r="F30" s="572">
        <f>INDEX(현금흐름!$F$18:$GF$18,MATCH(Assumption!C30,현금흐름!$F$6:$GF$6))</f>
        <v>233.73014480874315</v>
      </c>
      <c r="G30" s="573">
        <f t="shared" ref="G30:G88" si="0">E30+F30</f>
        <v>233.73014480874315</v>
      </c>
      <c r="H30" s="570"/>
    </row>
    <row r="31" spans="1:8" x14ac:dyDescent="0.3">
      <c r="B31" s="570"/>
      <c r="C31" s="571">
        <v>45468</v>
      </c>
      <c r="D31" s="570"/>
      <c r="E31" s="570"/>
      <c r="F31" s="572">
        <f>INDEX(현금흐름!$F$18:$GF$18,MATCH(Assumption!C31,현금흐름!$F$6:$GF$6))</f>
        <v>286.0986338797814</v>
      </c>
      <c r="G31" s="573">
        <f t="shared" si="0"/>
        <v>286.0986338797814</v>
      </c>
      <c r="H31" s="570"/>
    </row>
    <row r="32" spans="1:8" x14ac:dyDescent="0.3">
      <c r="B32" s="570"/>
      <c r="C32" s="571">
        <v>45560</v>
      </c>
      <c r="D32" s="570"/>
      <c r="E32" s="570"/>
      <c r="F32" s="572">
        <f>INDEX(현금흐름!$F$18:$GF$18,MATCH(Assumption!C32,현금흐름!$F$6:$GF$6))</f>
        <v>308.48896174863387</v>
      </c>
      <c r="G32" s="573">
        <f t="shared" si="0"/>
        <v>308.48896174863387</v>
      </c>
      <c r="H32" s="570"/>
    </row>
    <row r="33" spans="2:8" x14ac:dyDescent="0.3">
      <c r="B33" s="570"/>
      <c r="C33" s="571">
        <v>45651</v>
      </c>
      <c r="D33" s="570"/>
      <c r="E33" s="570"/>
      <c r="F33" s="572">
        <f>INDEX(현금흐름!$F$18:$GF$18,MATCH(Assumption!C33,현금흐름!$F$6:$GF$6))</f>
        <v>305.62797540983604</v>
      </c>
      <c r="G33" s="573">
        <f t="shared" si="0"/>
        <v>305.62797540983604</v>
      </c>
      <c r="H33" s="570"/>
    </row>
    <row r="34" spans="2:8" x14ac:dyDescent="0.3">
      <c r="B34" s="570"/>
      <c r="C34" s="571">
        <v>45741</v>
      </c>
      <c r="D34" s="570"/>
      <c r="E34" s="570"/>
      <c r="F34" s="572">
        <f>INDEX(현금흐름!$F$18:$GF$18,MATCH(Assumption!C34,현금흐름!$F$6:$GF$6))</f>
        <v>303.09756164383566</v>
      </c>
      <c r="G34" s="573">
        <f t="shared" si="0"/>
        <v>303.09756164383566</v>
      </c>
      <c r="H34" s="570"/>
    </row>
    <row r="35" spans="2:8" x14ac:dyDescent="0.3">
      <c r="B35" s="570"/>
      <c r="C35" s="571">
        <v>45833</v>
      </c>
      <c r="D35" s="570"/>
      <c r="E35" s="570"/>
      <c r="F35" s="572">
        <f>INDEX(현금흐름!$F$18:$GF$18,MATCH(Assumption!C35,현금흐름!$F$6:$GF$6))</f>
        <v>309.83306301369862</v>
      </c>
      <c r="G35" s="573">
        <f t="shared" si="0"/>
        <v>309.83306301369862</v>
      </c>
      <c r="H35" s="570"/>
    </row>
    <row r="36" spans="2:8" x14ac:dyDescent="0.3">
      <c r="B36" s="570"/>
      <c r="C36" s="571">
        <v>45925</v>
      </c>
      <c r="D36" s="570"/>
      <c r="E36" s="570"/>
      <c r="F36" s="572">
        <f>INDEX(현금흐름!$F$18:$GF$18,MATCH(Assumption!C36,현금흐름!$F$6:$GF$6))</f>
        <v>309.83306301369862</v>
      </c>
      <c r="G36" s="573">
        <f t="shared" si="0"/>
        <v>309.83306301369862</v>
      </c>
      <c r="H36" s="570"/>
    </row>
    <row r="37" spans="2:8" x14ac:dyDescent="0.3">
      <c r="B37" s="570"/>
      <c r="C37" s="571">
        <v>46016</v>
      </c>
      <c r="D37" s="570"/>
      <c r="E37" s="570"/>
      <c r="F37" s="572">
        <f>INDEX(현금흐름!$F$18:$GF$18,MATCH(Assumption!C37,현금흐름!$F$6:$GF$6))</f>
        <v>306.46531232876708</v>
      </c>
      <c r="G37" s="573">
        <f t="shared" si="0"/>
        <v>306.46531232876708</v>
      </c>
      <c r="H37" s="570"/>
    </row>
    <row r="38" spans="2:8" x14ac:dyDescent="0.3">
      <c r="B38" s="570"/>
      <c r="C38" s="571">
        <v>46106</v>
      </c>
      <c r="D38" s="570"/>
      <c r="E38" s="570"/>
      <c r="F38" s="572">
        <f>INDEX(현금흐름!$F$18:$GF$18,MATCH(Assumption!C38,현금흐름!$F$6:$GF$6))</f>
        <v>303.09756164383566</v>
      </c>
      <c r="G38" s="573">
        <f t="shared" si="0"/>
        <v>303.09756164383566</v>
      </c>
      <c r="H38" s="570"/>
    </row>
    <row r="39" spans="2:8" x14ac:dyDescent="0.3">
      <c r="B39" s="570"/>
      <c r="C39" s="571">
        <v>46198</v>
      </c>
      <c r="D39" s="570"/>
      <c r="E39" s="570"/>
      <c r="F39" s="572">
        <f>INDEX(현금흐름!$F$18:$GF$18,MATCH(Assumption!C39,현금흐름!$F$6:$GF$6))</f>
        <v>309.83306301369862</v>
      </c>
      <c r="G39" s="573">
        <f t="shared" si="0"/>
        <v>309.83306301369862</v>
      </c>
      <c r="H39" s="570"/>
    </row>
    <row r="40" spans="2:8" x14ac:dyDescent="0.3">
      <c r="B40" s="570"/>
      <c r="C40" s="571">
        <v>46290</v>
      </c>
      <c r="D40" s="570"/>
      <c r="E40" s="570"/>
      <c r="F40" s="572">
        <f>INDEX(현금흐름!$F$18:$GF$18,MATCH(Assumption!C40,현금흐름!$F$6:$GF$6))</f>
        <v>309.83306301369862</v>
      </c>
      <c r="G40" s="573">
        <f t="shared" si="0"/>
        <v>309.83306301369862</v>
      </c>
      <c r="H40" s="570"/>
    </row>
    <row r="41" spans="2:8" x14ac:dyDescent="0.3">
      <c r="B41" s="501">
        <v>1</v>
      </c>
      <c r="C41" s="509">
        <v>46381</v>
      </c>
      <c r="D41" s="510">
        <f>1/COUNT($B$41:$B$88)</f>
        <v>2.0833333333333332E-2</v>
      </c>
      <c r="E41" s="511">
        <f t="shared" ref="E41:E88" si="1">$C$25*D41</f>
        <v>562.5</v>
      </c>
      <c r="F41" s="572">
        <f>INDEX(현금흐름!$F$18:$GF$18,MATCH(Assumption!C41,현금흐름!$F$6:$GF$6))</f>
        <v>306.46531232876708</v>
      </c>
      <c r="G41" s="573">
        <f t="shared" si="0"/>
        <v>868.96531232876714</v>
      </c>
      <c r="H41" s="512">
        <f>$C$25-SUM($E$41:E41)</f>
        <v>26437.5</v>
      </c>
    </row>
    <row r="42" spans="2:8" x14ac:dyDescent="0.3">
      <c r="B42" s="501">
        <v>2</v>
      </c>
      <c r="C42" s="509">
        <v>46471</v>
      </c>
      <c r="D42" s="510">
        <f t="shared" ref="D42:D88" si="2">1/COUNT($B$41:$B$88)</f>
        <v>2.0833333333333332E-2</v>
      </c>
      <c r="E42" s="511">
        <f t="shared" si="1"/>
        <v>562.5</v>
      </c>
      <c r="F42" s="572">
        <f>INDEX(현금흐름!$F$18:$GF$18,MATCH(Assumption!C42,현금흐름!$F$6:$GF$6))</f>
        <v>296.78302910958899</v>
      </c>
      <c r="G42" s="573">
        <f t="shared" si="0"/>
        <v>859.28302910958905</v>
      </c>
      <c r="H42" s="511">
        <f>$C$25-SUM($E$41:E42)</f>
        <v>25875</v>
      </c>
    </row>
    <row r="43" spans="2:8" x14ac:dyDescent="0.3">
      <c r="B43" s="501">
        <v>3</v>
      </c>
      <c r="C43" s="509">
        <v>46563</v>
      </c>
      <c r="D43" s="510">
        <f t="shared" si="2"/>
        <v>2.0833333333333332E-2</v>
      </c>
      <c r="E43" s="511">
        <f t="shared" si="1"/>
        <v>562.5</v>
      </c>
      <c r="F43" s="572">
        <f>INDEX(현금흐름!$F$18:$GF$18,MATCH(Assumption!C43,현금흐름!$F$6:$GF$6))</f>
        <v>296.92335205479452</v>
      </c>
      <c r="G43" s="573">
        <f t="shared" si="0"/>
        <v>859.42335205479458</v>
      </c>
      <c r="H43" s="511">
        <f>$C$25-SUM($E$41:E43)</f>
        <v>25312.5</v>
      </c>
    </row>
    <row r="44" spans="2:8" x14ac:dyDescent="0.3">
      <c r="B44" s="501">
        <v>4</v>
      </c>
      <c r="C44" s="509">
        <v>46655</v>
      </c>
      <c r="D44" s="510">
        <f t="shared" si="2"/>
        <v>2.0833333333333332E-2</v>
      </c>
      <c r="E44" s="511">
        <f t="shared" si="1"/>
        <v>562.5</v>
      </c>
      <c r="F44" s="572">
        <f>INDEX(현금흐름!$F$18:$GF$18,MATCH(Assumption!C44,현금흐름!$F$6:$GF$6))</f>
        <v>290.46849657534244</v>
      </c>
      <c r="G44" s="573">
        <f t="shared" si="0"/>
        <v>852.96849657534244</v>
      </c>
      <c r="H44" s="511">
        <f>$C$25-SUM($E$41:E44)</f>
        <v>24750</v>
      </c>
    </row>
    <row r="45" spans="2:8" x14ac:dyDescent="0.3">
      <c r="B45" s="501">
        <v>5</v>
      </c>
      <c r="C45" s="509">
        <v>46746</v>
      </c>
      <c r="D45" s="510">
        <f t="shared" si="2"/>
        <v>2.0833333333333332E-2</v>
      </c>
      <c r="E45" s="511">
        <f t="shared" si="1"/>
        <v>562.5</v>
      </c>
      <c r="F45" s="572">
        <f>INDEX(현금흐름!$F$18:$GF$18,MATCH(Assumption!C45,현금흐름!$F$6:$GF$6))</f>
        <v>280.92653630136982</v>
      </c>
      <c r="G45" s="573">
        <f t="shared" si="0"/>
        <v>843.42653630136988</v>
      </c>
      <c r="H45" s="511">
        <f>$C$25-SUM($E$41:E45)</f>
        <v>24187.5</v>
      </c>
    </row>
    <row r="46" spans="2:8" x14ac:dyDescent="0.3">
      <c r="B46" s="501">
        <v>6</v>
      </c>
      <c r="C46" s="509">
        <v>46837</v>
      </c>
      <c r="D46" s="510">
        <f t="shared" si="2"/>
        <v>2.0833333333333332E-2</v>
      </c>
      <c r="E46" s="511">
        <f t="shared" si="1"/>
        <v>562.5</v>
      </c>
      <c r="F46" s="572">
        <f>INDEX(현금흐름!$F$18:$GF$18,MATCH(Assumption!C46,현금흐름!$F$6:$GF$6))</f>
        <v>273.7917279713115</v>
      </c>
      <c r="G46" s="573">
        <f t="shared" si="0"/>
        <v>836.2917279713115</v>
      </c>
      <c r="H46" s="511">
        <f>$C$25-SUM($E$41:E46)</f>
        <v>23625</v>
      </c>
    </row>
    <row r="47" spans="2:8" x14ac:dyDescent="0.3">
      <c r="B47" s="501">
        <v>7</v>
      </c>
      <c r="C47" s="509">
        <v>46929</v>
      </c>
      <c r="D47" s="510">
        <f t="shared" si="2"/>
        <v>2.0833333333333332E-2</v>
      </c>
      <c r="E47" s="511">
        <f t="shared" si="1"/>
        <v>562.5</v>
      </c>
      <c r="F47" s="572">
        <f>INDEX(현금흐름!$F$18:$GF$18,MATCH(Assumption!C47,현금흐름!$F$6:$GF$6))</f>
        <v>270.3632090163934</v>
      </c>
      <c r="G47" s="573">
        <f t="shared" si="0"/>
        <v>832.8632090163934</v>
      </c>
      <c r="H47" s="511">
        <f>$C$25-SUM($E$41:E47)</f>
        <v>23062.5</v>
      </c>
    </row>
    <row r="48" spans="2:8" x14ac:dyDescent="0.3">
      <c r="B48" s="501">
        <v>8</v>
      </c>
      <c r="C48" s="509">
        <v>47021</v>
      </c>
      <c r="D48" s="510">
        <f t="shared" si="2"/>
        <v>2.0833333333333332E-2</v>
      </c>
      <c r="E48" s="511">
        <f t="shared" si="1"/>
        <v>562.5</v>
      </c>
      <c r="F48" s="572">
        <f>INDEX(현금흐름!$F$18:$GF$18,MATCH(Assumption!C48,현금흐름!$F$6:$GF$6))</f>
        <v>263.92598975409834</v>
      </c>
      <c r="G48" s="573">
        <f t="shared" si="0"/>
        <v>826.42598975409828</v>
      </c>
      <c r="H48" s="511">
        <f>$C$25-SUM($E$41:E48)</f>
        <v>22500</v>
      </c>
    </row>
    <row r="49" spans="2:8" x14ac:dyDescent="0.3">
      <c r="B49" s="501">
        <v>9</v>
      </c>
      <c r="C49" s="509">
        <v>47112</v>
      </c>
      <c r="D49" s="510">
        <f t="shared" si="2"/>
        <v>2.0833333333333332E-2</v>
      </c>
      <c r="E49" s="511">
        <f t="shared" si="1"/>
        <v>562.5</v>
      </c>
      <c r="F49" s="572">
        <f>INDEX(현금흐름!$F$18:$GF$18,MATCH(Assumption!C49,현금흐름!$F$6:$GF$6))</f>
        <v>254.68997950819667</v>
      </c>
      <c r="G49" s="573">
        <f t="shared" si="0"/>
        <v>817.18997950819664</v>
      </c>
      <c r="H49" s="511">
        <f>$C$25-SUM($E$41:E49)</f>
        <v>21937.5</v>
      </c>
    </row>
    <row r="50" spans="2:8" x14ac:dyDescent="0.3">
      <c r="B50" s="501">
        <v>10</v>
      </c>
      <c r="C50" s="509">
        <v>47202</v>
      </c>
      <c r="D50" s="510">
        <f t="shared" si="2"/>
        <v>2.0833333333333332E-2</v>
      </c>
      <c r="E50" s="511">
        <f t="shared" si="1"/>
        <v>562.5</v>
      </c>
      <c r="F50" s="572">
        <f>INDEX(현금흐름!$F$18:$GF$18,MATCH(Assumption!C50,현금흐름!$F$6:$GF$6))</f>
        <v>246.26676883561643</v>
      </c>
      <c r="G50" s="573">
        <f t="shared" si="0"/>
        <v>808.7667688356164</v>
      </c>
      <c r="H50" s="511">
        <f>$C$25-SUM($E$41:E50)</f>
        <v>21375</v>
      </c>
    </row>
    <row r="51" spans="2:8" x14ac:dyDescent="0.3">
      <c r="B51" s="501">
        <v>11</v>
      </c>
      <c r="C51" s="509">
        <v>47294</v>
      </c>
      <c r="D51" s="510">
        <f t="shared" si="2"/>
        <v>2.0833333333333332E-2</v>
      </c>
      <c r="E51" s="511">
        <f t="shared" si="1"/>
        <v>562.5</v>
      </c>
      <c r="F51" s="572">
        <f>INDEX(현금흐름!$F$18:$GF$18,MATCH(Assumption!C51,현금흐름!$F$6:$GF$6))</f>
        <v>245.28450821917806</v>
      </c>
      <c r="G51" s="573">
        <f t="shared" si="0"/>
        <v>807.78450821917806</v>
      </c>
      <c r="H51" s="511">
        <f>$C$25-SUM($E$41:E51)</f>
        <v>20812.5</v>
      </c>
    </row>
    <row r="52" spans="2:8" x14ac:dyDescent="0.3">
      <c r="B52" s="501">
        <v>12</v>
      </c>
      <c r="C52" s="509">
        <v>47386</v>
      </c>
      <c r="D52" s="510">
        <f t="shared" si="2"/>
        <v>2.0833333333333332E-2</v>
      </c>
      <c r="E52" s="511">
        <f t="shared" si="1"/>
        <v>562.5</v>
      </c>
      <c r="F52" s="572">
        <f>INDEX(현금흐름!$F$18:$GF$18,MATCH(Assumption!C52,현금흐름!$F$6:$GF$6))</f>
        <v>238.82965273972601</v>
      </c>
      <c r="G52" s="573">
        <f t="shared" si="0"/>
        <v>801.32965273972604</v>
      </c>
      <c r="H52" s="511">
        <f>$C$25-SUM($E$41:E52)</f>
        <v>20250</v>
      </c>
    </row>
    <row r="53" spans="2:8" x14ac:dyDescent="0.3">
      <c r="B53" s="501">
        <v>13</v>
      </c>
      <c r="C53" s="509">
        <v>47477</v>
      </c>
      <c r="D53" s="510">
        <f t="shared" si="2"/>
        <v>2.0833333333333332E-2</v>
      </c>
      <c r="E53" s="511">
        <f t="shared" si="1"/>
        <v>562.5</v>
      </c>
      <c r="F53" s="572">
        <f>INDEX(현금흐름!$F$18:$GF$18,MATCH(Assumption!C53,현금흐름!$F$6:$GF$6))</f>
        <v>229.84898424657536</v>
      </c>
      <c r="G53" s="573">
        <f t="shared" si="0"/>
        <v>792.34898424657536</v>
      </c>
      <c r="H53" s="511">
        <f>$C$25-SUM($E$41:E53)</f>
        <v>19687.5</v>
      </c>
    </row>
    <row r="54" spans="2:8" x14ac:dyDescent="0.3">
      <c r="B54" s="501">
        <v>14</v>
      </c>
      <c r="C54" s="509">
        <v>47567</v>
      </c>
      <c r="D54" s="510">
        <f t="shared" si="2"/>
        <v>2.0833333333333332E-2</v>
      </c>
      <c r="E54" s="511">
        <f t="shared" si="1"/>
        <v>562.5</v>
      </c>
      <c r="F54" s="572">
        <f>INDEX(현금흐름!$F$18:$GF$18,MATCH(Assumption!C54,현금흐름!$F$6:$GF$6))</f>
        <v>221.00863869863014</v>
      </c>
      <c r="G54" s="573">
        <f t="shared" si="0"/>
        <v>783.50863869863019</v>
      </c>
      <c r="H54" s="511">
        <f>$C$25-SUM($E$41:E54)</f>
        <v>19125</v>
      </c>
    </row>
    <row r="55" spans="2:8" x14ac:dyDescent="0.3">
      <c r="B55" s="501">
        <v>15</v>
      </c>
      <c r="C55" s="509">
        <v>47659</v>
      </c>
      <c r="D55" s="510">
        <f t="shared" si="2"/>
        <v>2.0833333333333332E-2</v>
      </c>
      <c r="E55" s="511">
        <f t="shared" si="1"/>
        <v>562.5</v>
      </c>
      <c r="F55" s="572">
        <f>INDEX(현금흐름!$F$18:$GF$18,MATCH(Assumption!C55,현금흐름!$F$6:$GF$6))</f>
        <v>219.46508630136981</v>
      </c>
      <c r="G55" s="573">
        <f t="shared" si="0"/>
        <v>781.96508630136987</v>
      </c>
      <c r="H55" s="511">
        <f>$C$25-SUM($E$41:E55)</f>
        <v>18562.5</v>
      </c>
    </row>
    <row r="56" spans="2:8" x14ac:dyDescent="0.3">
      <c r="B56" s="501">
        <v>16</v>
      </c>
      <c r="C56" s="509">
        <v>47751</v>
      </c>
      <c r="D56" s="510">
        <f t="shared" si="2"/>
        <v>2.0833333333333332E-2</v>
      </c>
      <c r="E56" s="511">
        <f t="shared" si="1"/>
        <v>562.5</v>
      </c>
      <c r="F56" s="572">
        <f>INDEX(현금흐름!$F$18:$GF$18,MATCH(Assumption!C56,현금흐름!$F$6:$GF$6))</f>
        <v>213.01023082191779</v>
      </c>
      <c r="G56" s="573">
        <f t="shared" si="0"/>
        <v>775.51023082191773</v>
      </c>
      <c r="H56" s="511">
        <f>$C$25-SUM($E$41:E56)</f>
        <v>18000</v>
      </c>
    </row>
    <row r="57" spans="2:8" x14ac:dyDescent="0.3">
      <c r="B57" s="501">
        <v>17</v>
      </c>
      <c r="C57" s="509">
        <v>47842</v>
      </c>
      <c r="D57" s="510">
        <f t="shared" si="2"/>
        <v>2.0833333333333332E-2</v>
      </c>
      <c r="E57" s="511">
        <f t="shared" si="1"/>
        <v>562.5</v>
      </c>
      <c r="F57" s="572">
        <f>INDEX(현금흐름!$F$18:$GF$18,MATCH(Assumption!C57,현금흐름!$F$6:$GF$6))</f>
        <v>204.31020821917807</v>
      </c>
      <c r="G57" s="573">
        <f t="shared" si="0"/>
        <v>766.81020821917809</v>
      </c>
      <c r="H57" s="511">
        <f>$C$25-SUM($E$41:E57)</f>
        <v>17437.5</v>
      </c>
    </row>
    <row r="58" spans="2:8" x14ac:dyDescent="0.3">
      <c r="B58" s="501">
        <v>18</v>
      </c>
      <c r="C58" s="509">
        <v>47932</v>
      </c>
      <c r="D58" s="510">
        <f t="shared" si="2"/>
        <v>2.0833333333333332E-2</v>
      </c>
      <c r="E58" s="511">
        <f t="shared" si="1"/>
        <v>562.5</v>
      </c>
      <c r="F58" s="572">
        <f>INDEX(현금흐름!$F$18:$GF$18,MATCH(Assumption!C58,현금흐름!$F$6:$GF$6))</f>
        <v>195.75050856164381</v>
      </c>
      <c r="G58" s="573">
        <f t="shared" si="0"/>
        <v>758.25050856164376</v>
      </c>
      <c r="H58" s="511">
        <f>$C$25-SUM($E$41:E58)</f>
        <v>16875</v>
      </c>
    </row>
    <row r="59" spans="2:8" x14ac:dyDescent="0.3">
      <c r="B59" s="501">
        <v>19</v>
      </c>
      <c r="C59" s="509">
        <v>48024</v>
      </c>
      <c r="D59" s="510">
        <f t="shared" si="2"/>
        <v>2.0833333333333332E-2</v>
      </c>
      <c r="E59" s="511">
        <f t="shared" si="1"/>
        <v>562.5</v>
      </c>
      <c r="F59" s="572">
        <f>INDEX(현금흐름!$F$18:$GF$18,MATCH(Assumption!C59,현금흐름!$F$6:$GF$6))</f>
        <v>193.64566438356161</v>
      </c>
      <c r="G59" s="573">
        <f t="shared" si="0"/>
        <v>756.14566438356155</v>
      </c>
      <c r="H59" s="511">
        <f>$C$25-SUM($E$41:E59)</f>
        <v>16312.5</v>
      </c>
    </row>
    <row r="60" spans="2:8" x14ac:dyDescent="0.3">
      <c r="B60" s="501">
        <v>20</v>
      </c>
      <c r="C60" s="509">
        <v>48116</v>
      </c>
      <c r="D60" s="510">
        <f t="shared" si="2"/>
        <v>2.0833333333333332E-2</v>
      </c>
      <c r="E60" s="511">
        <f t="shared" si="1"/>
        <v>562.5</v>
      </c>
      <c r="F60" s="572">
        <f>INDEX(현금흐름!$F$18:$GF$18,MATCH(Assumption!C60,현금흐름!$F$6:$GF$6))</f>
        <v>187.19080890410956</v>
      </c>
      <c r="G60" s="573">
        <f t="shared" si="0"/>
        <v>749.69080890410953</v>
      </c>
      <c r="H60" s="511">
        <f>$C$25-SUM($E$41:E60)</f>
        <v>15750</v>
      </c>
    </row>
    <row r="61" spans="2:8" x14ac:dyDescent="0.3">
      <c r="B61" s="501">
        <v>21</v>
      </c>
      <c r="C61" s="509">
        <v>48207</v>
      </c>
      <c r="D61" s="510">
        <f t="shared" si="2"/>
        <v>2.0833333333333332E-2</v>
      </c>
      <c r="E61" s="511">
        <f t="shared" si="1"/>
        <v>562.5</v>
      </c>
      <c r="F61" s="572">
        <f>INDEX(현금흐름!$F$18:$GF$18,MATCH(Assumption!C61,현금흐름!$F$6:$GF$6))</f>
        <v>178.77143219178083</v>
      </c>
      <c r="G61" s="573">
        <f t="shared" si="0"/>
        <v>741.27143219178083</v>
      </c>
      <c r="H61" s="511">
        <f>$C$25-SUM($E$41:E61)</f>
        <v>15187.5</v>
      </c>
    </row>
    <row r="62" spans="2:8" x14ac:dyDescent="0.3">
      <c r="B62" s="501">
        <v>22</v>
      </c>
      <c r="C62" s="509">
        <v>48298</v>
      </c>
      <c r="D62" s="510">
        <f t="shared" si="2"/>
        <v>2.0833333333333332E-2</v>
      </c>
      <c r="E62" s="511">
        <f t="shared" si="1"/>
        <v>562.5</v>
      </c>
      <c r="F62" s="572">
        <f>INDEX(현금흐름!$F$18:$GF$18,MATCH(Assumption!C62,현금흐름!$F$6:$GF$6))</f>
        <v>171.91573616803277</v>
      </c>
      <c r="G62" s="573">
        <f t="shared" si="0"/>
        <v>734.41573616803271</v>
      </c>
      <c r="H62" s="511">
        <f>$C$25-SUM($E$41:E62)</f>
        <v>14625</v>
      </c>
    </row>
    <row r="63" spans="2:8" x14ac:dyDescent="0.3">
      <c r="B63" s="501">
        <v>23</v>
      </c>
      <c r="C63" s="509">
        <v>48390</v>
      </c>
      <c r="D63" s="510">
        <f t="shared" si="2"/>
        <v>2.0833333333333332E-2</v>
      </c>
      <c r="E63" s="511">
        <f t="shared" si="1"/>
        <v>562.5</v>
      </c>
      <c r="F63" s="572">
        <f>INDEX(현금흐름!$F$18:$GF$18,MATCH(Assumption!C63,현금흐름!$F$6:$GF$6))</f>
        <v>167.36770081967211</v>
      </c>
      <c r="G63" s="573">
        <f t="shared" si="0"/>
        <v>729.86770081967211</v>
      </c>
      <c r="H63" s="511">
        <f>$C$25-SUM($E$41:E63)</f>
        <v>14062.5</v>
      </c>
    </row>
    <row r="64" spans="2:8" x14ac:dyDescent="0.3">
      <c r="B64" s="501">
        <v>24</v>
      </c>
      <c r="C64" s="509">
        <v>48482</v>
      </c>
      <c r="D64" s="510">
        <f t="shared" si="2"/>
        <v>2.0833333333333332E-2</v>
      </c>
      <c r="E64" s="511">
        <f t="shared" si="1"/>
        <v>562.5</v>
      </c>
      <c r="F64" s="572">
        <f>INDEX(현금흐름!$F$18:$GF$18,MATCH(Assumption!C64,현금흐름!$F$6:$GF$6))</f>
        <v>160.93048155737702</v>
      </c>
      <c r="G64" s="573">
        <f t="shared" si="0"/>
        <v>723.43048155737699</v>
      </c>
      <c r="H64" s="511">
        <f>$C$25-SUM($E$41:E64)</f>
        <v>13500</v>
      </c>
    </row>
    <row r="65" spans="2:8" x14ac:dyDescent="0.3">
      <c r="B65" s="501">
        <v>25</v>
      </c>
      <c r="C65" s="509">
        <v>48573</v>
      </c>
      <c r="D65" s="510">
        <f t="shared" si="2"/>
        <v>2.0833333333333332E-2</v>
      </c>
      <c r="E65" s="511">
        <f t="shared" si="1"/>
        <v>562.5</v>
      </c>
      <c r="F65" s="572">
        <f>INDEX(현금흐름!$F$18:$GF$18,MATCH(Assumption!C65,현금흐름!$F$6:$GF$6))</f>
        <v>152.81398770491802</v>
      </c>
      <c r="G65" s="573">
        <f t="shared" si="0"/>
        <v>715.31398770491796</v>
      </c>
      <c r="H65" s="511">
        <f>$C$25-SUM($E$41:E65)</f>
        <v>12937.5</v>
      </c>
    </row>
    <row r="66" spans="2:8" x14ac:dyDescent="0.3">
      <c r="B66" s="501">
        <v>26</v>
      </c>
      <c r="C66" s="509">
        <v>48663</v>
      </c>
      <c r="D66" s="510">
        <f t="shared" si="2"/>
        <v>2.0833333333333332E-2</v>
      </c>
      <c r="E66" s="511">
        <f t="shared" si="1"/>
        <v>562.5</v>
      </c>
      <c r="F66" s="572">
        <f>INDEX(현금흐름!$F$18:$GF$18,MATCH(Assumption!C66,현금흐름!$F$6:$GF$6))</f>
        <v>145.23424828767122</v>
      </c>
      <c r="G66" s="573">
        <f t="shared" si="0"/>
        <v>707.73424828767122</v>
      </c>
      <c r="H66" s="511">
        <f>$C$25-SUM($E$41:E66)</f>
        <v>12375</v>
      </c>
    </row>
    <row r="67" spans="2:8" x14ac:dyDescent="0.3">
      <c r="B67" s="501">
        <v>27</v>
      </c>
      <c r="C67" s="509">
        <v>48755</v>
      </c>
      <c r="D67" s="510">
        <f t="shared" si="2"/>
        <v>2.0833333333333332E-2</v>
      </c>
      <c r="E67" s="511">
        <f t="shared" si="1"/>
        <v>562.5</v>
      </c>
      <c r="F67" s="572">
        <f>INDEX(현금흐름!$F$18:$GF$18,MATCH(Assumption!C67,현금흐름!$F$6:$GF$6))</f>
        <v>142.00682054794518</v>
      </c>
      <c r="G67" s="573">
        <f t="shared" si="0"/>
        <v>704.50682054794515</v>
      </c>
      <c r="H67" s="511">
        <f>$C$25-SUM($E$41:E67)</f>
        <v>11812.5</v>
      </c>
    </row>
    <row r="68" spans="2:8" x14ac:dyDescent="0.3">
      <c r="B68" s="501">
        <v>28</v>
      </c>
      <c r="C68" s="509">
        <v>48847</v>
      </c>
      <c r="D68" s="510">
        <f t="shared" si="2"/>
        <v>2.0833333333333332E-2</v>
      </c>
      <c r="E68" s="511">
        <f t="shared" si="1"/>
        <v>562.5</v>
      </c>
      <c r="F68" s="572">
        <f>INDEX(현금흐름!$F$18:$GF$18,MATCH(Assumption!C68,현금흐름!$F$6:$GF$6))</f>
        <v>135.55196506849313</v>
      </c>
      <c r="G68" s="573">
        <f t="shared" si="0"/>
        <v>698.05196506849313</v>
      </c>
      <c r="H68" s="511">
        <f>$C$25-SUM($E$41:E68)</f>
        <v>11250</v>
      </c>
    </row>
    <row r="69" spans="2:8" x14ac:dyDescent="0.3">
      <c r="B69" s="501">
        <v>29</v>
      </c>
      <c r="C69" s="509">
        <v>48938</v>
      </c>
      <c r="D69" s="510">
        <f t="shared" si="2"/>
        <v>2.0833333333333332E-2</v>
      </c>
      <c r="E69" s="511">
        <f t="shared" si="1"/>
        <v>562.5</v>
      </c>
      <c r="F69" s="572">
        <f>INDEX(현금흐름!$F$18:$GF$18,MATCH(Assumption!C69,현금흐름!$F$6:$GF$6))</f>
        <v>127.69388013698628</v>
      </c>
      <c r="G69" s="573">
        <f t="shared" si="0"/>
        <v>690.19388013698631</v>
      </c>
      <c r="H69" s="511">
        <f>$C$25-SUM($E$41:E69)</f>
        <v>10687.5</v>
      </c>
    </row>
    <row r="70" spans="2:8" x14ac:dyDescent="0.3">
      <c r="B70" s="501">
        <v>30</v>
      </c>
      <c r="C70" s="509">
        <v>49028</v>
      </c>
      <c r="D70" s="510">
        <f t="shared" si="2"/>
        <v>2.0833333333333332E-2</v>
      </c>
      <c r="E70" s="511">
        <f t="shared" si="1"/>
        <v>562.5</v>
      </c>
      <c r="F70" s="572">
        <f>INDEX(현금흐름!$F$18:$GF$18,MATCH(Assumption!C70,현금흐름!$F$6:$GF$6))</f>
        <v>119.97611815068493</v>
      </c>
      <c r="G70" s="573">
        <f t="shared" si="0"/>
        <v>682.4761181506849</v>
      </c>
      <c r="H70" s="511">
        <f>$C$25-SUM($E$41:E70)</f>
        <v>10125</v>
      </c>
    </row>
    <row r="71" spans="2:8" x14ac:dyDescent="0.3">
      <c r="B71" s="501">
        <v>31</v>
      </c>
      <c r="C71" s="509">
        <v>49120</v>
      </c>
      <c r="D71" s="510">
        <f t="shared" si="2"/>
        <v>2.0833333333333332E-2</v>
      </c>
      <c r="E71" s="511">
        <f t="shared" si="1"/>
        <v>562.5</v>
      </c>
      <c r="F71" s="572">
        <f>INDEX(현금흐름!$F$18:$GF$18,MATCH(Assumption!C71,현금흐름!$F$6:$GF$6))</f>
        <v>116.18739863013698</v>
      </c>
      <c r="G71" s="573">
        <f t="shared" si="0"/>
        <v>678.68739863013695</v>
      </c>
      <c r="H71" s="511">
        <f>$C$25-SUM($E$41:E71)</f>
        <v>9562.5</v>
      </c>
    </row>
    <row r="72" spans="2:8" x14ac:dyDescent="0.3">
      <c r="B72" s="501">
        <v>32</v>
      </c>
      <c r="C72" s="509">
        <v>49212</v>
      </c>
      <c r="D72" s="510">
        <f t="shared" si="2"/>
        <v>2.0833333333333332E-2</v>
      </c>
      <c r="E72" s="511">
        <f t="shared" si="1"/>
        <v>562.5</v>
      </c>
      <c r="F72" s="572">
        <f>INDEX(현금흐름!$F$18:$GF$18,MATCH(Assumption!C72,현금흐름!$F$6:$GF$6))</f>
        <v>109.7325431506849</v>
      </c>
      <c r="G72" s="573">
        <f t="shared" si="0"/>
        <v>672.23254315068493</v>
      </c>
      <c r="H72" s="511">
        <f>$C$25-SUM($E$41:E72)</f>
        <v>9000</v>
      </c>
    </row>
    <row r="73" spans="2:8" x14ac:dyDescent="0.3">
      <c r="B73" s="501">
        <v>33</v>
      </c>
      <c r="C73" s="509">
        <v>49303</v>
      </c>
      <c r="D73" s="510">
        <f t="shared" si="2"/>
        <v>2.0833333333333332E-2</v>
      </c>
      <c r="E73" s="511">
        <f t="shared" si="1"/>
        <v>562.5</v>
      </c>
      <c r="F73" s="572">
        <f>INDEX(현금흐름!$F$18:$GF$18,MATCH(Assumption!C73,현금흐름!$F$6:$GF$6))</f>
        <v>102.15510410958903</v>
      </c>
      <c r="G73" s="573">
        <f t="shared" si="0"/>
        <v>664.65510410958905</v>
      </c>
      <c r="H73" s="511">
        <f>$C$25-SUM($E$41:E73)</f>
        <v>8437.5</v>
      </c>
    </row>
    <row r="74" spans="2:8" x14ac:dyDescent="0.3">
      <c r="B74" s="501">
        <v>34</v>
      </c>
      <c r="C74" s="509">
        <v>49393</v>
      </c>
      <c r="D74" s="510">
        <f t="shared" si="2"/>
        <v>2.0833333333333332E-2</v>
      </c>
      <c r="E74" s="511">
        <f t="shared" si="1"/>
        <v>562.5</v>
      </c>
      <c r="F74" s="572">
        <f>INDEX(현금흐름!$F$18:$GF$18,MATCH(Assumption!C74,현금흐름!$F$6:$GF$6))</f>
        <v>94.71798801369863</v>
      </c>
      <c r="G74" s="573">
        <f t="shared" si="0"/>
        <v>657.21798801369869</v>
      </c>
      <c r="H74" s="511">
        <f>$C$25-SUM($E$41:E74)</f>
        <v>7875</v>
      </c>
    </row>
    <row r="75" spans="2:8" x14ac:dyDescent="0.3">
      <c r="B75" s="501">
        <v>35</v>
      </c>
      <c r="C75" s="509">
        <v>49485</v>
      </c>
      <c r="D75" s="510">
        <f t="shared" si="2"/>
        <v>2.0833333333333332E-2</v>
      </c>
      <c r="E75" s="511">
        <f t="shared" si="1"/>
        <v>562.5</v>
      </c>
      <c r="F75" s="572">
        <f>INDEX(현금흐름!$F$18:$GF$18,MATCH(Assumption!C75,현금흐름!$F$6:$GF$6))</f>
        <v>90.367976712328769</v>
      </c>
      <c r="G75" s="573">
        <f t="shared" si="0"/>
        <v>652.86797671232875</v>
      </c>
      <c r="H75" s="511">
        <f>$C$25-SUM($E$41:E75)</f>
        <v>7312.5</v>
      </c>
    </row>
    <row r="76" spans="2:8" x14ac:dyDescent="0.3">
      <c r="B76" s="501">
        <v>36</v>
      </c>
      <c r="C76" s="509">
        <v>49577</v>
      </c>
      <c r="D76" s="510">
        <f t="shared" si="2"/>
        <v>2.0833333333333332E-2</v>
      </c>
      <c r="E76" s="511">
        <f t="shared" si="1"/>
        <v>562.5</v>
      </c>
      <c r="F76" s="572">
        <f>INDEX(현금흐름!$F$18:$GF$18,MATCH(Assumption!C76,현금흐름!$F$6:$GF$6))</f>
        <v>83.913121232876705</v>
      </c>
      <c r="G76" s="573">
        <f t="shared" si="0"/>
        <v>646.41312123287673</v>
      </c>
      <c r="H76" s="511">
        <f>$C$25-SUM($E$41:E76)</f>
        <v>6750</v>
      </c>
    </row>
    <row r="77" spans="2:8" x14ac:dyDescent="0.3">
      <c r="B77" s="501">
        <v>37</v>
      </c>
      <c r="C77" s="509">
        <v>49668</v>
      </c>
      <c r="D77" s="510">
        <f t="shared" si="2"/>
        <v>2.0833333333333332E-2</v>
      </c>
      <c r="E77" s="511">
        <f t="shared" si="1"/>
        <v>562.5</v>
      </c>
      <c r="F77" s="572">
        <f>INDEX(현금흐름!$F$18:$GF$18,MATCH(Assumption!C77,현금흐름!$F$6:$GF$6))</f>
        <v>76.616328082191771</v>
      </c>
      <c r="G77" s="573">
        <f t="shared" si="0"/>
        <v>639.11632808219179</v>
      </c>
      <c r="H77" s="511">
        <f>$C$25-SUM($E$41:E77)</f>
        <v>6187.5</v>
      </c>
    </row>
    <row r="78" spans="2:8" x14ac:dyDescent="0.3">
      <c r="B78" s="501">
        <v>38</v>
      </c>
      <c r="C78" s="509">
        <v>49759</v>
      </c>
      <c r="D78" s="510">
        <f t="shared" si="2"/>
        <v>2.0833333333333332E-2</v>
      </c>
      <c r="E78" s="511">
        <f t="shared" si="1"/>
        <v>562.5</v>
      </c>
      <c r="F78" s="572">
        <f>INDEX(현금흐름!$F$18:$GF$18,MATCH(Assumption!C78,현금흐름!$F$6:$GF$6))</f>
        <v>70.039744364754085</v>
      </c>
      <c r="G78" s="573">
        <f t="shared" si="0"/>
        <v>632.53974436475414</v>
      </c>
      <c r="H78" s="511">
        <f>$C$25-SUM($E$41:E78)</f>
        <v>5625</v>
      </c>
    </row>
    <row r="79" spans="2:8" x14ac:dyDescent="0.3">
      <c r="B79" s="501">
        <v>39</v>
      </c>
      <c r="C79" s="509">
        <v>49851</v>
      </c>
      <c r="D79" s="510">
        <f t="shared" si="2"/>
        <v>2.0833333333333332E-2</v>
      </c>
      <c r="E79" s="511">
        <f t="shared" si="1"/>
        <v>562.5</v>
      </c>
      <c r="F79" s="572">
        <f>INDEX(현금흐름!$F$18:$GF$18,MATCH(Assumption!C79,현금흐름!$F$6:$GF$6))</f>
        <v>64.372192622950806</v>
      </c>
      <c r="G79" s="573">
        <f t="shared" si="0"/>
        <v>626.87219262295082</v>
      </c>
      <c r="H79" s="511">
        <f>$C$25-SUM($E$41:E79)</f>
        <v>5062.5</v>
      </c>
    </row>
    <row r="80" spans="2:8" x14ac:dyDescent="0.3">
      <c r="B80" s="501">
        <v>40</v>
      </c>
      <c r="C80" s="509">
        <v>49943</v>
      </c>
      <c r="D80" s="510">
        <f t="shared" si="2"/>
        <v>2.0833333333333332E-2</v>
      </c>
      <c r="E80" s="511">
        <f t="shared" si="1"/>
        <v>562.5</v>
      </c>
      <c r="F80" s="572">
        <f>INDEX(현금흐름!$F$18:$GF$18,MATCH(Assumption!C80,현금흐름!$F$6:$GF$6))</f>
        <v>57.934973360655732</v>
      </c>
      <c r="G80" s="573">
        <f t="shared" si="0"/>
        <v>620.4349733606557</v>
      </c>
      <c r="H80" s="511">
        <f>$C$25-SUM($E$41:E80)</f>
        <v>4500</v>
      </c>
    </row>
    <row r="81" spans="1:8" x14ac:dyDescent="0.3">
      <c r="B81" s="501">
        <v>41</v>
      </c>
      <c r="C81" s="509">
        <v>50034</v>
      </c>
      <c r="D81" s="510">
        <f t="shared" si="2"/>
        <v>2.0833333333333332E-2</v>
      </c>
      <c r="E81" s="511">
        <f t="shared" si="1"/>
        <v>562.5</v>
      </c>
      <c r="F81" s="572">
        <f>INDEX(현금흐름!$F$18:$GF$18,MATCH(Assumption!C81,현금흐름!$F$6:$GF$6))</f>
        <v>50.93799590163934</v>
      </c>
      <c r="G81" s="573">
        <f t="shared" si="0"/>
        <v>613.4379959016394</v>
      </c>
      <c r="H81" s="511">
        <f>$C$25-SUM($E$41:E81)</f>
        <v>3937.5</v>
      </c>
    </row>
    <row r="82" spans="1:8" x14ac:dyDescent="0.3">
      <c r="B82" s="501">
        <v>42</v>
      </c>
      <c r="C82" s="509">
        <v>50124</v>
      </c>
      <c r="D82" s="510">
        <f t="shared" si="2"/>
        <v>2.0833333333333332E-2</v>
      </c>
      <c r="E82" s="511">
        <f t="shared" si="1"/>
        <v>562.5</v>
      </c>
      <c r="F82" s="572">
        <f>INDEX(현금흐름!$F$18:$GF$18,MATCH(Assumption!C82,현금흐름!$F$6:$GF$6))</f>
        <v>44.201727739726024</v>
      </c>
      <c r="G82" s="573">
        <f t="shared" si="0"/>
        <v>606.70172773972604</v>
      </c>
      <c r="H82" s="511">
        <f>$C$25-SUM($E$41:E82)</f>
        <v>3375</v>
      </c>
    </row>
    <row r="83" spans="1:8" x14ac:dyDescent="0.3">
      <c r="B83" s="501">
        <v>43</v>
      </c>
      <c r="C83" s="509">
        <v>50216</v>
      </c>
      <c r="D83" s="510">
        <f t="shared" si="2"/>
        <v>2.0833333333333332E-2</v>
      </c>
      <c r="E83" s="511">
        <f t="shared" si="1"/>
        <v>562.5</v>
      </c>
      <c r="F83" s="572">
        <f>INDEX(현금흐름!$F$18:$GF$18,MATCH(Assumption!C83,현금흐름!$F$6:$GF$6))</f>
        <v>38.729132876712328</v>
      </c>
      <c r="G83" s="573">
        <f t="shared" si="0"/>
        <v>601.22913287671236</v>
      </c>
      <c r="H83" s="511">
        <f>$C$25-SUM($E$41:E83)</f>
        <v>2812.5</v>
      </c>
    </row>
    <row r="84" spans="1:8" x14ac:dyDescent="0.3">
      <c r="B84" s="501">
        <v>44</v>
      </c>
      <c r="C84" s="509">
        <v>50308</v>
      </c>
      <c r="D84" s="510">
        <f t="shared" si="2"/>
        <v>2.0833333333333332E-2</v>
      </c>
      <c r="E84" s="511">
        <f t="shared" si="1"/>
        <v>562.5</v>
      </c>
      <c r="F84" s="572">
        <f>INDEX(현금흐름!$F$18:$GF$18,MATCH(Assumption!C84,현금흐름!$F$6:$GF$6))</f>
        <v>32.274277397260263</v>
      </c>
      <c r="G84" s="573">
        <f t="shared" si="0"/>
        <v>594.77427739726022</v>
      </c>
      <c r="H84" s="511">
        <f>$C$25-SUM($E$41:E84)</f>
        <v>2250</v>
      </c>
    </row>
    <row r="85" spans="1:8" x14ac:dyDescent="0.3">
      <c r="B85" s="501">
        <v>45</v>
      </c>
      <c r="C85" s="509">
        <v>50399</v>
      </c>
      <c r="D85" s="510">
        <f t="shared" si="2"/>
        <v>2.0833333333333332E-2</v>
      </c>
      <c r="E85" s="511">
        <f t="shared" si="1"/>
        <v>562.5</v>
      </c>
      <c r="F85" s="572">
        <f>INDEX(현금흐름!$F$18:$GF$18,MATCH(Assumption!C85,현금흐름!$F$6:$GF$6))</f>
        <v>25.538776027397258</v>
      </c>
      <c r="G85" s="573">
        <f t="shared" si="0"/>
        <v>588.03877602739726</v>
      </c>
      <c r="H85" s="511">
        <f>$C$25-SUM($E$41:E85)</f>
        <v>1687.5</v>
      </c>
    </row>
    <row r="86" spans="1:8" x14ac:dyDescent="0.3">
      <c r="B86" s="501">
        <v>46</v>
      </c>
      <c r="C86" s="509">
        <v>50489</v>
      </c>
      <c r="D86" s="510">
        <f t="shared" si="2"/>
        <v>2.0833333333333332E-2</v>
      </c>
      <c r="E86" s="511">
        <f t="shared" si="1"/>
        <v>562.5</v>
      </c>
      <c r="F86" s="572">
        <f>INDEX(현금흐름!$F$18:$GF$18,MATCH(Assumption!C86,현금흐름!$F$6:$GF$6))</f>
        <v>18.943597602739729</v>
      </c>
      <c r="G86" s="573">
        <f t="shared" si="0"/>
        <v>581.44359760273971</v>
      </c>
      <c r="H86" s="511">
        <f>$C$25-SUM($E$41:E86)</f>
        <v>1125</v>
      </c>
    </row>
    <row r="87" spans="1:8" x14ac:dyDescent="0.3">
      <c r="B87" s="501">
        <v>47</v>
      </c>
      <c r="C87" s="509">
        <v>50581</v>
      </c>
      <c r="D87" s="510">
        <f t="shared" si="2"/>
        <v>2.0833333333333332E-2</v>
      </c>
      <c r="E87" s="511">
        <f t="shared" si="1"/>
        <v>562.5</v>
      </c>
      <c r="F87" s="572">
        <f>INDEX(현금흐름!$F$18:$GF$18,MATCH(Assumption!C87,현금흐름!$F$6:$GF$6))</f>
        <v>12.909710958904109</v>
      </c>
      <c r="G87" s="573">
        <f t="shared" si="0"/>
        <v>575.40971095890416</v>
      </c>
      <c r="H87" s="511">
        <f>$C$25-SUM($E$41:E87)</f>
        <v>562.5</v>
      </c>
    </row>
    <row r="88" spans="1:8" x14ac:dyDescent="0.3">
      <c r="B88" s="501">
        <v>48</v>
      </c>
      <c r="C88" s="509">
        <v>50673</v>
      </c>
      <c r="D88" s="510">
        <f t="shared" si="2"/>
        <v>2.0833333333333332E-2</v>
      </c>
      <c r="E88" s="511">
        <f t="shared" si="1"/>
        <v>562.5</v>
      </c>
      <c r="F88" s="572">
        <f>INDEX(현금흐름!$F$18:$GF$18,MATCH(Assumption!C88,현금흐름!$F$6:$GF$6))</f>
        <v>6.4548554794520543</v>
      </c>
      <c r="G88" s="573">
        <f t="shared" si="0"/>
        <v>568.95485547945202</v>
      </c>
      <c r="H88" s="511">
        <f>$C$25-SUM($E$41:E88)</f>
        <v>0</v>
      </c>
    </row>
    <row r="89" spans="1:8" x14ac:dyDescent="0.3">
      <c r="B89" s="574" t="s">
        <v>759</v>
      </c>
      <c r="C89" s="575"/>
      <c r="D89" s="576"/>
      <c r="E89" s="577">
        <f>SUM(E41:E88)</f>
        <v>27000</v>
      </c>
      <c r="F89" s="577">
        <f>SUM(F29:F88)</f>
        <v>10960.734283569598</v>
      </c>
      <c r="G89" s="577">
        <f>SUM(G29:G88)</f>
        <v>37960.734283569582</v>
      </c>
      <c r="H89" s="577"/>
    </row>
    <row r="90" spans="1:8" x14ac:dyDescent="0.3">
      <c r="E90" s="511" t="b">
        <f>E89=C25</f>
        <v>1</v>
      </c>
      <c r="F90" t="b">
        <f>F89=현금흐름!D18</f>
        <v>1</v>
      </c>
    </row>
    <row r="92" spans="1:8" x14ac:dyDescent="0.3">
      <c r="B92" s="1"/>
      <c r="C92" s="1"/>
      <c r="D92" s="1"/>
      <c r="E92" s="1"/>
      <c r="F92" s="1"/>
      <c r="G92" s="1"/>
    </row>
    <row r="93" spans="1:8" x14ac:dyDescent="0.3">
      <c r="A93" s="2">
        <v>4</v>
      </c>
      <c r="B93" s="1" t="s">
        <v>720</v>
      </c>
      <c r="C93" s="1"/>
      <c r="D93" s="1"/>
      <c r="E93" s="1"/>
      <c r="F93" s="1"/>
      <c r="G93" s="1"/>
    </row>
    <row r="94" spans="1:8" x14ac:dyDescent="0.3">
      <c r="B94" s="1"/>
      <c r="C94" s="1"/>
      <c r="D94" s="1"/>
      <c r="E94" s="1"/>
      <c r="F94" s="1"/>
      <c r="G94" s="1"/>
    </row>
    <row r="95" spans="1:8" x14ac:dyDescent="0.3">
      <c r="B95" s="58" t="s">
        <v>102</v>
      </c>
      <c r="C95" s="60" t="s">
        <v>117</v>
      </c>
      <c r="D95" s="1"/>
      <c r="E95" s="1"/>
      <c r="F95" s="1"/>
      <c r="G95" s="1"/>
    </row>
    <row r="96" spans="1:8" x14ac:dyDescent="0.3">
      <c r="B96" s="68" t="s">
        <v>677</v>
      </c>
      <c r="C96" s="464">
        <v>27000</v>
      </c>
      <c r="D96" s="1"/>
      <c r="E96" s="1"/>
      <c r="F96" s="1"/>
      <c r="G96" s="1"/>
    </row>
    <row r="97" spans="2:7" x14ac:dyDescent="0.3">
      <c r="B97" s="68" t="s">
        <v>718</v>
      </c>
      <c r="C97" s="490">
        <f>0.0001*25</f>
        <v>2.5000000000000001E-3</v>
      </c>
      <c r="D97" s="1"/>
      <c r="E97" s="1"/>
      <c r="F97" s="1"/>
      <c r="G97" s="1"/>
    </row>
    <row r="98" spans="2:7" x14ac:dyDescent="0.3">
      <c r="B98" s="68" t="s">
        <v>675</v>
      </c>
      <c r="C98" s="464"/>
      <c r="D98" s="1"/>
      <c r="E98" s="1"/>
      <c r="F98" s="1"/>
      <c r="G98" s="1"/>
    </row>
    <row r="99" spans="2:7" x14ac:dyDescent="0.3">
      <c r="B99" s="68" t="s">
        <v>673</v>
      </c>
      <c r="C99" s="467">
        <v>0.95</v>
      </c>
      <c r="D99" s="1"/>
      <c r="E99" s="1"/>
      <c r="F99" s="1"/>
      <c r="G99" s="1"/>
    </row>
    <row r="100" spans="2:7" x14ac:dyDescent="0.3">
      <c r="B100" s="68" t="s">
        <v>674</v>
      </c>
      <c r="C100" s="467">
        <v>0.05</v>
      </c>
      <c r="D100" s="1"/>
      <c r="E100" s="1"/>
      <c r="F100" s="1"/>
      <c r="G100" s="1"/>
    </row>
    <row r="101" spans="2:7" x14ac:dyDescent="0.3">
      <c r="B101" s="1"/>
      <c r="C101" s="1"/>
      <c r="D101" s="1"/>
      <c r="E101" s="1"/>
      <c r="F101" s="1"/>
      <c r="G101" s="1"/>
    </row>
  </sheetData>
  <phoneticPr fontId="5" type="noConversion"/>
  <dataValidations disablePrompts="1" count="1">
    <dataValidation type="list" allowBlank="1" showInputMessage="1" showErrorMessage="1" sqref="D16" xr:uid="{D00F5E4B-D8EF-43FD-BF6D-BDBA3163D8AE}">
      <formula1>$B$17:$B$18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3399-1F67-4A5E-8833-E11F95C809C8}">
  <dimension ref="B2:GJ73"/>
  <sheetViews>
    <sheetView topLeftCell="A4" zoomScaleNormal="100" workbookViewId="0">
      <selection activeCell="E21" sqref="E21"/>
    </sheetView>
  </sheetViews>
  <sheetFormatPr defaultRowHeight="13.2" x14ac:dyDescent="0.3"/>
  <cols>
    <col min="1" max="1" width="5.875" customWidth="1"/>
    <col min="2" max="2" width="4.875" customWidth="1"/>
    <col min="3" max="3" width="13.625" customWidth="1"/>
    <col min="4" max="4" width="15.125" bestFit="1" customWidth="1"/>
    <col min="5" max="192" width="11.25" bestFit="1" customWidth="1"/>
  </cols>
  <sheetData>
    <row r="2" spans="2:188" x14ac:dyDescent="0.3">
      <c r="D2" s="497"/>
      <c r="E2" s="500"/>
      <c r="F2" s="423"/>
      <c r="G2" s="423"/>
      <c r="I2" s="497"/>
    </row>
    <row r="3" spans="2:188" s="542" customFormat="1" x14ac:dyDescent="0.3">
      <c r="C3" s="543" t="s">
        <v>722</v>
      </c>
    </row>
    <row r="5" spans="2:188" x14ac:dyDescent="0.3">
      <c r="C5" s="56" t="s">
        <v>706</v>
      </c>
      <c r="D5" s="513"/>
      <c r="E5" s="514">
        <v>45199</v>
      </c>
      <c r="F5" s="514">
        <v>45230</v>
      </c>
      <c r="G5" s="514">
        <v>45260</v>
      </c>
      <c r="H5" s="514">
        <v>45291</v>
      </c>
      <c r="I5" s="514">
        <v>45322</v>
      </c>
      <c r="J5" s="514">
        <v>45351</v>
      </c>
      <c r="K5" s="514">
        <v>45382</v>
      </c>
      <c r="L5" s="514">
        <v>45412</v>
      </c>
      <c r="M5" s="514">
        <v>45443</v>
      </c>
      <c r="N5" s="514">
        <v>45473</v>
      </c>
      <c r="O5" s="514">
        <v>45504</v>
      </c>
      <c r="P5" s="514">
        <v>45535</v>
      </c>
      <c r="Q5" s="514">
        <v>45565</v>
      </c>
      <c r="R5" s="514">
        <v>45596</v>
      </c>
      <c r="S5" s="514">
        <v>45626</v>
      </c>
      <c r="T5" s="514">
        <v>45657</v>
      </c>
      <c r="U5" s="514">
        <v>45688</v>
      </c>
      <c r="V5" s="514">
        <v>45716</v>
      </c>
      <c r="W5" s="514">
        <v>45747</v>
      </c>
      <c r="X5" s="514">
        <v>45777</v>
      </c>
      <c r="Y5" s="514">
        <v>45808</v>
      </c>
      <c r="Z5" s="514">
        <v>45838</v>
      </c>
      <c r="AA5" s="514">
        <v>45869</v>
      </c>
      <c r="AB5" s="514">
        <v>45900</v>
      </c>
      <c r="AC5" s="514">
        <v>45930</v>
      </c>
      <c r="AD5" s="514">
        <v>45961</v>
      </c>
      <c r="AE5" s="514">
        <v>45991</v>
      </c>
      <c r="AF5" s="514">
        <v>46022</v>
      </c>
      <c r="AG5" s="514">
        <v>46053</v>
      </c>
      <c r="AH5" s="514">
        <v>46081</v>
      </c>
      <c r="AI5" s="514">
        <v>46112</v>
      </c>
      <c r="AJ5" s="514">
        <v>46142</v>
      </c>
      <c r="AK5" s="514">
        <v>46173</v>
      </c>
      <c r="AL5" s="514">
        <v>46203</v>
      </c>
      <c r="AM5" s="514">
        <v>46234</v>
      </c>
      <c r="AN5" s="514">
        <v>46265</v>
      </c>
      <c r="AO5" s="514">
        <v>46295</v>
      </c>
      <c r="AP5" s="514">
        <v>46326</v>
      </c>
      <c r="AQ5" s="514">
        <v>46356</v>
      </c>
      <c r="AR5" s="514">
        <v>46387</v>
      </c>
      <c r="AS5" s="514">
        <v>46418</v>
      </c>
      <c r="AT5" s="514">
        <v>46446</v>
      </c>
      <c r="AU5" s="514">
        <v>46477</v>
      </c>
      <c r="AV5" s="514">
        <v>46507</v>
      </c>
      <c r="AW5" s="514">
        <v>46538</v>
      </c>
      <c r="AX5" s="514">
        <v>46568</v>
      </c>
      <c r="AY5" s="514">
        <v>46599</v>
      </c>
      <c r="AZ5" s="514">
        <v>46630</v>
      </c>
      <c r="BA5" s="514">
        <v>46660</v>
      </c>
      <c r="BB5" s="514">
        <v>46691</v>
      </c>
      <c r="BC5" s="514">
        <v>46721</v>
      </c>
      <c r="BD5" s="514">
        <v>46752</v>
      </c>
      <c r="BE5" s="514">
        <v>46783</v>
      </c>
      <c r="BF5" s="514">
        <v>46812</v>
      </c>
      <c r="BG5" s="514">
        <v>46843</v>
      </c>
      <c r="BH5" s="514">
        <v>46873</v>
      </c>
      <c r="BI5" s="514">
        <v>46904</v>
      </c>
      <c r="BJ5" s="514">
        <v>46934</v>
      </c>
      <c r="BK5" s="514">
        <v>46965</v>
      </c>
      <c r="BL5" s="514">
        <v>46996</v>
      </c>
      <c r="BM5" s="514">
        <v>47026</v>
      </c>
      <c r="BN5" s="514">
        <v>47057</v>
      </c>
      <c r="BO5" s="514">
        <v>47087</v>
      </c>
      <c r="BP5" s="514">
        <v>47118</v>
      </c>
      <c r="BQ5" s="514">
        <v>47149</v>
      </c>
      <c r="BR5" s="514">
        <v>47177</v>
      </c>
      <c r="BS5" s="514">
        <v>47208</v>
      </c>
      <c r="BT5" s="514">
        <v>47238</v>
      </c>
      <c r="BU5" s="514">
        <v>47269</v>
      </c>
      <c r="BV5" s="514">
        <v>47299</v>
      </c>
      <c r="BW5" s="514">
        <v>47330</v>
      </c>
      <c r="BX5" s="514">
        <v>47361</v>
      </c>
      <c r="BY5" s="514">
        <v>47391</v>
      </c>
      <c r="BZ5" s="514">
        <v>47422</v>
      </c>
      <c r="CA5" s="514">
        <v>47452</v>
      </c>
      <c r="CB5" s="514">
        <v>47483</v>
      </c>
      <c r="CC5" s="514">
        <v>47514</v>
      </c>
      <c r="CD5" s="514">
        <v>47542</v>
      </c>
      <c r="CE5" s="514">
        <v>47573</v>
      </c>
      <c r="CF5" s="514">
        <v>47603</v>
      </c>
      <c r="CG5" s="514">
        <v>47634</v>
      </c>
      <c r="CH5" s="514">
        <v>47664</v>
      </c>
      <c r="CI5" s="514">
        <v>47695</v>
      </c>
      <c r="CJ5" s="514">
        <v>47726</v>
      </c>
      <c r="CK5" s="514">
        <v>47756</v>
      </c>
      <c r="CL5" s="514">
        <v>47787</v>
      </c>
      <c r="CM5" s="514">
        <v>47817</v>
      </c>
      <c r="CN5" s="514">
        <v>47848</v>
      </c>
      <c r="CO5" s="514">
        <v>47879</v>
      </c>
      <c r="CP5" s="514">
        <v>47907</v>
      </c>
      <c r="CQ5" s="514">
        <v>47938</v>
      </c>
      <c r="CR5" s="514">
        <v>47968</v>
      </c>
      <c r="CS5" s="514">
        <v>47999</v>
      </c>
      <c r="CT5" s="514">
        <v>48029</v>
      </c>
      <c r="CU5" s="514">
        <v>48060</v>
      </c>
      <c r="CV5" s="514">
        <v>48091</v>
      </c>
      <c r="CW5" s="514">
        <v>48121</v>
      </c>
      <c r="CX5" s="514">
        <v>48152</v>
      </c>
      <c r="CY5" s="514">
        <v>48182</v>
      </c>
      <c r="CZ5" s="514">
        <v>48213</v>
      </c>
      <c r="DA5" s="514">
        <v>48244</v>
      </c>
      <c r="DB5" s="514">
        <v>48273</v>
      </c>
      <c r="DC5" s="514">
        <v>48304</v>
      </c>
      <c r="DD5" s="514">
        <v>48334</v>
      </c>
      <c r="DE5" s="514">
        <v>48365</v>
      </c>
      <c r="DF5" s="514">
        <v>48395</v>
      </c>
      <c r="DG5" s="514">
        <v>48426</v>
      </c>
      <c r="DH5" s="514">
        <v>48457</v>
      </c>
      <c r="DI5" s="514">
        <v>48487</v>
      </c>
      <c r="DJ5" s="514">
        <v>48518</v>
      </c>
      <c r="DK5" s="514">
        <v>48548</v>
      </c>
      <c r="DL5" s="514">
        <v>48579</v>
      </c>
      <c r="DM5" s="514">
        <v>48610</v>
      </c>
      <c r="DN5" s="514">
        <v>48638</v>
      </c>
      <c r="DO5" s="514">
        <v>48669</v>
      </c>
      <c r="DP5" s="514">
        <v>48699</v>
      </c>
      <c r="DQ5" s="514">
        <v>48730</v>
      </c>
      <c r="DR5" s="514">
        <v>48760</v>
      </c>
      <c r="DS5" s="514">
        <v>48791</v>
      </c>
      <c r="DT5" s="514">
        <v>48822</v>
      </c>
      <c r="DU5" s="514">
        <v>48852</v>
      </c>
      <c r="DV5" s="514">
        <v>48883</v>
      </c>
      <c r="DW5" s="514">
        <v>48913</v>
      </c>
      <c r="DX5" s="514">
        <v>48944</v>
      </c>
      <c r="DY5" s="514">
        <v>48975</v>
      </c>
      <c r="DZ5" s="514">
        <v>49003</v>
      </c>
      <c r="EA5" s="514">
        <v>49034</v>
      </c>
      <c r="EB5" s="514">
        <v>49064</v>
      </c>
      <c r="EC5" s="514">
        <v>49095</v>
      </c>
      <c r="ED5" s="514">
        <v>49125</v>
      </c>
      <c r="EE5" s="514">
        <v>49156</v>
      </c>
      <c r="EF5" s="514">
        <v>49187</v>
      </c>
      <c r="EG5" s="514">
        <v>49217</v>
      </c>
      <c r="EH5" s="514">
        <v>49248</v>
      </c>
      <c r="EI5" s="514">
        <v>49278</v>
      </c>
      <c r="EJ5" s="514">
        <v>49309</v>
      </c>
      <c r="EK5" s="514">
        <v>49340</v>
      </c>
      <c r="EL5" s="514">
        <v>49368</v>
      </c>
      <c r="EM5" s="514">
        <v>49399</v>
      </c>
      <c r="EN5" s="514">
        <v>49429</v>
      </c>
      <c r="EO5" s="514">
        <v>49460</v>
      </c>
      <c r="EP5" s="514">
        <v>49490</v>
      </c>
      <c r="EQ5" s="514">
        <v>49521</v>
      </c>
      <c r="ER5" s="514">
        <v>49552</v>
      </c>
      <c r="ES5" s="514">
        <v>49582</v>
      </c>
      <c r="ET5" s="514">
        <v>49613</v>
      </c>
      <c r="EU5" s="514">
        <v>49643</v>
      </c>
      <c r="EV5" s="514">
        <v>49674</v>
      </c>
      <c r="EW5" s="514">
        <v>49705</v>
      </c>
      <c r="EX5" s="514">
        <v>49734</v>
      </c>
      <c r="EY5" s="514">
        <v>49765</v>
      </c>
      <c r="EZ5" s="514">
        <v>49795</v>
      </c>
      <c r="FA5" s="514">
        <v>49826</v>
      </c>
      <c r="FB5" s="514">
        <v>49856</v>
      </c>
      <c r="FC5" s="514">
        <v>49887</v>
      </c>
      <c r="FD5" s="514">
        <v>49918</v>
      </c>
      <c r="FE5" s="514">
        <v>49948</v>
      </c>
      <c r="FF5" s="514">
        <v>49979</v>
      </c>
      <c r="FG5" s="514">
        <v>50009</v>
      </c>
      <c r="FH5" s="514">
        <v>50040</v>
      </c>
      <c r="FI5" s="514">
        <v>50071</v>
      </c>
      <c r="FJ5" s="514">
        <v>50099</v>
      </c>
      <c r="FK5" s="514">
        <v>50130</v>
      </c>
      <c r="FL5" s="514">
        <v>50160</v>
      </c>
      <c r="FM5" s="514">
        <v>50191</v>
      </c>
      <c r="FN5" s="514">
        <v>50221</v>
      </c>
      <c r="FO5" s="514">
        <v>50252</v>
      </c>
      <c r="FP5" s="514">
        <v>50283</v>
      </c>
      <c r="FQ5" s="514">
        <v>50313</v>
      </c>
      <c r="FR5" s="514">
        <v>50344</v>
      </c>
      <c r="FS5" s="514">
        <v>50374</v>
      </c>
      <c r="FT5" s="514">
        <v>50405</v>
      </c>
      <c r="FU5" s="514">
        <v>50436</v>
      </c>
      <c r="FV5" s="514">
        <v>50464</v>
      </c>
      <c r="FW5" s="514">
        <v>50495</v>
      </c>
      <c r="FX5" s="514">
        <v>50525</v>
      </c>
      <c r="FY5" s="514">
        <v>50556</v>
      </c>
      <c r="FZ5" s="514">
        <v>50586</v>
      </c>
      <c r="GA5" s="514">
        <v>50617</v>
      </c>
      <c r="GB5" s="514">
        <v>50648</v>
      </c>
      <c r="GC5" s="514">
        <v>50678</v>
      </c>
      <c r="GD5" s="514">
        <v>50709</v>
      </c>
      <c r="GE5" s="514">
        <v>50739</v>
      </c>
      <c r="GF5" s="515">
        <v>50770</v>
      </c>
    </row>
    <row r="6" spans="2:188" x14ac:dyDescent="0.3">
      <c r="C6" s="56" t="s">
        <v>705</v>
      </c>
      <c r="D6" s="513"/>
      <c r="E6" s="514">
        <v>45194</v>
      </c>
      <c r="F6" s="514">
        <v>45224</v>
      </c>
      <c r="G6" s="514">
        <v>45255</v>
      </c>
      <c r="H6" s="514">
        <v>45285</v>
      </c>
      <c r="I6" s="514">
        <v>45316</v>
      </c>
      <c r="J6" s="514">
        <v>45347</v>
      </c>
      <c r="K6" s="514">
        <v>45376</v>
      </c>
      <c r="L6" s="514">
        <v>45407</v>
      </c>
      <c r="M6" s="514">
        <v>45437</v>
      </c>
      <c r="N6" s="514">
        <v>45468</v>
      </c>
      <c r="O6" s="514">
        <v>45498</v>
      </c>
      <c r="P6" s="514">
        <v>45529</v>
      </c>
      <c r="Q6" s="514">
        <v>45560</v>
      </c>
      <c r="R6" s="514">
        <v>45590</v>
      </c>
      <c r="S6" s="514">
        <v>45621</v>
      </c>
      <c r="T6" s="514">
        <v>45651</v>
      </c>
      <c r="U6" s="514">
        <v>45682</v>
      </c>
      <c r="V6" s="514">
        <v>45713</v>
      </c>
      <c r="W6" s="514">
        <v>45741</v>
      </c>
      <c r="X6" s="514">
        <v>45772</v>
      </c>
      <c r="Y6" s="514">
        <v>45802</v>
      </c>
      <c r="Z6" s="514">
        <v>45833</v>
      </c>
      <c r="AA6" s="514">
        <v>45863</v>
      </c>
      <c r="AB6" s="514">
        <v>45894</v>
      </c>
      <c r="AC6" s="514">
        <v>45925</v>
      </c>
      <c r="AD6" s="514">
        <v>45955</v>
      </c>
      <c r="AE6" s="514">
        <v>45986</v>
      </c>
      <c r="AF6" s="514">
        <v>46016</v>
      </c>
      <c r="AG6" s="514">
        <v>46047</v>
      </c>
      <c r="AH6" s="514">
        <v>46078</v>
      </c>
      <c r="AI6" s="514">
        <v>46106</v>
      </c>
      <c r="AJ6" s="514">
        <v>46137</v>
      </c>
      <c r="AK6" s="514">
        <v>46167</v>
      </c>
      <c r="AL6" s="514">
        <v>46198</v>
      </c>
      <c r="AM6" s="514">
        <v>46228</v>
      </c>
      <c r="AN6" s="514">
        <v>46259</v>
      </c>
      <c r="AO6" s="514">
        <v>46290</v>
      </c>
      <c r="AP6" s="514">
        <v>46320</v>
      </c>
      <c r="AQ6" s="514">
        <v>46351</v>
      </c>
      <c r="AR6" s="514">
        <v>46381</v>
      </c>
      <c r="AS6" s="514">
        <v>46412</v>
      </c>
      <c r="AT6" s="514">
        <v>46443</v>
      </c>
      <c r="AU6" s="514">
        <v>46471</v>
      </c>
      <c r="AV6" s="514">
        <v>46502</v>
      </c>
      <c r="AW6" s="514">
        <v>46532</v>
      </c>
      <c r="AX6" s="514">
        <v>46563</v>
      </c>
      <c r="AY6" s="514">
        <v>46593</v>
      </c>
      <c r="AZ6" s="514">
        <v>46624</v>
      </c>
      <c r="BA6" s="514">
        <v>46655</v>
      </c>
      <c r="BB6" s="514">
        <v>46685</v>
      </c>
      <c r="BC6" s="514">
        <v>46716</v>
      </c>
      <c r="BD6" s="514">
        <v>46746</v>
      </c>
      <c r="BE6" s="514">
        <v>46777</v>
      </c>
      <c r="BF6" s="514">
        <v>46808</v>
      </c>
      <c r="BG6" s="514">
        <v>46837</v>
      </c>
      <c r="BH6" s="514">
        <v>46868</v>
      </c>
      <c r="BI6" s="514">
        <v>46898</v>
      </c>
      <c r="BJ6" s="514">
        <v>46929</v>
      </c>
      <c r="BK6" s="514">
        <v>46959</v>
      </c>
      <c r="BL6" s="514">
        <v>46990</v>
      </c>
      <c r="BM6" s="514">
        <v>47021</v>
      </c>
      <c r="BN6" s="514">
        <v>47051</v>
      </c>
      <c r="BO6" s="514">
        <v>47082</v>
      </c>
      <c r="BP6" s="514">
        <v>47112</v>
      </c>
      <c r="BQ6" s="514">
        <v>47143</v>
      </c>
      <c r="BR6" s="514">
        <v>47174</v>
      </c>
      <c r="BS6" s="514">
        <v>47202</v>
      </c>
      <c r="BT6" s="514">
        <v>47233</v>
      </c>
      <c r="BU6" s="514">
        <v>47263</v>
      </c>
      <c r="BV6" s="514">
        <v>47294</v>
      </c>
      <c r="BW6" s="514">
        <v>47324</v>
      </c>
      <c r="BX6" s="514">
        <v>47355</v>
      </c>
      <c r="BY6" s="514">
        <v>47386</v>
      </c>
      <c r="BZ6" s="514">
        <v>47416</v>
      </c>
      <c r="CA6" s="514">
        <v>47447</v>
      </c>
      <c r="CB6" s="514">
        <v>47477</v>
      </c>
      <c r="CC6" s="514">
        <v>47508</v>
      </c>
      <c r="CD6" s="514">
        <v>47539</v>
      </c>
      <c r="CE6" s="514">
        <v>47567</v>
      </c>
      <c r="CF6" s="514">
        <v>47598</v>
      </c>
      <c r="CG6" s="514">
        <v>47628</v>
      </c>
      <c r="CH6" s="514">
        <v>47659</v>
      </c>
      <c r="CI6" s="514">
        <v>47689</v>
      </c>
      <c r="CJ6" s="514">
        <v>47720</v>
      </c>
      <c r="CK6" s="514">
        <v>47751</v>
      </c>
      <c r="CL6" s="514">
        <v>47781</v>
      </c>
      <c r="CM6" s="514">
        <v>47812</v>
      </c>
      <c r="CN6" s="514">
        <v>47842</v>
      </c>
      <c r="CO6" s="514">
        <v>47873</v>
      </c>
      <c r="CP6" s="514">
        <v>47904</v>
      </c>
      <c r="CQ6" s="514">
        <v>47932</v>
      </c>
      <c r="CR6" s="514">
        <v>47963</v>
      </c>
      <c r="CS6" s="514">
        <v>47993</v>
      </c>
      <c r="CT6" s="514">
        <v>48024</v>
      </c>
      <c r="CU6" s="514">
        <v>48054</v>
      </c>
      <c r="CV6" s="514">
        <v>48085</v>
      </c>
      <c r="CW6" s="514">
        <v>48116</v>
      </c>
      <c r="CX6" s="514">
        <v>48146</v>
      </c>
      <c r="CY6" s="514">
        <v>48177</v>
      </c>
      <c r="CZ6" s="514">
        <v>48207</v>
      </c>
      <c r="DA6" s="514">
        <v>48238</v>
      </c>
      <c r="DB6" s="514">
        <v>48269</v>
      </c>
      <c r="DC6" s="514">
        <v>48298</v>
      </c>
      <c r="DD6" s="514">
        <v>48329</v>
      </c>
      <c r="DE6" s="514">
        <v>48359</v>
      </c>
      <c r="DF6" s="514">
        <v>48390</v>
      </c>
      <c r="DG6" s="514">
        <v>48420</v>
      </c>
      <c r="DH6" s="514">
        <v>48451</v>
      </c>
      <c r="DI6" s="514">
        <v>48482</v>
      </c>
      <c r="DJ6" s="514">
        <v>48512</v>
      </c>
      <c r="DK6" s="514">
        <v>48543</v>
      </c>
      <c r="DL6" s="514">
        <v>48573</v>
      </c>
      <c r="DM6" s="514">
        <v>48604</v>
      </c>
      <c r="DN6" s="514">
        <v>48635</v>
      </c>
      <c r="DO6" s="514">
        <v>48663</v>
      </c>
      <c r="DP6" s="514">
        <v>48694</v>
      </c>
      <c r="DQ6" s="514">
        <v>48724</v>
      </c>
      <c r="DR6" s="514">
        <v>48755</v>
      </c>
      <c r="DS6" s="514">
        <v>48785</v>
      </c>
      <c r="DT6" s="514">
        <v>48816</v>
      </c>
      <c r="DU6" s="514">
        <v>48847</v>
      </c>
      <c r="DV6" s="514">
        <v>48877</v>
      </c>
      <c r="DW6" s="514">
        <v>48908</v>
      </c>
      <c r="DX6" s="514">
        <v>48938</v>
      </c>
      <c r="DY6" s="514">
        <v>48969</v>
      </c>
      <c r="DZ6" s="514">
        <v>49000</v>
      </c>
      <c r="EA6" s="514">
        <v>49028</v>
      </c>
      <c r="EB6" s="514">
        <v>49059</v>
      </c>
      <c r="EC6" s="514">
        <v>49089</v>
      </c>
      <c r="ED6" s="514">
        <v>49120</v>
      </c>
      <c r="EE6" s="514">
        <v>49150</v>
      </c>
      <c r="EF6" s="514">
        <v>49181</v>
      </c>
      <c r="EG6" s="514">
        <v>49212</v>
      </c>
      <c r="EH6" s="514">
        <v>49242</v>
      </c>
      <c r="EI6" s="514">
        <v>49273</v>
      </c>
      <c r="EJ6" s="514">
        <v>49303</v>
      </c>
      <c r="EK6" s="514">
        <v>49334</v>
      </c>
      <c r="EL6" s="514">
        <v>49365</v>
      </c>
      <c r="EM6" s="514">
        <v>49393</v>
      </c>
      <c r="EN6" s="514">
        <v>49424</v>
      </c>
      <c r="EO6" s="514">
        <v>49454</v>
      </c>
      <c r="EP6" s="514">
        <v>49485</v>
      </c>
      <c r="EQ6" s="514">
        <v>49515</v>
      </c>
      <c r="ER6" s="514">
        <v>49546</v>
      </c>
      <c r="ES6" s="514">
        <v>49577</v>
      </c>
      <c r="ET6" s="514">
        <v>49607</v>
      </c>
      <c r="EU6" s="514">
        <v>49638</v>
      </c>
      <c r="EV6" s="514">
        <v>49668</v>
      </c>
      <c r="EW6" s="514">
        <v>49699</v>
      </c>
      <c r="EX6" s="514">
        <v>49730</v>
      </c>
      <c r="EY6" s="514">
        <v>49759</v>
      </c>
      <c r="EZ6" s="514">
        <v>49790</v>
      </c>
      <c r="FA6" s="514">
        <v>49820</v>
      </c>
      <c r="FB6" s="514">
        <v>49851</v>
      </c>
      <c r="FC6" s="514">
        <v>49881</v>
      </c>
      <c r="FD6" s="514">
        <v>49912</v>
      </c>
      <c r="FE6" s="514">
        <v>49943</v>
      </c>
      <c r="FF6" s="514">
        <v>49973</v>
      </c>
      <c r="FG6" s="514">
        <v>50004</v>
      </c>
      <c r="FH6" s="514">
        <v>50034</v>
      </c>
      <c r="FI6" s="514">
        <v>50065</v>
      </c>
      <c r="FJ6" s="514">
        <v>50096</v>
      </c>
      <c r="FK6" s="514">
        <v>50124</v>
      </c>
      <c r="FL6" s="514">
        <v>50155</v>
      </c>
      <c r="FM6" s="514">
        <v>50185</v>
      </c>
      <c r="FN6" s="514">
        <v>50216</v>
      </c>
      <c r="FO6" s="514">
        <v>50246</v>
      </c>
      <c r="FP6" s="514">
        <v>50277</v>
      </c>
      <c r="FQ6" s="514">
        <v>50308</v>
      </c>
      <c r="FR6" s="514">
        <v>50338</v>
      </c>
      <c r="FS6" s="514">
        <v>50369</v>
      </c>
      <c r="FT6" s="514">
        <v>50399</v>
      </c>
      <c r="FU6" s="514">
        <v>50430</v>
      </c>
      <c r="FV6" s="514">
        <v>50461</v>
      </c>
      <c r="FW6" s="514">
        <v>50489</v>
      </c>
      <c r="FX6" s="514">
        <v>50520</v>
      </c>
      <c r="FY6" s="514">
        <v>50550</v>
      </c>
      <c r="FZ6" s="514">
        <v>50581</v>
      </c>
      <c r="GA6" s="514">
        <v>50611</v>
      </c>
      <c r="GB6" s="514">
        <v>50642</v>
      </c>
      <c r="GC6" s="514">
        <v>50673</v>
      </c>
      <c r="GD6" s="514">
        <v>50703</v>
      </c>
      <c r="GE6" s="514">
        <v>50734</v>
      </c>
      <c r="GF6" s="515">
        <v>50764</v>
      </c>
    </row>
    <row r="7" spans="2:188" x14ac:dyDescent="0.3">
      <c r="I7">
        <v>1</v>
      </c>
      <c r="J7">
        <f>IF(I7=12,1,I7+1)</f>
        <v>2</v>
      </c>
      <c r="K7">
        <f>IF(J7=12,1,J7+1)</f>
        <v>3</v>
      </c>
      <c r="L7">
        <f t="shared" ref="L7:BW7" si="0">IF(K7=12,1,K7+1)</f>
        <v>4</v>
      </c>
      <c r="M7">
        <f t="shared" si="0"/>
        <v>5</v>
      </c>
      <c r="N7">
        <f t="shared" si="0"/>
        <v>6</v>
      </c>
      <c r="O7">
        <f t="shared" si="0"/>
        <v>7</v>
      </c>
      <c r="P7">
        <f t="shared" si="0"/>
        <v>8</v>
      </c>
      <c r="Q7">
        <f t="shared" si="0"/>
        <v>9</v>
      </c>
      <c r="R7">
        <f t="shared" si="0"/>
        <v>10</v>
      </c>
      <c r="S7">
        <f t="shared" si="0"/>
        <v>11</v>
      </c>
      <c r="T7">
        <f t="shared" si="0"/>
        <v>12</v>
      </c>
      <c r="U7">
        <f t="shared" si="0"/>
        <v>1</v>
      </c>
      <c r="V7">
        <f t="shared" si="0"/>
        <v>2</v>
      </c>
      <c r="W7">
        <f t="shared" si="0"/>
        <v>3</v>
      </c>
      <c r="X7">
        <f t="shared" si="0"/>
        <v>4</v>
      </c>
      <c r="Y7">
        <f t="shared" si="0"/>
        <v>5</v>
      </c>
      <c r="Z7">
        <f t="shared" si="0"/>
        <v>6</v>
      </c>
      <c r="AA7">
        <f t="shared" si="0"/>
        <v>7</v>
      </c>
      <c r="AB7">
        <f t="shared" si="0"/>
        <v>8</v>
      </c>
      <c r="AC7">
        <f t="shared" si="0"/>
        <v>9</v>
      </c>
      <c r="AD7">
        <f t="shared" si="0"/>
        <v>10</v>
      </c>
      <c r="AE7">
        <f t="shared" si="0"/>
        <v>11</v>
      </c>
      <c r="AF7">
        <f t="shared" si="0"/>
        <v>12</v>
      </c>
      <c r="AG7">
        <f t="shared" si="0"/>
        <v>1</v>
      </c>
      <c r="AH7">
        <f t="shared" si="0"/>
        <v>2</v>
      </c>
      <c r="AI7">
        <f t="shared" si="0"/>
        <v>3</v>
      </c>
      <c r="AJ7">
        <f t="shared" si="0"/>
        <v>4</v>
      </c>
      <c r="AK7">
        <f t="shared" si="0"/>
        <v>5</v>
      </c>
      <c r="AL7">
        <f t="shared" si="0"/>
        <v>6</v>
      </c>
      <c r="AM7">
        <f t="shared" si="0"/>
        <v>7</v>
      </c>
      <c r="AN7">
        <f t="shared" si="0"/>
        <v>8</v>
      </c>
      <c r="AO7">
        <f t="shared" si="0"/>
        <v>9</v>
      </c>
      <c r="AP7">
        <f t="shared" si="0"/>
        <v>10</v>
      </c>
      <c r="AQ7">
        <f t="shared" si="0"/>
        <v>11</v>
      </c>
      <c r="AR7">
        <f t="shared" si="0"/>
        <v>12</v>
      </c>
      <c r="AS7">
        <f t="shared" si="0"/>
        <v>1</v>
      </c>
      <c r="AT7">
        <f t="shared" si="0"/>
        <v>2</v>
      </c>
      <c r="AU7">
        <f t="shared" si="0"/>
        <v>3</v>
      </c>
      <c r="AV7">
        <f t="shared" si="0"/>
        <v>4</v>
      </c>
      <c r="AW7">
        <f t="shared" si="0"/>
        <v>5</v>
      </c>
      <c r="AX7">
        <f t="shared" si="0"/>
        <v>6</v>
      </c>
      <c r="AY7">
        <f t="shared" si="0"/>
        <v>7</v>
      </c>
      <c r="AZ7">
        <f t="shared" si="0"/>
        <v>8</v>
      </c>
      <c r="BA7">
        <f t="shared" si="0"/>
        <v>9</v>
      </c>
      <c r="BB7">
        <f t="shared" si="0"/>
        <v>10</v>
      </c>
      <c r="BC7">
        <f t="shared" si="0"/>
        <v>11</v>
      </c>
      <c r="BD7">
        <f t="shared" si="0"/>
        <v>12</v>
      </c>
      <c r="BE7">
        <f t="shared" si="0"/>
        <v>1</v>
      </c>
      <c r="BF7">
        <f t="shared" si="0"/>
        <v>2</v>
      </c>
      <c r="BG7">
        <f t="shared" si="0"/>
        <v>3</v>
      </c>
      <c r="BH7">
        <f t="shared" si="0"/>
        <v>4</v>
      </c>
      <c r="BI7">
        <f t="shared" si="0"/>
        <v>5</v>
      </c>
      <c r="BJ7">
        <f t="shared" si="0"/>
        <v>6</v>
      </c>
      <c r="BK7">
        <f t="shared" si="0"/>
        <v>7</v>
      </c>
      <c r="BL7">
        <f t="shared" si="0"/>
        <v>8</v>
      </c>
      <c r="BM7">
        <f t="shared" si="0"/>
        <v>9</v>
      </c>
      <c r="BN7">
        <f t="shared" si="0"/>
        <v>10</v>
      </c>
      <c r="BO7">
        <f t="shared" si="0"/>
        <v>11</v>
      </c>
      <c r="BP7">
        <f t="shared" si="0"/>
        <v>12</v>
      </c>
      <c r="BQ7">
        <f t="shared" si="0"/>
        <v>1</v>
      </c>
      <c r="BR7">
        <f t="shared" si="0"/>
        <v>2</v>
      </c>
      <c r="BS7">
        <f t="shared" si="0"/>
        <v>3</v>
      </c>
      <c r="BT7">
        <f t="shared" si="0"/>
        <v>4</v>
      </c>
      <c r="BU7">
        <f t="shared" si="0"/>
        <v>5</v>
      </c>
      <c r="BV7">
        <f t="shared" si="0"/>
        <v>6</v>
      </c>
      <c r="BW7">
        <f t="shared" si="0"/>
        <v>7</v>
      </c>
      <c r="BX7">
        <f t="shared" ref="BX7:EI7" si="1">IF(BW7=12,1,BW7+1)</f>
        <v>8</v>
      </c>
      <c r="BY7">
        <f t="shared" si="1"/>
        <v>9</v>
      </c>
      <c r="BZ7">
        <f t="shared" si="1"/>
        <v>10</v>
      </c>
      <c r="CA7">
        <f t="shared" si="1"/>
        <v>11</v>
      </c>
      <c r="CB7">
        <f t="shared" si="1"/>
        <v>12</v>
      </c>
      <c r="CC7">
        <f t="shared" si="1"/>
        <v>1</v>
      </c>
      <c r="CD7">
        <f t="shared" si="1"/>
        <v>2</v>
      </c>
      <c r="CE7">
        <f t="shared" si="1"/>
        <v>3</v>
      </c>
      <c r="CF7">
        <f t="shared" si="1"/>
        <v>4</v>
      </c>
      <c r="CG7">
        <f t="shared" si="1"/>
        <v>5</v>
      </c>
      <c r="CH7">
        <f t="shared" si="1"/>
        <v>6</v>
      </c>
      <c r="CI7">
        <f t="shared" si="1"/>
        <v>7</v>
      </c>
      <c r="CJ7">
        <f t="shared" si="1"/>
        <v>8</v>
      </c>
      <c r="CK7">
        <f t="shared" si="1"/>
        <v>9</v>
      </c>
      <c r="CL7">
        <f t="shared" si="1"/>
        <v>10</v>
      </c>
      <c r="CM7">
        <f t="shared" si="1"/>
        <v>11</v>
      </c>
      <c r="CN7">
        <f t="shared" si="1"/>
        <v>12</v>
      </c>
      <c r="CO7">
        <f t="shared" si="1"/>
        <v>1</v>
      </c>
      <c r="CP7">
        <f t="shared" si="1"/>
        <v>2</v>
      </c>
      <c r="CQ7">
        <f t="shared" si="1"/>
        <v>3</v>
      </c>
      <c r="CR7">
        <f t="shared" si="1"/>
        <v>4</v>
      </c>
      <c r="CS7">
        <f t="shared" si="1"/>
        <v>5</v>
      </c>
      <c r="CT7">
        <f t="shared" si="1"/>
        <v>6</v>
      </c>
      <c r="CU7">
        <f t="shared" si="1"/>
        <v>7</v>
      </c>
      <c r="CV7">
        <f t="shared" si="1"/>
        <v>8</v>
      </c>
      <c r="CW7">
        <f t="shared" si="1"/>
        <v>9</v>
      </c>
      <c r="CX7">
        <f t="shared" si="1"/>
        <v>10</v>
      </c>
      <c r="CY7">
        <f t="shared" si="1"/>
        <v>11</v>
      </c>
      <c r="CZ7">
        <f t="shared" si="1"/>
        <v>12</v>
      </c>
      <c r="DA7">
        <f t="shared" si="1"/>
        <v>1</v>
      </c>
      <c r="DB7">
        <f t="shared" si="1"/>
        <v>2</v>
      </c>
      <c r="DC7">
        <f t="shared" si="1"/>
        <v>3</v>
      </c>
      <c r="DD7">
        <f t="shared" si="1"/>
        <v>4</v>
      </c>
      <c r="DE7">
        <f t="shared" si="1"/>
        <v>5</v>
      </c>
      <c r="DF7">
        <f t="shared" si="1"/>
        <v>6</v>
      </c>
      <c r="DG7">
        <f t="shared" si="1"/>
        <v>7</v>
      </c>
      <c r="DH7">
        <f t="shared" si="1"/>
        <v>8</v>
      </c>
      <c r="DI7">
        <f t="shared" si="1"/>
        <v>9</v>
      </c>
      <c r="DJ7">
        <f t="shared" si="1"/>
        <v>10</v>
      </c>
      <c r="DK7">
        <f t="shared" si="1"/>
        <v>11</v>
      </c>
      <c r="DL7">
        <f t="shared" si="1"/>
        <v>12</v>
      </c>
      <c r="DM7">
        <f t="shared" si="1"/>
        <v>1</v>
      </c>
      <c r="DN7">
        <f t="shared" si="1"/>
        <v>2</v>
      </c>
      <c r="DO7">
        <f t="shared" si="1"/>
        <v>3</v>
      </c>
      <c r="DP7">
        <f t="shared" si="1"/>
        <v>4</v>
      </c>
      <c r="DQ7">
        <f t="shared" si="1"/>
        <v>5</v>
      </c>
      <c r="DR7">
        <f t="shared" si="1"/>
        <v>6</v>
      </c>
      <c r="DS7">
        <f t="shared" si="1"/>
        <v>7</v>
      </c>
      <c r="DT7">
        <f t="shared" si="1"/>
        <v>8</v>
      </c>
      <c r="DU7">
        <f t="shared" si="1"/>
        <v>9</v>
      </c>
      <c r="DV7">
        <f t="shared" si="1"/>
        <v>10</v>
      </c>
      <c r="DW7">
        <f t="shared" si="1"/>
        <v>11</v>
      </c>
      <c r="DX7">
        <f t="shared" si="1"/>
        <v>12</v>
      </c>
      <c r="DY7">
        <f t="shared" si="1"/>
        <v>1</v>
      </c>
      <c r="DZ7">
        <f t="shared" si="1"/>
        <v>2</v>
      </c>
      <c r="EA7">
        <f t="shared" si="1"/>
        <v>3</v>
      </c>
      <c r="EB7">
        <f t="shared" si="1"/>
        <v>4</v>
      </c>
      <c r="EC7">
        <f t="shared" si="1"/>
        <v>5</v>
      </c>
      <c r="ED7">
        <f t="shared" si="1"/>
        <v>6</v>
      </c>
      <c r="EE7">
        <f t="shared" si="1"/>
        <v>7</v>
      </c>
      <c r="EF7">
        <f t="shared" si="1"/>
        <v>8</v>
      </c>
      <c r="EG7">
        <f t="shared" si="1"/>
        <v>9</v>
      </c>
      <c r="EH7">
        <f t="shared" si="1"/>
        <v>10</v>
      </c>
      <c r="EI7">
        <f t="shared" si="1"/>
        <v>11</v>
      </c>
      <c r="EJ7">
        <f t="shared" ref="EJ7:GF7" si="2">IF(EI7=12,1,EI7+1)</f>
        <v>12</v>
      </c>
      <c r="EK7">
        <f t="shared" si="2"/>
        <v>1</v>
      </c>
      <c r="EL7">
        <f t="shared" si="2"/>
        <v>2</v>
      </c>
      <c r="EM7">
        <f t="shared" si="2"/>
        <v>3</v>
      </c>
      <c r="EN7">
        <f t="shared" si="2"/>
        <v>4</v>
      </c>
      <c r="EO7">
        <f t="shared" si="2"/>
        <v>5</v>
      </c>
      <c r="EP7">
        <f t="shared" si="2"/>
        <v>6</v>
      </c>
      <c r="EQ7">
        <f t="shared" si="2"/>
        <v>7</v>
      </c>
      <c r="ER7">
        <f t="shared" si="2"/>
        <v>8</v>
      </c>
      <c r="ES7">
        <f t="shared" si="2"/>
        <v>9</v>
      </c>
      <c r="ET7">
        <f t="shared" si="2"/>
        <v>10</v>
      </c>
      <c r="EU7">
        <f t="shared" si="2"/>
        <v>11</v>
      </c>
      <c r="EV7">
        <f t="shared" si="2"/>
        <v>12</v>
      </c>
      <c r="EW7">
        <f t="shared" si="2"/>
        <v>1</v>
      </c>
      <c r="EX7">
        <f t="shared" si="2"/>
        <v>2</v>
      </c>
      <c r="EY7">
        <f t="shared" si="2"/>
        <v>3</v>
      </c>
      <c r="EZ7">
        <f t="shared" si="2"/>
        <v>4</v>
      </c>
      <c r="FA7">
        <f t="shared" si="2"/>
        <v>5</v>
      </c>
      <c r="FB7">
        <f t="shared" si="2"/>
        <v>6</v>
      </c>
      <c r="FC7">
        <f t="shared" si="2"/>
        <v>7</v>
      </c>
      <c r="FD7">
        <f t="shared" si="2"/>
        <v>8</v>
      </c>
      <c r="FE7">
        <f t="shared" si="2"/>
        <v>9</v>
      </c>
      <c r="FF7">
        <f t="shared" si="2"/>
        <v>10</v>
      </c>
      <c r="FG7">
        <f t="shared" si="2"/>
        <v>11</v>
      </c>
      <c r="FH7">
        <f t="shared" si="2"/>
        <v>12</v>
      </c>
      <c r="FI7">
        <f t="shared" si="2"/>
        <v>1</v>
      </c>
      <c r="FJ7">
        <f t="shared" si="2"/>
        <v>2</v>
      </c>
      <c r="FK7">
        <f t="shared" si="2"/>
        <v>3</v>
      </c>
      <c r="FL7">
        <f t="shared" si="2"/>
        <v>4</v>
      </c>
      <c r="FM7">
        <f t="shared" si="2"/>
        <v>5</v>
      </c>
      <c r="FN7">
        <f t="shared" si="2"/>
        <v>6</v>
      </c>
      <c r="FO7">
        <f t="shared" si="2"/>
        <v>7</v>
      </c>
      <c r="FP7">
        <f t="shared" si="2"/>
        <v>8</v>
      </c>
      <c r="FQ7">
        <f t="shared" si="2"/>
        <v>9</v>
      </c>
      <c r="FR7">
        <f t="shared" si="2"/>
        <v>10</v>
      </c>
      <c r="FS7">
        <f t="shared" si="2"/>
        <v>11</v>
      </c>
      <c r="FT7">
        <f t="shared" si="2"/>
        <v>12</v>
      </c>
      <c r="FU7">
        <f t="shared" si="2"/>
        <v>1</v>
      </c>
      <c r="FV7">
        <f t="shared" si="2"/>
        <v>2</v>
      </c>
      <c r="FW7">
        <f t="shared" si="2"/>
        <v>3</v>
      </c>
      <c r="FX7">
        <f t="shared" si="2"/>
        <v>4</v>
      </c>
      <c r="FY7">
        <f t="shared" si="2"/>
        <v>5</v>
      </c>
      <c r="FZ7">
        <f t="shared" si="2"/>
        <v>6</v>
      </c>
      <c r="GA7">
        <f t="shared" si="2"/>
        <v>7</v>
      </c>
      <c r="GB7">
        <f t="shared" si="2"/>
        <v>8</v>
      </c>
      <c r="GC7">
        <f t="shared" si="2"/>
        <v>9</v>
      </c>
      <c r="GD7">
        <f t="shared" si="2"/>
        <v>10</v>
      </c>
      <c r="GE7">
        <f t="shared" si="2"/>
        <v>11</v>
      </c>
      <c r="GF7">
        <f t="shared" si="2"/>
        <v>12</v>
      </c>
    </row>
    <row r="8" spans="2:188" x14ac:dyDescent="0.3">
      <c r="C8" s="611" t="s">
        <v>102</v>
      </c>
      <c r="D8" s="612" t="s">
        <v>107</v>
      </c>
      <c r="E8" s="61">
        <v>2023</v>
      </c>
      <c r="F8" s="61">
        <f>E8</f>
        <v>2023</v>
      </c>
      <c r="G8" s="61">
        <f t="shared" ref="G8:H8" si="3">F8</f>
        <v>2023</v>
      </c>
      <c r="H8" s="61">
        <f t="shared" si="3"/>
        <v>2023</v>
      </c>
      <c r="I8" s="61">
        <f>IF(AND(I7=1,H8&lt;2039),H8+1,IF(H8&lt;2039,H8,""))</f>
        <v>2024</v>
      </c>
      <c r="J8" s="61">
        <f t="shared" ref="J8:BU8" si="4">IF(AND(J7=1,I8&lt;2039),I8+1,IF(I8&lt;2039,I8,""))</f>
        <v>2024</v>
      </c>
      <c r="K8" s="61">
        <f t="shared" si="4"/>
        <v>2024</v>
      </c>
      <c r="L8" s="61">
        <f t="shared" si="4"/>
        <v>2024</v>
      </c>
      <c r="M8" s="61">
        <f t="shared" si="4"/>
        <v>2024</v>
      </c>
      <c r="N8" s="61">
        <f t="shared" si="4"/>
        <v>2024</v>
      </c>
      <c r="O8" s="61">
        <f t="shared" si="4"/>
        <v>2024</v>
      </c>
      <c r="P8" s="61">
        <f t="shared" si="4"/>
        <v>2024</v>
      </c>
      <c r="Q8" s="61">
        <f t="shared" si="4"/>
        <v>2024</v>
      </c>
      <c r="R8" s="61">
        <f t="shared" si="4"/>
        <v>2024</v>
      </c>
      <c r="S8" s="61">
        <f t="shared" si="4"/>
        <v>2024</v>
      </c>
      <c r="T8" s="61">
        <f t="shared" si="4"/>
        <v>2024</v>
      </c>
      <c r="U8" s="61">
        <f t="shared" si="4"/>
        <v>2025</v>
      </c>
      <c r="V8" s="61">
        <f t="shared" si="4"/>
        <v>2025</v>
      </c>
      <c r="W8" s="61">
        <f t="shared" si="4"/>
        <v>2025</v>
      </c>
      <c r="X8" s="61">
        <f t="shared" si="4"/>
        <v>2025</v>
      </c>
      <c r="Y8" s="61">
        <f t="shared" si="4"/>
        <v>2025</v>
      </c>
      <c r="Z8" s="61">
        <f t="shared" si="4"/>
        <v>2025</v>
      </c>
      <c r="AA8" s="61">
        <f t="shared" si="4"/>
        <v>2025</v>
      </c>
      <c r="AB8" s="61">
        <f t="shared" si="4"/>
        <v>2025</v>
      </c>
      <c r="AC8" s="61">
        <f t="shared" si="4"/>
        <v>2025</v>
      </c>
      <c r="AD8" s="61">
        <f t="shared" si="4"/>
        <v>2025</v>
      </c>
      <c r="AE8" s="61">
        <f t="shared" si="4"/>
        <v>2025</v>
      </c>
      <c r="AF8" s="61">
        <f t="shared" si="4"/>
        <v>2025</v>
      </c>
      <c r="AG8" s="61">
        <f t="shared" si="4"/>
        <v>2026</v>
      </c>
      <c r="AH8" s="61">
        <f t="shared" si="4"/>
        <v>2026</v>
      </c>
      <c r="AI8" s="61">
        <f t="shared" si="4"/>
        <v>2026</v>
      </c>
      <c r="AJ8" s="61">
        <f t="shared" si="4"/>
        <v>2026</v>
      </c>
      <c r="AK8" s="61">
        <f t="shared" si="4"/>
        <v>2026</v>
      </c>
      <c r="AL8" s="61">
        <f t="shared" si="4"/>
        <v>2026</v>
      </c>
      <c r="AM8" s="61">
        <f t="shared" si="4"/>
        <v>2026</v>
      </c>
      <c r="AN8" s="61">
        <f t="shared" si="4"/>
        <v>2026</v>
      </c>
      <c r="AO8" s="61">
        <f t="shared" si="4"/>
        <v>2026</v>
      </c>
      <c r="AP8" s="61">
        <f t="shared" si="4"/>
        <v>2026</v>
      </c>
      <c r="AQ8" s="61">
        <f t="shared" si="4"/>
        <v>2026</v>
      </c>
      <c r="AR8" s="61">
        <f t="shared" si="4"/>
        <v>2026</v>
      </c>
      <c r="AS8" s="61">
        <f t="shared" si="4"/>
        <v>2027</v>
      </c>
      <c r="AT8" s="61">
        <f t="shared" si="4"/>
        <v>2027</v>
      </c>
      <c r="AU8" s="61">
        <f t="shared" si="4"/>
        <v>2027</v>
      </c>
      <c r="AV8" s="61">
        <f t="shared" si="4"/>
        <v>2027</v>
      </c>
      <c r="AW8" s="61">
        <f t="shared" si="4"/>
        <v>2027</v>
      </c>
      <c r="AX8" s="61">
        <f t="shared" si="4"/>
        <v>2027</v>
      </c>
      <c r="AY8" s="61">
        <f t="shared" si="4"/>
        <v>2027</v>
      </c>
      <c r="AZ8" s="61">
        <f t="shared" si="4"/>
        <v>2027</v>
      </c>
      <c r="BA8" s="61">
        <f t="shared" si="4"/>
        <v>2027</v>
      </c>
      <c r="BB8" s="61">
        <f t="shared" si="4"/>
        <v>2027</v>
      </c>
      <c r="BC8" s="61">
        <f t="shared" si="4"/>
        <v>2027</v>
      </c>
      <c r="BD8" s="61">
        <f t="shared" si="4"/>
        <v>2027</v>
      </c>
      <c r="BE8" s="61">
        <f t="shared" si="4"/>
        <v>2028</v>
      </c>
      <c r="BF8" s="61">
        <f t="shared" si="4"/>
        <v>2028</v>
      </c>
      <c r="BG8" s="61">
        <f t="shared" si="4"/>
        <v>2028</v>
      </c>
      <c r="BH8" s="61">
        <f t="shared" si="4"/>
        <v>2028</v>
      </c>
      <c r="BI8" s="61">
        <f t="shared" si="4"/>
        <v>2028</v>
      </c>
      <c r="BJ8" s="61">
        <f t="shared" si="4"/>
        <v>2028</v>
      </c>
      <c r="BK8" s="61">
        <f t="shared" si="4"/>
        <v>2028</v>
      </c>
      <c r="BL8" s="61">
        <f t="shared" si="4"/>
        <v>2028</v>
      </c>
      <c r="BM8" s="61">
        <f t="shared" si="4"/>
        <v>2028</v>
      </c>
      <c r="BN8" s="61">
        <f t="shared" si="4"/>
        <v>2028</v>
      </c>
      <c r="BO8" s="61">
        <f t="shared" si="4"/>
        <v>2028</v>
      </c>
      <c r="BP8" s="61">
        <f t="shared" si="4"/>
        <v>2028</v>
      </c>
      <c r="BQ8" s="61">
        <f t="shared" si="4"/>
        <v>2029</v>
      </c>
      <c r="BR8" s="61">
        <f t="shared" si="4"/>
        <v>2029</v>
      </c>
      <c r="BS8" s="61">
        <f t="shared" si="4"/>
        <v>2029</v>
      </c>
      <c r="BT8" s="61">
        <f t="shared" si="4"/>
        <v>2029</v>
      </c>
      <c r="BU8" s="61">
        <f t="shared" si="4"/>
        <v>2029</v>
      </c>
      <c r="BV8" s="61">
        <f t="shared" ref="BV8:EG8" si="5">IF(AND(BV7=1,BU8&lt;2039),BU8+1,IF(BU8&lt;2039,BU8,""))</f>
        <v>2029</v>
      </c>
      <c r="BW8" s="61">
        <f t="shared" si="5"/>
        <v>2029</v>
      </c>
      <c r="BX8" s="61">
        <f t="shared" si="5"/>
        <v>2029</v>
      </c>
      <c r="BY8" s="61">
        <f t="shared" si="5"/>
        <v>2029</v>
      </c>
      <c r="BZ8" s="61">
        <f t="shared" si="5"/>
        <v>2029</v>
      </c>
      <c r="CA8" s="61">
        <f t="shared" si="5"/>
        <v>2029</v>
      </c>
      <c r="CB8" s="61">
        <f t="shared" si="5"/>
        <v>2029</v>
      </c>
      <c r="CC8" s="61">
        <f t="shared" si="5"/>
        <v>2030</v>
      </c>
      <c r="CD8" s="61">
        <f t="shared" si="5"/>
        <v>2030</v>
      </c>
      <c r="CE8" s="61">
        <f t="shared" si="5"/>
        <v>2030</v>
      </c>
      <c r="CF8" s="61">
        <f t="shared" si="5"/>
        <v>2030</v>
      </c>
      <c r="CG8" s="61">
        <f t="shared" si="5"/>
        <v>2030</v>
      </c>
      <c r="CH8" s="61">
        <f t="shared" si="5"/>
        <v>2030</v>
      </c>
      <c r="CI8" s="61">
        <f t="shared" si="5"/>
        <v>2030</v>
      </c>
      <c r="CJ8" s="61">
        <f t="shared" si="5"/>
        <v>2030</v>
      </c>
      <c r="CK8" s="61">
        <f t="shared" si="5"/>
        <v>2030</v>
      </c>
      <c r="CL8" s="61">
        <f t="shared" si="5"/>
        <v>2030</v>
      </c>
      <c r="CM8" s="61">
        <f t="shared" si="5"/>
        <v>2030</v>
      </c>
      <c r="CN8" s="61">
        <f t="shared" si="5"/>
        <v>2030</v>
      </c>
      <c r="CO8" s="61">
        <f t="shared" si="5"/>
        <v>2031</v>
      </c>
      <c r="CP8" s="61">
        <f t="shared" si="5"/>
        <v>2031</v>
      </c>
      <c r="CQ8" s="61">
        <f t="shared" si="5"/>
        <v>2031</v>
      </c>
      <c r="CR8" s="61">
        <f t="shared" si="5"/>
        <v>2031</v>
      </c>
      <c r="CS8" s="61">
        <f t="shared" si="5"/>
        <v>2031</v>
      </c>
      <c r="CT8" s="61">
        <f t="shared" si="5"/>
        <v>2031</v>
      </c>
      <c r="CU8" s="61">
        <f t="shared" si="5"/>
        <v>2031</v>
      </c>
      <c r="CV8" s="61">
        <f t="shared" si="5"/>
        <v>2031</v>
      </c>
      <c r="CW8" s="61">
        <f t="shared" si="5"/>
        <v>2031</v>
      </c>
      <c r="CX8" s="61">
        <f t="shared" si="5"/>
        <v>2031</v>
      </c>
      <c r="CY8" s="61">
        <f t="shared" si="5"/>
        <v>2031</v>
      </c>
      <c r="CZ8" s="61">
        <f t="shared" si="5"/>
        <v>2031</v>
      </c>
      <c r="DA8" s="61">
        <f t="shared" si="5"/>
        <v>2032</v>
      </c>
      <c r="DB8" s="61">
        <f t="shared" si="5"/>
        <v>2032</v>
      </c>
      <c r="DC8" s="61">
        <f t="shared" si="5"/>
        <v>2032</v>
      </c>
      <c r="DD8" s="61">
        <f t="shared" si="5"/>
        <v>2032</v>
      </c>
      <c r="DE8" s="61">
        <f t="shared" si="5"/>
        <v>2032</v>
      </c>
      <c r="DF8" s="61">
        <f t="shared" si="5"/>
        <v>2032</v>
      </c>
      <c r="DG8" s="61">
        <f t="shared" si="5"/>
        <v>2032</v>
      </c>
      <c r="DH8" s="61">
        <f t="shared" si="5"/>
        <v>2032</v>
      </c>
      <c r="DI8" s="61">
        <f t="shared" si="5"/>
        <v>2032</v>
      </c>
      <c r="DJ8" s="61">
        <f t="shared" si="5"/>
        <v>2032</v>
      </c>
      <c r="DK8" s="61">
        <f t="shared" si="5"/>
        <v>2032</v>
      </c>
      <c r="DL8" s="61">
        <f t="shared" si="5"/>
        <v>2032</v>
      </c>
      <c r="DM8" s="61">
        <f t="shared" si="5"/>
        <v>2033</v>
      </c>
      <c r="DN8" s="61">
        <f t="shared" si="5"/>
        <v>2033</v>
      </c>
      <c r="DO8" s="61">
        <f t="shared" si="5"/>
        <v>2033</v>
      </c>
      <c r="DP8" s="61">
        <f t="shared" si="5"/>
        <v>2033</v>
      </c>
      <c r="DQ8" s="61">
        <f t="shared" si="5"/>
        <v>2033</v>
      </c>
      <c r="DR8" s="61">
        <f t="shared" si="5"/>
        <v>2033</v>
      </c>
      <c r="DS8" s="61">
        <f t="shared" si="5"/>
        <v>2033</v>
      </c>
      <c r="DT8" s="61">
        <f t="shared" si="5"/>
        <v>2033</v>
      </c>
      <c r="DU8" s="61">
        <f t="shared" si="5"/>
        <v>2033</v>
      </c>
      <c r="DV8" s="61">
        <f t="shared" si="5"/>
        <v>2033</v>
      </c>
      <c r="DW8" s="61">
        <f t="shared" si="5"/>
        <v>2033</v>
      </c>
      <c r="DX8" s="61">
        <f t="shared" si="5"/>
        <v>2033</v>
      </c>
      <c r="DY8" s="61">
        <f t="shared" si="5"/>
        <v>2034</v>
      </c>
      <c r="DZ8" s="61">
        <f t="shared" si="5"/>
        <v>2034</v>
      </c>
      <c r="EA8" s="61">
        <f t="shared" si="5"/>
        <v>2034</v>
      </c>
      <c r="EB8" s="61">
        <f t="shared" si="5"/>
        <v>2034</v>
      </c>
      <c r="EC8" s="61">
        <f t="shared" si="5"/>
        <v>2034</v>
      </c>
      <c r="ED8" s="61">
        <f t="shared" si="5"/>
        <v>2034</v>
      </c>
      <c r="EE8" s="61">
        <f t="shared" si="5"/>
        <v>2034</v>
      </c>
      <c r="EF8" s="61">
        <f t="shared" si="5"/>
        <v>2034</v>
      </c>
      <c r="EG8" s="61">
        <f t="shared" si="5"/>
        <v>2034</v>
      </c>
      <c r="EH8" s="61">
        <f t="shared" ref="EH8:GF8" si="6">IF(AND(EH7=1,EG8&lt;2039),EG8+1,IF(EG8&lt;2039,EG8,""))</f>
        <v>2034</v>
      </c>
      <c r="EI8" s="61">
        <f t="shared" si="6"/>
        <v>2034</v>
      </c>
      <c r="EJ8" s="61">
        <f t="shared" si="6"/>
        <v>2034</v>
      </c>
      <c r="EK8" s="61">
        <f t="shared" si="6"/>
        <v>2035</v>
      </c>
      <c r="EL8" s="61">
        <f t="shared" si="6"/>
        <v>2035</v>
      </c>
      <c r="EM8" s="61">
        <f t="shared" si="6"/>
        <v>2035</v>
      </c>
      <c r="EN8" s="61">
        <f t="shared" si="6"/>
        <v>2035</v>
      </c>
      <c r="EO8" s="61">
        <f t="shared" si="6"/>
        <v>2035</v>
      </c>
      <c r="EP8" s="61">
        <f t="shared" si="6"/>
        <v>2035</v>
      </c>
      <c r="EQ8" s="61">
        <f t="shared" si="6"/>
        <v>2035</v>
      </c>
      <c r="ER8" s="61">
        <f t="shared" si="6"/>
        <v>2035</v>
      </c>
      <c r="ES8" s="61">
        <f t="shared" si="6"/>
        <v>2035</v>
      </c>
      <c r="ET8" s="61">
        <f t="shared" si="6"/>
        <v>2035</v>
      </c>
      <c r="EU8" s="61">
        <f t="shared" si="6"/>
        <v>2035</v>
      </c>
      <c r="EV8" s="61">
        <f t="shared" si="6"/>
        <v>2035</v>
      </c>
      <c r="EW8" s="61">
        <f t="shared" si="6"/>
        <v>2036</v>
      </c>
      <c r="EX8" s="61">
        <f t="shared" si="6"/>
        <v>2036</v>
      </c>
      <c r="EY8" s="61">
        <f t="shared" si="6"/>
        <v>2036</v>
      </c>
      <c r="EZ8" s="61">
        <f t="shared" si="6"/>
        <v>2036</v>
      </c>
      <c r="FA8" s="61">
        <f t="shared" si="6"/>
        <v>2036</v>
      </c>
      <c r="FB8" s="61">
        <f t="shared" si="6"/>
        <v>2036</v>
      </c>
      <c r="FC8" s="61">
        <f t="shared" si="6"/>
        <v>2036</v>
      </c>
      <c r="FD8" s="61">
        <f t="shared" si="6"/>
        <v>2036</v>
      </c>
      <c r="FE8" s="61">
        <f t="shared" si="6"/>
        <v>2036</v>
      </c>
      <c r="FF8" s="61">
        <f t="shared" si="6"/>
        <v>2036</v>
      </c>
      <c r="FG8" s="61">
        <f t="shared" si="6"/>
        <v>2036</v>
      </c>
      <c r="FH8" s="61">
        <f t="shared" si="6"/>
        <v>2036</v>
      </c>
      <c r="FI8" s="61">
        <f t="shared" si="6"/>
        <v>2037</v>
      </c>
      <c r="FJ8" s="61">
        <f t="shared" si="6"/>
        <v>2037</v>
      </c>
      <c r="FK8" s="61">
        <f t="shared" si="6"/>
        <v>2037</v>
      </c>
      <c r="FL8" s="61">
        <f t="shared" si="6"/>
        <v>2037</v>
      </c>
      <c r="FM8" s="61">
        <f t="shared" si="6"/>
        <v>2037</v>
      </c>
      <c r="FN8" s="61">
        <f t="shared" si="6"/>
        <v>2037</v>
      </c>
      <c r="FO8" s="61">
        <f t="shared" si="6"/>
        <v>2037</v>
      </c>
      <c r="FP8" s="61">
        <f t="shared" si="6"/>
        <v>2037</v>
      </c>
      <c r="FQ8" s="61">
        <f t="shared" si="6"/>
        <v>2037</v>
      </c>
      <c r="FR8" s="61">
        <f t="shared" si="6"/>
        <v>2037</v>
      </c>
      <c r="FS8" s="61">
        <f t="shared" si="6"/>
        <v>2037</v>
      </c>
      <c r="FT8" s="61">
        <f t="shared" si="6"/>
        <v>2037</v>
      </c>
      <c r="FU8" s="61">
        <f t="shared" si="6"/>
        <v>2038</v>
      </c>
      <c r="FV8" s="61">
        <f t="shared" si="6"/>
        <v>2038</v>
      </c>
      <c r="FW8" s="61">
        <f t="shared" si="6"/>
        <v>2038</v>
      </c>
      <c r="FX8" s="61">
        <f t="shared" si="6"/>
        <v>2038</v>
      </c>
      <c r="FY8" s="61">
        <f t="shared" si="6"/>
        <v>2038</v>
      </c>
      <c r="FZ8" s="61">
        <f t="shared" si="6"/>
        <v>2038</v>
      </c>
      <c r="GA8" s="61">
        <f t="shared" si="6"/>
        <v>2038</v>
      </c>
      <c r="GB8" s="61">
        <f t="shared" si="6"/>
        <v>2038</v>
      </c>
      <c r="GC8" s="61">
        <f t="shared" si="6"/>
        <v>2038</v>
      </c>
      <c r="GD8" s="61">
        <f t="shared" si="6"/>
        <v>2038</v>
      </c>
      <c r="GE8" s="61">
        <f t="shared" si="6"/>
        <v>2038</v>
      </c>
      <c r="GF8" s="62">
        <f t="shared" si="6"/>
        <v>2038</v>
      </c>
    </row>
    <row r="9" spans="2:188" x14ac:dyDescent="0.3">
      <c r="C9" s="611"/>
      <c r="D9" s="612"/>
      <c r="E9" s="61">
        <v>1</v>
      </c>
      <c r="F9" s="61">
        <f>E9+1</f>
        <v>2</v>
      </c>
      <c r="G9" s="61">
        <f t="shared" ref="G9:BR9" si="7">F9+1</f>
        <v>3</v>
      </c>
      <c r="H9" s="61">
        <f t="shared" si="7"/>
        <v>4</v>
      </c>
      <c r="I9" s="61">
        <f t="shared" si="7"/>
        <v>5</v>
      </c>
      <c r="J9" s="61">
        <f t="shared" si="7"/>
        <v>6</v>
      </c>
      <c r="K9" s="61">
        <f t="shared" si="7"/>
        <v>7</v>
      </c>
      <c r="L9" s="61">
        <f t="shared" si="7"/>
        <v>8</v>
      </c>
      <c r="M9" s="61">
        <f t="shared" si="7"/>
        <v>9</v>
      </c>
      <c r="N9" s="61">
        <f t="shared" si="7"/>
        <v>10</v>
      </c>
      <c r="O9" s="61">
        <f t="shared" si="7"/>
        <v>11</v>
      </c>
      <c r="P9" s="61">
        <f t="shared" si="7"/>
        <v>12</v>
      </c>
      <c r="Q9" s="61">
        <f t="shared" si="7"/>
        <v>13</v>
      </c>
      <c r="R9" s="61">
        <f t="shared" si="7"/>
        <v>14</v>
      </c>
      <c r="S9" s="61">
        <f t="shared" si="7"/>
        <v>15</v>
      </c>
      <c r="T9" s="61">
        <f t="shared" si="7"/>
        <v>16</v>
      </c>
      <c r="U9" s="61">
        <f t="shared" si="7"/>
        <v>17</v>
      </c>
      <c r="V9" s="61">
        <f t="shared" si="7"/>
        <v>18</v>
      </c>
      <c r="W9" s="61">
        <f t="shared" si="7"/>
        <v>19</v>
      </c>
      <c r="X9" s="61">
        <f t="shared" si="7"/>
        <v>20</v>
      </c>
      <c r="Y9" s="61">
        <f t="shared" si="7"/>
        <v>21</v>
      </c>
      <c r="Z9" s="61">
        <f t="shared" si="7"/>
        <v>22</v>
      </c>
      <c r="AA9" s="61">
        <f t="shared" si="7"/>
        <v>23</v>
      </c>
      <c r="AB9" s="61">
        <f t="shared" si="7"/>
        <v>24</v>
      </c>
      <c r="AC9" s="61">
        <f t="shared" si="7"/>
        <v>25</v>
      </c>
      <c r="AD9" s="61">
        <f t="shared" si="7"/>
        <v>26</v>
      </c>
      <c r="AE9" s="61">
        <f t="shared" si="7"/>
        <v>27</v>
      </c>
      <c r="AF9" s="61">
        <f t="shared" si="7"/>
        <v>28</v>
      </c>
      <c r="AG9" s="61">
        <f t="shared" si="7"/>
        <v>29</v>
      </c>
      <c r="AH9" s="61">
        <f t="shared" si="7"/>
        <v>30</v>
      </c>
      <c r="AI9" s="61">
        <f t="shared" si="7"/>
        <v>31</v>
      </c>
      <c r="AJ9" s="61">
        <f t="shared" si="7"/>
        <v>32</v>
      </c>
      <c r="AK9" s="61">
        <f t="shared" si="7"/>
        <v>33</v>
      </c>
      <c r="AL9" s="61">
        <f t="shared" si="7"/>
        <v>34</v>
      </c>
      <c r="AM9" s="61">
        <f t="shared" si="7"/>
        <v>35</v>
      </c>
      <c r="AN9" s="61">
        <f t="shared" si="7"/>
        <v>36</v>
      </c>
      <c r="AO9" s="61">
        <f t="shared" si="7"/>
        <v>37</v>
      </c>
      <c r="AP9" s="61">
        <f t="shared" si="7"/>
        <v>38</v>
      </c>
      <c r="AQ9" s="61">
        <f t="shared" si="7"/>
        <v>39</v>
      </c>
      <c r="AR9" s="61">
        <f t="shared" si="7"/>
        <v>40</v>
      </c>
      <c r="AS9" s="61">
        <f t="shared" si="7"/>
        <v>41</v>
      </c>
      <c r="AT9" s="61">
        <f t="shared" si="7"/>
        <v>42</v>
      </c>
      <c r="AU9" s="61">
        <f t="shared" si="7"/>
        <v>43</v>
      </c>
      <c r="AV9" s="61">
        <f t="shared" si="7"/>
        <v>44</v>
      </c>
      <c r="AW9" s="61">
        <f t="shared" si="7"/>
        <v>45</v>
      </c>
      <c r="AX9" s="61">
        <f t="shared" si="7"/>
        <v>46</v>
      </c>
      <c r="AY9" s="61">
        <f t="shared" si="7"/>
        <v>47</v>
      </c>
      <c r="AZ9" s="61">
        <f t="shared" si="7"/>
        <v>48</v>
      </c>
      <c r="BA9" s="61">
        <f t="shared" si="7"/>
        <v>49</v>
      </c>
      <c r="BB9" s="61">
        <f t="shared" si="7"/>
        <v>50</v>
      </c>
      <c r="BC9" s="61">
        <f t="shared" si="7"/>
        <v>51</v>
      </c>
      <c r="BD9" s="61">
        <f t="shared" si="7"/>
        <v>52</v>
      </c>
      <c r="BE9" s="61">
        <f t="shared" si="7"/>
        <v>53</v>
      </c>
      <c r="BF9" s="61">
        <f t="shared" si="7"/>
        <v>54</v>
      </c>
      <c r="BG9" s="61">
        <f t="shared" si="7"/>
        <v>55</v>
      </c>
      <c r="BH9" s="61">
        <f t="shared" si="7"/>
        <v>56</v>
      </c>
      <c r="BI9" s="61">
        <f t="shared" si="7"/>
        <v>57</v>
      </c>
      <c r="BJ9" s="61">
        <f t="shared" si="7"/>
        <v>58</v>
      </c>
      <c r="BK9" s="61">
        <f t="shared" si="7"/>
        <v>59</v>
      </c>
      <c r="BL9" s="61">
        <f t="shared" si="7"/>
        <v>60</v>
      </c>
      <c r="BM9" s="61">
        <f t="shared" si="7"/>
        <v>61</v>
      </c>
      <c r="BN9" s="61">
        <f t="shared" si="7"/>
        <v>62</v>
      </c>
      <c r="BO9" s="61">
        <f t="shared" si="7"/>
        <v>63</v>
      </c>
      <c r="BP9" s="61">
        <f t="shared" si="7"/>
        <v>64</v>
      </c>
      <c r="BQ9" s="61">
        <f t="shared" si="7"/>
        <v>65</v>
      </c>
      <c r="BR9" s="61">
        <f t="shared" si="7"/>
        <v>66</v>
      </c>
      <c r="BS9" s="61">
        <f t="shared" ref="BS9:ED9" si="8">BR9+1</f>
        <v>67</v>
      </c>
      <c r="BT9" s="61">
        <f t="shared" si="8"/>
        <v>68</v>
      </c>
      <c r="BU9" s="61">
        <f t="shared" si="8"/>
        <v>69</v>
      </c>
      <c r="BV9" s="61">
        <f t="shared" si="8"/>
        <v>70</v>
      </c>
      <c r="BW9" s="61">
        <f t="shared" si="8"/>
        <v>71</v>
      </c>
      <c r="BX9" s="61">
        <f t="shared" si="8"/>
        <v>72</v>
      </c>
      <c r="BY9" s="61">
        <f t="shared" si="8"/>
        <v>73</v>
      </c>
      <c r="BZ9" s="61">
        <f t="shared" si="8"/>
        <v>74</v>
      </c>
      <c r="CA9" s="61">
        <f t="shared" si="8"/>
        <v>75</v>
      </c>
      <c r="CB9" s="61">
        <f t="shared" si="8"/>
        <v>76</v>
      </c>
      <c r="CC9" s="61">
        <f t="shared" si="8"/>
        <v>77</v>
      </c>
      <c r="CD9" s="61">
        <f t="shared" si="8"/>
        <v>78</v>
      </c>
      <c r="CE9" s="61">
        <f t="shared" si="8"/>
        <v>79</v>
      </c>
      <c r="CF9" s="61">
        <f t="shared" si="8"/>
        <v>80</v>
      </c>
      <c r="CG9" s="61">
        <f t="shared" si="8"/>
        <v>81</v>
      </c>
      <c r="CH9" s="61">
        <f t="shared" si="8"/>
        <v>82</v>
      </c>
      <c r="CI9" s="61">
        <f t="shared" si="8"/>
        <v>83</v>
      </c>
      <c r="CJ9" s="61">
        <f t="shared" si="8"/>
        <v>84</v>
      </c>
      <c r="CK9" s="61">
        <f t="shared" si="8"/>
        <v>85</v>
      </c>
      <c r="CL9" s="61">
        <f t="shared" si="8"/>
        <v>86</v>
      </c>
      <c r="CM9" s="61">
        <f t="shared" si="8"/>
        <v>87</v>
      </c>
      <c r="CN9" s="61">
        <f t="shared" si="8"/>
        <v>88</v>
      </c>
      <c r="CO9" s="61">
        <f t="shared" si="8"/>
        <v>89</v>
      </c>
      <c r="CP9" s="61">
        <f t="shared" si="8"/>
        <v>90</v>
      </c>
      <c r="CQ9" s="61">
        <f t="shared" si="8"/>
        <v>91</v>
      </c>
      <c r="CR9" s="61">
        <f t="shared" si="8"/>
        <v>92</v>
      </c>
      <c r="CS9" s="61">
        <f t="shared" si="8"/>
        <v>93</v>
      </c>
      <c r="CT9" s="61">
        <f t="shared" si="8"/>
        <v>94</v>
      </c>
      <c r="CU9" s="61">
        <f t="shared" si="8"/>
        <v>95</v>
      </c>
      <c r="CV9" s="61">
        <f t="shared" si="8"/>
        <v>96</v>
      </c>
      <c r="CW9" s="61">
        <f t="shared" si="8"/>
        <v>97</v>
      </c>
      <c r="CX9" s="61">
        <f t="shared" si="8"/>
        <v>98</v>
      </c>
      <c r="CY9" s="61">
        <f t="shared" si="8"/>
        <v>99</v>
      </c>
      <c r="CZ9" s="61">
        <f t="shared" si="8"/>
        <v>100</v>
      </c>
      <c r="DA9" s="61">
        <f t="shared" si="8"/>
        <v>101</v>
      </c>
      <c r="DB9" s="61">
        <f t="shared" si="8"/>
        <v>102</v>
      </c>
      <c r="DC9" s="61">
        <f t="shared" si="8"/>
        <v>103</v>
      </c>
      <c r="DD9" s="61">
        <f t="shared" si="8"/>
        <v>104</v>
      </c>
      <c r="DE9" s="61">
        <f t="shared" si="8"/>
        <v>105</v>
      </c>
      <c r="DF9" s="61">
        <f t="shared" si="8"/>
        <v>106</v>
      </c>
      <c r="DG9" s="61">
        <f t="shared" si="8"/>
        <v>107</v>
      </c>
      <c r="DH9" s="61">
        <f t="shared" si="8"/>
        <v>108</v>
      </c>
      <c r="DI9" s="61">
        <f t="shared" si="8"/>
        <v>109</v>
      </c>
      <c r="DJ9" s="61">
        <f t="shared" si="8"/>
        <v>110</v>
      </c>
      <c r="DK9" s="61">
        <f t="shared" si="8"/>
        <v>111</v>
      </c>
      <c r="DL9" s="61">
        <f t="shared" si="8"/>
        <v>112</v>
      </c>
      <c r="DM9" s="61">
        <f t="shared" si="8"/>
        <v>113</v>
      </c>
      <c r="DN9" s="61">
        <f t="shared" si="8"/>
        <v>114</v>
      </c>
      <c r="DO9" s="61">
        <f t="shared" si="8"/>
        <v>115</v>
      </c>
      <c r="DP9" s="61">
        <f t="shared" si="8"/>
        <v>116</v>
      </c>
      <c r="DQ9" s="61">
        <f t="shared" si="8"/>
        <v>117</v>
      </c>
      <c r="DR9" s="61">
        <f t="shared" si="8"/>
        <v>118</v>
      </c>
      <c r="DS9" s="61">
        <f t="shared" si="8"/>
        <v>119</v>
      </c>
      <c r="DT9" s="61">
        <f t="shared" si="8"/>
        <v>120</v>
      </c>
      <c r="DU9" s="61">
        <f t="shared" si="8"/>
        <v>121</v>
      </c>
      <c r="DV9" s="61">
        <f t="shared" si="8"/>
        <v>122</v>
      </c>
      <c r="DW9" s="61">
        <f t="shared" si="8"/>
        <v>123</v>
      </c>
      <c r="DX9" s="61">
        <f t="shared" si="8"/>
        <v>124</v>
      </c>
      <c r="DY9" s="61">
        <f t="shared" si="8"/>
        <v>125</v>
      </c>
      <c r="DZ9" s="61">
        <f t="shared" si="8"/>
        <v>126</v>
      </c>
      <c r="EA9" s="61">
        <f t="shared" si="8"/>
        <v>127</v>
      </c>
      <c r="EB9" s="61">
        <f t="shared" si="8"/>
        <v>128</v>
      </c>
      <c r="EC9" s="61">
        <f t="shared" si="8"/>
        <v>129</v>
      </c>
      <c r="ED9" s="61">
        <f t="shared" si="8"/>
        <v>130</v>
      </c>
      <c r="EE9" s="61">
        <f t="shared" ref="EE9:GF9" si="9">ED9+1</f>
        <v>131</v>
      </c>
      <c r="EF9" s="61">
        <f t="shared" si="9"/>
        <v>132</v>
      </c>
      <c r="EG9" s="61">
        <f t="shared" si="9"/>
        <v>133</v>
      </c>
      <c r="EH9" s="61">
        <f t="shared" si="9"/>
        <v>134</v>
      </c>
      <c r="EI9" s="61">
        <f t="shared" si="9"/>
        <v>135</v>
      </c>
      <c r="EJ9" s="61">
        <f t="shared" si="9"/>
        <v>136</v>
      </c>
      <c r="EK9" s="61">
        <f t="shared" si="9"/>
        <v>137</v>
      </c>
      <c r="EL9" s="61">
        <f t="shared" si="9"/>
        <v>138</v>
      </c>
      <c r="EM9" s="61">
        <f t="shared" si="9"/>
        <v>139</v>
      </c>
      <c r="EN9" s="61">
        <f t="shared" si="9"/>
        <v>140</v>
      </c>
      <c r="EO9" s="61">
        <f t="shared" si="9"/>
        <v>141</v>
      </c>
      <c r="EP9" s="61">
        <f t="shared" si="9"/>
        <v>142</v>
      </c>
      <c r="EQ9" s="61">
        <f t="shared" si="9"/>
        <v>143</v>
      </c>
      <c r="ER9" s="61">
        <f t="shared" si="9"/>
        <v>144</v>
      </c>
      <c r="ES9" s="61">
        <f t="shared" si="9"/>
        <v>145</v>
      </c>
      <c r="ET9" s="61">
        <f t="shared" si="9"/>
        <v>146</v>
      </c>
      <c r="EU9" s="61">
        <f t="shared" si="9"/>
        <v>147</v>
      </c>
      <c r="EV9" s="61">
        <f t="shared" si="9"/>
        <v>148</v>
      </c>
      <c r="EW9" s="61">
        <f t="shared" si="9"/>
        <v>149</v>
      </c>
      <c r="EX9" s="61">
        <f t="shared" si="9"/>
        <v>150</v>
      </c>
      <c r="EY9" s="61">
        <f t="shared" si="9"/>
        <v>151</v>
      </c>
      <c r="EZ9" s="61">
        <f t="shared" si="9"/>
        <v>152</v>
      </c>
      <c r="FA9" s="61">
        <f t="shared" si="9"/>
        <v>153</v>
      </c>
      <c r="FB9" s="61">
        <f t="shared" si="9"/>
        <v>154</v>
      </c>
      <c r="FC9" s="61">
        <f t="shared" si="9"/>
        <v>155</v>
      </c>
      <c r="FD9" s="61">
        <f t="shared" si="9"/>
        <v>156</v>
      </c>
      <c r="FE9" s="61">
        <f t="shared" si="9"/>
        <v>157</v>
      </c>
      <c r="FF9" s="61">
        <f t="shared" si="9"/>
        <v>158</v>
      </c>
      <c r="FG9" s="61">
        <f t="shared" si="9"/>
        <v>159</v>
      </c>
      <c r="FH9" s="61">
        <f t="shared" si="9"/>
        <v>160</v>
      </c>
      <c r="FI9" s="61">
        <f t="shared" si="9"/>
        <v>161</v>
      </c>
      <c r="FJ9" s="61">
        <f t="shared" si="9"/>
        <v>162</v>
      </c>
      <c r="FK9" s="61">
        <f t="shared" si="9"/>
        <v>163</v>
      </c>
      <c r="FL9" s="61">
        <f t="shared" si="9"/>
        <v>164</v>
      </c>
      <c r="FM9" s="61">
        <f t="shared" si="9"/>
        <v>165</v>
      </c>
      <c r="FN9" s="61">
        <f t="shared" si="9"/>
        <v>166</v>
      </c>
      <c r="FO9" s="61">
        <f t="shared" si="9"/>
        <v>167</v>
      </c>
      <c r="FP9" s="61">
        <f t="shared" si="9"/>
        <v>168</v>
      </c>
      <c r="FQ9" s="61">
        <f t="shared" si="9"/>
        <v>169</v>
      </c>
      <c r="FR9" s="61">
        <f t="shared" si="9"/>
        <v>170</v>
      </c>
      <c r="FS9" s="61">
        <f t="shared" si="9"/>
        <v>171</v>
      </c>
      <c r="FT9" s="61">
        <f t="shared" si="9"/>
        <v>172</v>
      </c>
      <c r="FU9" s="61">
        <f t="shared" si="9"/>
        <v>173</v>
      </c>
      <c r="FV9" s="61">
        <f t="shared" si="9"/>
        <v>174</v>
      </c>
      <c r="FW9" s="61">
        <f t="shared" si="9"/>
        <v>175</v>
      </c>
      <c r="FX9" s="61">
        <f t="shared" si="9"/>
        <v>176</v>
      </c>
      <c r="FY9" s="61">
        <f t="shared" si="9"/>
        <v>177</v>
      </c>
      <c r="FZ9" s="61">
        <f t="shared" si="9"/>
        <v>178</v>
      </c>
      <c r="GA9" s="61">
        <f t="shared" si="9"/>
        <v>179</v>
      </c>
      <c r="GB9" s="61">
        <f t="shared" si="9"/>
        <v>180</v>
      </c>
      <c r="GC9" s="61">
        <f t="shared" si="9"/>
        <v>181</v>
      </c>
      <c r="GD9" s="61">
        <f t="shared" si="9"/>
        <v>182</v>
      </c>
      <c r="GE9" s="61">
        <f t="shared" si="9"/>
        <v>183</v>
      </c>
      <c r="GF9" s="62">
        <f t="shared" si="9"/>
        <v>184</v>
      </c>
    </row>
    <row r="10" spans="2:188" s="496" customFormat="1" x14ac:dyDescent="0.3">
      <c r="B10"/>
      <c r="C10" s="611"/>
      <c r="D10" s="612"/>
      <c r="E10" s="495">
        <v>9</v>
      </c>
      <c r="F10" s="495">
        <v>10</v>
      </c>
      <c r="G10" s="495">
        <v>11</v>
      </c>
      <c r="H10" s="495">
        <v>12</v>
      </c>
      <c r="I10" s="495">
        <f>IF(I7=1,1,H10+1)</f>
        <v>1</v>
      </c>
      <c r="J10" s="495">
        <f t="shared" ref="J10:BU10" si="10">IF(J7=1,1,I10+1)</f>
        <v>2</v>
      </c>
      <c r="K10" s="495">
        <f t="shared" si="10"/>
        <v>3</v>
      </c>
      <c r="L10" s="495">
        <f t="shared" si="10"/>
        <v>4</v>
      </c>
      <c r="M10" s="495">
        <f t="shared" si="10"/>
        <v>5</v>
      </c>
      <c r="N10" s="495">
        <f t="shared" si="10"/>
        <v>6</v>
      </c>
      <c r="O10" s="495">
        <f t="shared" si="10"/>
        <v>7</v>
      </c>
      <c r="P10" s="495">
        <f t="shared" si="10"/>
        <v>8</v>
      </c>
      <c r="Q10" s="495">
        <f t="shared" si="10"/>
        <v>9</v>
      </c>
      <c r="R10" s="495">
        <f t="shared" si="10"/>
        <v>10</v>
      </c>
      <c r="S10" s="495">
        <f t="shared" si="10"/>
        <v>11</v>
      </c>
      <c r="T10" s="495">
        <f t="shared" si="10"/>
        <v>12</v>
      </c>
      <c r="U10" s="495">
        <f t="shared" si="10"/>
        <v>1</v>
      </c>
      <c r="V10" s="495">
        <f t="shared" si="10"/>
        <v>2</v>
      </c>
      <c r="W10" s="495">
        <f t="shared" si="10"/>
        <v>3</v>
      </c>
      <c r="X10" s="495">
        <f t="shared" si="10"/>
        <v>4</v>
      </c>
      <c r="Y10" s="495">
        <f t="shared" si="10"/>
        <v>5</v>
      </c>
      <c r="Z10" s="495">
        <f t="shared" si="10"/>
        <v>6</v>
      </c>
      <c r="AA10" s="495">
        <f t="shared" si="10"/>
        <v>7</v>
      </c>
      <c r="AB10" s="495">
        <f t="shared" si="10"/>
        <v>8</v>
      </c>
      <c r="AC10" s="495">
        <f t="shared" si="10"/>
        <v>9</v>
      </c>
      <c r="AD10" s="495">
        <f t="shared" si="10"/>
        <v>10</v>
      </c>
      <c r="AE10" s="495">
        <f t="shared" si="10"/>
        <v>11</v>
      </c>
      <c r="AF10" s="495">
        <f t="shared" si="10"/>
        <v>12</v>
      </c>
      <c r="AG10" s="495">
        <f t="shared" si="10"/>
        <v>1</v>
      </c>
      <c r="AH10" s="495">
        <f t="shared" si="10"/>
        <v>2</v>
      </c>
      <c r="AI10" s="495">
        <f t="shared" si="10"/>
        <v>3</v>
      </c>
      <c r="AJ10" s="495">
        <f t="shared" si="10"/>
        <v>4</v>
      </c>
      <c r="AK10" s="495">
        <f t="shared" si="10"/>
        <v>5</v>
      </c>
      <c r="AL10" s="495">
        <f t="shared" si="10"/>
        <v>6</v>
      </c>
      <c r="AM10" s="495">
        <f t="shared" si="10"/>
        <v>7</v>
      </c>
      <c r="AN10" s="495">
        <f t="shared" si="10"/>
        <v>8</v>
      </c>
      <c r="AO10" s="495">
        <f t="shared" si="10"/>
        <v>9</v>
      </c>
      <c r="AP10" s="495">
        <f t="shared" si="10"/>
        <v>10</v>
      </c>
      <c r="AQ10" s="495">
        <f t="shared" si="10"/>
        <v>11</v>
      </c>
      <c r="AR10" s="495">
        <f t="shared" si="10"/>
        <v>12</v>
      </c>
      <c r="AS10" s="495">
        <f t="shared" si="10"/>
        <v>1</v>
      </c>
      <c r="AT10" s="495">
        <f t="shared" si="10"/>
        <v>2</v>
      </c>
      <c r="AU10" s="495">
        <f t="shared" si="10"/>
        <v>3</v>
      </c>
      <c r="AV10" s="495">
        <f t="shared" si="10"/>
        <v>4</v>
      </c>
      <c r="AW10" s="495">
        <f t="shared" si="10"/>
        <v>5</v>
      </c>
      <c r="AX10" s="495">
        <f t="shared" si="10"/>
        <v>6</v>
      </c>
      <c r="AY10" s="495">
        <f t="shared" si="10"/>
        <v>7</v>
      </c>
      <c r="AZ10" s="495">
        <f t="shared" si="10"/>
        <v>8</v>
      </c>
      <c r="BA10" s="495">
        <f t="shared" si="10"/>
        <v>9</v>
      </c>
      <c r="BB10" s="495">
        <f t="shared" si="10"/>
        <v>10</v>
      </c>
      <c r="BC10" s="495">
        <f t="shared" si="10"/>
        <v>11</v>
      </c>
      <c r="BD10" s="495">
        <f t="shared" si="10"/>
        <v>12</v>
      </c>
      <c r="BE10" s="495">
        <f t="shared" si="10"/>
        <v>1</v>
      </c>
      <c r="BF10" s="495">
        <f t="shared" si="10"/>
        <v>2</v>
      </c>
      <c r="BG10" s="495">
        <f t="shared" si="10"/>
        <v>3</v>
      </c>
      <c r="BH10" s="495">
        <f t="shared" si="10"/>
        <v>4</v>
      </c>
      <c r="BI10" s="495">
        <f t="shared" si="10"/>
        <v>5</v>
      </c>
      <c r="BJ10" s="495">
        <f t="shared" si="10"/>
        <v>6</v>
      </c>
      <c r="BK10" s="495">
        <f t="shared" si="10"/>
        <v>7</v>
      </c>
      <c r="BL10" s="495">
        <f t="shared" si="10"/>
        <v>8</v>
      </c>
      <c r="BM10" s="495">
        <f t="shared" si="10"/>
        <v>9</v>
      </c>
      <c r="BN10" s="495">
        <f t="shared" si="10"/>
        <v>10</v>
      </c>
      <c r="BO10" s="495">
        <f t="shared" si="10"/>
        <v>11</v>
      </c>
      <c r="BP10" s="495">
        <f t="shared" si="10"/>
        <v>12</v>
      </c>
      <c r="BQ10" s="495">
        <f t="shared" si="10"/>
        <v>1</v>
      </c>
      <c r="BR10" s="495">
        <f t="shared" si="10"/>
        <v>2</v>
      </c>
      <c r="BS10" s="495">
        <f t="shared" si="10"/>
        <v>3</v>
      </c>
      <c r="BT10" s="495">
        <f t="shared" si="10"/>
        <v>4</v>
      </c>
      <c r="BU10" s="495">
        <f t="shared" si="10"/>
        <v>5</v>
      </c>
      <c r="BV10" s="495">
        <f t="shared" ref="BV10:EG10" si="11">IF(BV7=1,1,BU10+1)</f>
        <v>6</v>
      </c>
      <c r="BW10" s="495">
        <f t="shared" si="11"/>
        <v>7</v>
      </c>
      <c r="BX10" s="495">
        <f t="shared" si="11"/>
        <v>8</v>
      </c>
      <c r="BY10" s="495">
        <f t="shared" si="11"/>
        <v>9</v>
      </c>
      <c r="BZ10" s="495">
        <f t="shared" si="11"/>
        <v>10</v>
      </c>
      <c r="CA10" s="495">
        <f t="shared" si="11"/>
        <v>11</v>
      </c>
      <c r="CB10" s="495">
        <f t="shared" si="11"/>
        <v>12</v>
      </c>
      <c r="CC10" s="495">
        <f t="shared" si="11"/>
        <v>1</v>
      </c>
      <c r="CD10" s="495">
        <f t="shared" si="11"/>
        <v>2</v>
      </c>
      <c r="CE10" s="495">
        <f t="shared" si="11"/>
        <v>3</v>
      </c>
      <c r="CF10" s="495">
        <f t="shared" si="11"/>
        <v>4</v>
      </c>
      <c r="CG10" s="495">
        <f t="shared" si="11"/>
        <v>5</v>
      </c>
      <c r="CH10" s="495">
        <f t="shared" si="11"/>
        <v>6</v>
      </c>
      <c r="CI10" s="495">
        <f t="shared" si="11"/>
        <v>7</v>
      </c>
      <c r="CJ10" s="495">
        <f t="shared" si="11"/>
        <v>8</v>
      </c>
      <c r="CK10" s="495">
        <f t="shared" si="11"/>
        <v>9</v>
      </c>
      <c r="CL10" s="495">
        <f t="shared" si="11"/>
        <v>10</v>
      </c>
      <c r="CM10" s="495">
        <f t="shared" si="11"/>
        <v>11</v>
      </c>
      <c r="CN10" s="495">
        <f t="shared" si="11"/>
        <v>12</v>
      </c>
      <c r="CO10" s="495">
        <f t="shared" si="11"/>
        <v>1</v>
      </c>
      <c r="CP10" s="495">
        <f t="shared" si="11"/>
        <v>2</v>
      </c>
      <c r="CQ10" s="495">
        <f t="shared" si="11"/>
        <v>3</v>
      </c>
      <c r="CR10" s="495">
        <f t="shared" si="11"/>
        <v>4</v>
      </c>
      <c r="CS10" s="495">
        <f t="shared" si="11"/>
        <v>5</v>
      </c>
      <c r="CT10" s="495">
        <f t="shared" si="11"/>
        <v>6</v>
      </c>
      <c r="CU10" s="495">
        <f t="shared" si="11"/>
        <v>7</v>
      </c>
      <c r="CV10" s="495">
        <f t="shared" si="11"/>
        <v>8</v>
      </c>
      <c r="CW10" s="495">
        <f t="shared" si="11"/>
        <v>9</v>
      </c>
      <c r="CX10" s="495">
        <f t="shared" si="11"/>
        <v>10</v>
      </c>
      <c r="CY10" s="495">
        <f t="shared" si="11"/>
        <v>11</v>
      </c>
      <c r="CZ10" s="495">
        <f t="shared" si="11"/>
        <v>12</v>
      </c>
      <c r="DA10" s="495">
        <f t="shared" si="11"/>
        <v>1</v>
      </c>
      <c r="DB10" s="495">
        <f t="shared" si="11"/>
        <v>2</v>
      </c>
      <c r="DC10" s="495">
        <f t="shared" si="11"/>
        <v>3</v>
      </c>
      <c r="DD10" s="495">
        <f t="shared" si="11"/>
        <v>4</v>
      </c>
      <c r="DE10" s="495">
        <f t="shared" si="11"/>
        <v>5</v>
      </c>
      <c r="DF10" s="495">
        <f t="shared" si="11"/>
        <v>6</v>
      </c>
      <c r="DG10" s="495">
        <f t="shared" si="11"/>
        <v>7</v>
      </c>
      <c r="DH10" s="495">
        <f t="shared" si="11"/>
        <v>8</v>
      </c>
      <c r="DI10" s="495">
        <f t="shared" si="11"/>
        <v>9</v>
      </c>
      <c r="DJ10" s="495">
        <f t="shared" si="11"/>
        <v>10</v>
      </c>
      <c r="DK10" s="495">
        <f t="shared" si="11"/>
        <v>11</v>
      </c>
      <c r="DL10" s="495">
        <f t="shared" si="11"/>
        <v>12</v>
      </c>
      <c r="DM10" s="495">
        <f t="shared" si="11"/>
        <v>1</v>
      </c>
      <c r="DN10" s="495">
        <f t="shared" si="11"/>
        <v>2</v>
      </c>
      <c r="DO10" s="495">
        <f t="shared" si="11"/>
        <v>3</v>
      </c>
      <c r="DP10" s="495">
        <f t="shared" si="11"/>
        <v>4</v>
      </c>
      <c r="DQ10" s="495">
        <f t="shared" si="11"/>
        <v>5</v>
      </c>
      <c r="DR10" s="495">
        <f t="shared" si="11"/>
        <v>6</v>
      </c>
      <c r="DS10" s="495">
        <f t="shared" si="11"/>
        <v>7</v>
      </c>
      <c r="DT10" s="495">
        <f t="shared" si="11"/>
        <v>8</v>
      </c>
      <c r="DU10" s="495">
        <f t="shared" si="11"/>
        <v>9</v>
      </c>
      <c r="DV10" s="495">
        <f t="shared" si="11"/>
        <v>10</v>
      </c>
      <c r="DW10" s="495">
        <f t="shared" si="11"/>
        <v>11</v>
      </c>
      <c r="DX10" s="495">
        <f t="shared" si="11"/>
        <v>12</v>
      </c>
      <c r="DY10" s="495">
        <f t="shared" si="11"/>
        <v>1</v>
      </c>
      <c r="DZ10" s="495">
        <f t="shared" si="11"/>
        <v>2</v>
      </c>
      <c r="EA10" s="495">
        <f t="shared" si="11"/>
        <v>3</v>
      </c>
      <c r="EB10" s="495">
        <f t="shared" si="11"/>
        <v>4</v>
      </c>
      <c r="EC10" s="495">
        <f t="shared" si="11"/>
        <v>5</v>
      </c>
      <c r="ED10" s="495">
        <f t="shared" si="11"/>
        <v>6</v>
      </c>
      <c r="EE10" s="495">
        <f t="shared" si="11"/>
        <v>7</v>
      </c>
      <c r="EF10" s="495">
        <f t="shared" si="11"/>
        <v>8</v>
      </c>
      <c r="EG10" s="495">
        <f t="shared" si="11"/>
        <v>9</v>
      </c>
      <c r="EH10" s="495">
        <f t="shared" ref="EH10:GF10" si="12">IF(EH7=1,1,EG10+1)</f>
        <v>10</v>
      </c>
      <c r="EI10" s="495">
        <f t="shared" si="12"/>
        <v>11</v>
      </c>
      <c r="EJ10" s="495">
        <f t="shared" si="12"/>
        <v>12</v>
      </c>
      <c r="EK10" s="495">
        <f t="shared" si="12"/>
        <v>1</v>
      </c>
      <c r="EL10" s="495">
        <f t="shared" si="12"/>
        <v>2</v>
      </c>
      <c r="EM10" s="495">
        <f t="shared" si="12"/>
        <v>3</v>
      </c>
      <c r="EN10" s="495">
        <f t="shared" si="12"/>
        <v>4</v>
      </c>
      <c r="EO10" s="495">
        <f t="shared" si="12"/>
        <v>5</v>
      </c>
      <c r="EP10" s="495">
        <f t="shared" si="12"/>
        <v>6</v>
      </c>
      <c r="EQ10" s="495">
        <f t="shared" si="12"/>
        <v>7</v>
      </c>
      <c r="ER10" s="495">
        <f t="shared" si="12"/>
        <v>8</v>
      </c>
      <c r="ES10" s="495">
        <f t="shared" si="12"/>
        <v>9</v>
      </c>
      <c r="ET10" s="495">
        <f t="shared" si="12"/>
        <v>10</v>
      </c>
      <c r="EU10" s="495">
        <f t="shared" si="12"/>
        <v>11</v>
      </c>
      <c r="EV10" s="495">
        <f t="shared" si="12"/>
        <v>12</v>
      </c>
      <c r="EW10" s="495">
        <f t="shared" si="12"/>
        <v>1</v>
      </c>
      <c r="EX10" s="495">
        <f t="shared" si="12"/>
        <v>2</v>
      </c>
      <c r="EY10" s="495">
        <f t="shared" si="12"/>
        <v>3</v>
      </c>
      <c r="EZ10" s="495">
        <f t="shared" si="12"/>
        <v>4</v>
      </c>
      <c r="FA10" s="495">
        <f t="shared" si="12"/>
        <v>5</v>
      </c>
      <c r="FB10" s="495">
        <f t="shared" si="12"/>
        <v>6</v>
      </c>
      <c r="FC10" s="495">
        <f t="shared" si="12"/>
        <v>7</v>
      </c>
      <c r="FD10" s="495">
        <f t="shared" si="12"/>
        <v>8</v>
      </c>
      <c r="FE10" s="495">
        <f t="shared" si="12"/>
        <v>9</v>
      </c>
      <c r="FF10" s="495">
        <f t="shared" si="12"/>
        <v>10</v>
      </c>
      <c r="FG10" s="495">
        <f t="shared" si="12"/>
        <v>11</v>
      </c>
      <c r="FH10" s="495">
        <f t="shared" si="12"/>
        <v>12</v>
      </c>
      <c r="FI10" s="495">
        <f t="shared" si="12"/>
        <v>1</v>
      </c>
      <c r="FJ10" s="495">
        <f t="shared" si="12"/>
        <v>2</v>
      </c>
      <c r="FK10" s="495">
        <f t="shared" si="12"/>
        <v>3</v>
      </c>
      <c r="FL10" s="495">
        <f t="shared" si="12"/>
        <v>4</v>
      </c>
      <c r="FM10" s="495">
        <f t="shared" si="12"/>
        <v>5</v>
      </c>
      <c r="FN10" s="495">
        <f t="shared" si="12"/>
        <v>6</v>
      </c>
      <c r="FO10" s="495">
        <f t="shared" si="12"/>
        <v>7</v>
      </c>
      <c r="FP10" s="495">
        <f t="shared" si="12"/>
        <v>8</v>
      </c>
      <c r="FQ10" s="495">
        <f t="shared" si="12"/>
        <v>9</v>
      </c>
      <c r="FR10" s="495">
        <f t="shared" si="12"/>
        <v>10</v>
      </c>
      <c r="FS10" s="495">
        <f t="shared" si="12"/>
        <v>11</v>
      </c>
      <c r="FT10" s="495">
        <f t="shared" si="12"/>
        <v>12</v>
      </c>
      <c r="FU10" s="495">
        <f t="shared" si="12"/>
        <v>1</v>
      </c>
      <c r="FV10" s="495">
        <f t="shared" si="12"/>
        <v>2</v>
      </c>
      <c r="FW10" s="495">
        <f t="shared" si="12"/>
        <v>3</v>
      </c>
      <c r="FX10" s="495">
        <f t="shared" si="12"/>
        <v>4</v>
      </c>
      <c r="FY10" s="495">
        <f t="shared" si="12"/>
        <v>5</v>
      </c>
      <c r="FZ10" s="495">
        <f t="shared" si="12"/>
        <v>6</v>
      </c>
      <c r="GA10" s="495">
        <f t="shared" si="12"/>
        <v>7</v>
      </c>
      <c r="GB10" s="495">
        <f t="shared" si="12"/>
        <v>8</v>
      </c>
      <c r="GC10" s="495">
        <f t="shared" si="12"/>
        <v>9</v>
      </c>
      <c r="GD10" s="495">
        <f t="shared" si="12"/>
        <v>10</v>
      </c>
      <c r="GE10" s="495">
        <f t="shared" si="12"/>
        <v>11</v>
      </c>
      <c r="GF10" s="569">
        <f t="shared" si="12"/>
        <v>12</v>
      </c>
    </row>
    <row r="11" spans="2:188" x14ac:dyDescent="0.3">
      <c r="C11" s="65" t="s">
        <v>108</v>
      </c>
      <c r="D11" s="94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7"/>
    </row>
    <row r="12" spans="2:188" x14ac:dyDescent="0.3">
      <c r="C12" s="95" t="s">
        <v>109</v>
      </c>
      <c r="D12" s="77"/>
      <c r="E12" s="77">
        <v>0</v>
      </c>
      <c r="F12" s="77">
        <f>E15</f>
        <v>13000</v>
      </c>
      <c r="G12" s="77">
        <f t="shared" ref="G12:O12" si="13">F15</f>
        <v>13000</v>
      </c>
      <c r="H12" s="77">
        <f t="shared" si="13"/>
        <v>13000</v>
      </c>
      <c r="I12" s="77">
        <f t="shared" si="13"/>
        <v>13000</v>
      </c>
      <c r="J12" s="77">
        <f t="shared" si="13"/>
        <v>25000</v>
      </c>
      <c r="K12" s="77">
        <f t="shared" si="13"/>
        <v>25000</v>
      </c>
      <c r="L12" s="77">
        <f t="shared" si="13"/>
        <v>25000</v>
      </c>
      <c r="M12" s="77">
        <f t="shared" si="13"/>
        <v>25000</v>
      </c>
      <c r="N12" s="77">
        <f t="shared" si="13"/>
        <v>25000</v>
      </c>
      <c r="O12" s="77">
        <f t="shared" si="13"/>
        <v>27000</v>
      </c>
      <c r="P12" s="77">
        <f t="shared" ref="P12" si="14">O15</f>
        <v>27000</v>
      </c>
      <c r="Q12" s="77">
        <f t="shared" ref="Q12" si="15">P15</f>
        <v>27000</v>
      </c>
      <c r="R12" s="77">
        <f t="shared" ref="R12" si="16">Q15</f>
        <v>27000</v>
      </c>
      <c r="S12" s="77">
        <f t="shared" ref="S12" si="17">R15</f>
        <v>27000</v>
      </c>
      <c r="T12" s="77">
        <f t="shared" ref="T12" si="18">S15</f>
        <v>27000</v>
      </c>
      <c r="U12" s="77">
        <f t="shared" ref="U12" si="19">T15</f>
        <v>27000</v>
      </c>
      <c r="V12" s="77">
        <f t="shared" ref="V12" si="20">U15</f>
        <v>27000</v>
      </c>
      <c r="W12" s="77">
        <f t="shared" ref="W12" si="21">V15</f>
        <v>27000</v>
      </c>
      <c r="X12" s="77">
        <f t="shared" ref="X12" si="22">W15</f>
        <v>27000</v>
      </c>
      <c r="Y12" s="77">
        <f t="shared" ref="Y12" si="23">X15</f>
        <v>27000</v>
      </c>
      <c r="Z12" s="77">
        <f t="shared" ref="Z12" si="24">Y15</f>
        <v>27000</v>
      </c>
      <c r="AA12" s="77">
        <f t="shared" ref="AA12" si="25">Z15</f>
        <v>27000</v>
      </c>
      <c r="AB12" s="77">
        <f t="shared" ref="AB12" si="26">AA15</f>
        <v>27000</v>
      </c>
      <c r="AC12" s="77">
        <f t="shared" ref="AC12" si="27">AB15</f>
        <v>27000</v>
      </c>
      <c r="AD12" s="77">
        <f t="shared" ref="AD12" si="28">AC15</f>
        <v>27000</v>
      </c>
      <c r="AE12" s="77">
        <f t="shared" ref="AE12" si="29">AD15</f>
        <v>27000</v>
      </c>
      <c r="AF12" s="77">
        <f t="shared" ref="AF12" si="30">AE15</f>
        <v>27000</v>
      </c>
      <c r="AG12" s="77">
        <f t="shared" ref="AG12" si="31">AF15</f>
        <v>27000</v>
      </c>
      <c r="AH12" s="77">
        <f t="shared" ref="AH12" si="32">AG15</f>
        <v>27000</v>
      </c>
      <c r="AI12" s="77">
        <f t="shared" ref="AI12" si="33">AH15</f>
        <v>27000</v>
      </c>
      <c r="AJ12" s="77">
        <f t="shared" ref="AJ12" si="34">AI15</f>
        <v>27000</v>
      </c>
      <c r="AK12" s="77">
        <f t="shared" ref="AK12" si="35">AJ15</f>
        <v>27000</v>
      </c>
      <c r="AL12" s="77">
        <f t="shared" ref="AL12" si="36">AK15</f>
        <v>27000</v>
      </c>
      <c r="AM12" s="77">
        <f t="shared" ref="AM12" si="37">AL15</f>
        <v>27000</v>
      </c>
      <c r="AN12" s="77">
        <f t="shared" ref="AN12" si="38">AM15</f>
        <v>27000</v>
      </c>
      <c r="AO12" s="77">
        <f t="shared" ref="AO12" si="39">AN15</f>
        <v>27000</v>
      </c>
      <c r="AP12" s="77">
        <f t="shared" ref="AP12" si="40">AO15</f>
        <v>27000</v>
      </c>
      <c r="AQ12" s="77">
        <f t="shared" ref="AQ12" si="41">AP15</f>
        <v>27000</v>
      </c>
      <c r="AR12" s="77">
        <f t="shared" ref="AR12" si="42">AQ15</f>
        <v>27000</v>
      </c>
      <c r="AS12" s="77">
        <f t="shared" ref="AS12" si="43">AR15</f>
        <v>26437.5</v>
      </c>
      <c r="AT12" s="77">
        <f t="shared" ref="AT12" si="44">AS15</f>
        <v>26437.5</v>
      </c>
      <c r="AU12" s="77">
        <f t="shared" ref="AU12" si="45">AT15</f>
        <v>26437.5</v>
      </c>
      <c r="AV12" s="77">
        <f t="shared" ref="AV12" si="46">AU15</f>
        <v>25875</v>
      </c>
      <c r="AW12" s="77">
        <f t="shared" ref="AW12" si="47">AV15</f>
        <v>25875</v>
      </c>
      <c r="AX12" s="77">
        <f t="shared" ref="AX12" si="48">AW15</f>
        <v>25875</v>
      </c>
      <c r="AY12" s="77">
        <f t="shared" ref="AY12" si="49">AX15</f>
        <v>25312.5</v>
      </c>
      <c r="AZ12" s="77">
        <f t="shared" ref="AZ12" si="50">AY15</f>
        <v>25312.5</v>
      </c>
      <c r="BA12" s="77">
        <f t="shared" ref="BA12" si="51">AZ15</f>
        <v>25312.5</v>
      </c>
      <c r="BB12" s="77">
        <f t="shared" ref="BB12" si="52">BA15</f>
        <v>24750</v>
      </c>
      <c r="BC12" s="77">
        <f t="shared" ref="BC12" si="53">BB15</f>
        <v>24750</v>
      </c>
      <c r="BD12" s="77">
        <f t="shared" ref="BD12" si="54">BC15</f>
        <v>24750</v>
      </c>
      <c r="BE12" s="77">
        <f t="shared" ref="BE12" si="55">BD15</f>
        <v>24187.5</v>
      </c>
      <c r="BF12" s="77">
        <f t="shared" ref="BF12" si="56">BE15</f>
        <v>24187.5</v>
      </c>
      <c r="BG12" s="77">
        <f t="shared" ref="BG12" si="57">BF15</f>
        <v>24187.5</v>
      </c>
      <c r="BH12" s="77">
        <f t="shared" ref="BH12" si="58">BG15</f>
        <v>23625</v>
      </c>
      <c r="BI12" s="77">
        <f t="shared" ref="BI12" si="59">BH15</f>
        <v>23625</v>
      </c>
      <c r="BJ12" s="77">
        <f t="shared" ref="BJ12" si="60">BI15</f>
        <v>23625</v>
      </c>
      <c r="BK12" s="77">
        <f t="shared" ref="BK12" si="61">BJ15</f>
        <v>23062.5</v>
      </c>
      <c r="BL12" s="77">
        <f t="shared" ref="BL12" si="62">BK15</f>
        <v>23062.5</v>
      </c>
      <c r="BM12" s="77">
        <f t="shared" ref="BM12" si="63">BL15</f>
        <v>23062.5</v>
      </c>
      <c r="BN12" s="77">
        <f t="shared" ref="BN12" si="64">BM15</f>
        <v>22500</v>
      </c>
      <c r="BO12" s="77">
        <f t="shared" ref="BO12" si="65">BN15</f>
        <v>22500</v>
      </c>
      <c r="BP12" s="77">
        <f t="shared" ref="BP12" si="66">BO15</f>
        <v>22500</v>
      </c>
      <c r="BQ12" s="77">
        <f t="shared" ref="BQ12" si="67">BP15</f>
        <v>21937.5</v>
      </c>
      <c r="BR12" s="77">
        <f t="shared" ref="BR12" si="68">BQ15</f>
        <v>21937.5</v>
      </c>
      <c r="BS12" s="77">
        <f t="shared" ref="BS12" si="69">BR15</f>
        <v>21937.5</v>
      </c>
      <c r="BT12" s="77">
        <f t="shared" ref="BT12" si="70">BS15</f>
        <v>21375</v>
      </c>
      <c r="BU12" s="77">
        <f t="shared" ref="BU12" si="71">BT15</f>
        <v>21375</v>
      </c>
      <c r="BV12" s="77">
        <f t="shared" ref="BV12" si="72">BU15</f>
        <v>21375</v>
      </c>
      <c r="BW12" s="77">
        <f t="shared" ref="BW12" si="73">BV15</f>
        <v>20812.5</v>
      </c>
      <c r="BX12" s="77">
        <f t="shared" ref="BX12" si="74">BW15</f>
        <v>20812.5</v>
      </c>
      <c r="BY12" s="77">
        <f t="shared" ref="BY12" si="75">BX15</f>
        <v>20812.5</v>
      </c>
      <c r="BZ12" s="77">
        <f t="shared" ref="BZ12" si="76">BY15</f>
        <v>20250</v>
      </c>
      <c r="CA12" s="77">
        <f t="shared" ref="CA12" si="77">BZ15</f>
        <v>20250</v>
      </c>
      <c r="CB12" s="77">
        <f t="shared" ref="CB12" si="78">CA15</f>
        <v>20250</v>
      </c>
      <c r="CC12" s="77">
        <f t="shared" ref="CC12" si="79">CB15</f>
        <v>19687.5</v>
      </c>
      <c r="CD12" s="77">
        <f t="shared" ref="CD12" si="80">CC15</f>
        <v>19687.5</v>
      </c>
      <c r="CE12" s="77">
        <f t="shared" ref="CE12" si="81">CD15</f>
        <v>19687.5</v>
      </c>
      <c r="CF12" s="77">
        <f t="shared" ref="CF12" si="82">CE15</f>
        <v>19125</v>
      </c>
      <c r="CG12" s="77">
        <f t="shared" ref="CG12" si="83">CF15</f>
        <v>19125</v>
      </c>
      <c r="CH12" s="77">
        <f t="shared" ref="CH12" si="84">CG15</f>
        <v>19125</v>
      </c>
      <c r="CI12" s="77">
        <f t="shared" ref="CI12" si="85">CH15</f>
        <v>18562.5</v>
      </c>
      <c r="CJ12" s="77">
        <f t="shared" ref="CJ12" si="86">CI15</f>
        <v>18562.5</v>
      </c>
      <c r="CK12" s="77">
        <f t="shared" ref="CK12" si="87">CJ15</f>
        <v>18562.5</v>
      </c>
      <c r="CL12" s="77">
        <f t="shared" ref="CL12" si="88">CK15</f>
        <v>18000</v>
      </c>
      <c r="CM12" s="77">
        <f t="shared" ref="CM12" si="89">CL15</f>
        <v>18000</v>
      </c>
      <c r="CN12" s="77">
        <f t="shared" ref="CN12" si="90">CM15</f>
        <v>18000</v>
      </c>
      <c r="CO12" s="77">
        <f t="shared" ref="CO12" si="91">CN15</f>
        <v>17437.5</v>
      </c>
      <c r="CP12" s="77">
        <f t="shared" ref="CP12" si="92">CO15</f>
        <v>17437.5</v>
      </c>
      <c r="CQ12" s="77">
        <f t="shared" ref="CQ12" si="93">CP15</f>
        <v>17437.5</v>
      </c>
      <c r="CR12" s="77">
        <f t="shared" ref="CR12" si="94">CQ15</f>
        <v>16875</v>
      </c>
      <c r="CS12" s="77">
        <f t="shared" ref="CS12" si="95">CR15</f>
        <v>16875</v>
      </c>
      <c r="CT12" s="77">
        <f t="shared" ref="CT12" si="96">CS15</f>
        <v>16875</v>
      </c>
      <c r="CU12" s="77">
        <f t="shared" ref="CU12" si="97">CT15</f>
        <v>16312.5</v>
      </c>
      <c r="CV12" s="77">
        <f t="shared" ref="CV12" si="98">CU15</f>
        <v>16312.5</v>
      </c>
      <c r="CW12" s="77">
        <f t="shared" ref="CW12" si="99">CV15</f>
        <v>16312.5</v>
      </c>
      <c r="CX12" s="77">
        <f t="shared" ref="CX12" si="100">CW15</f>
        <v>15750</v>
      </c>
      <c r="CY12" s="77">
        <f t="shared" ref="CY12" si="101">CX15</f>
        <v>15750</v>
      </c>
      <c r="CZ12" s="77">
        <f t="shared" ref="CZ12" si="102">CY15</f>
        <v>15750</v>
      </c>
      <c r="DA12" s="77">
        <f t="shared" ref="DA12" si="103">CZ15</f>
        <v>15187.5</v>
      </c>
      <c r="DB12" s="77">
        <f t="shared" ref="DB12" si="104">DA15</f>
        <v>15187.5</v>
      </c>
      <c r="DC12" s="77">
        <f t="shared" ref="DC12" si="105">DB15</f>
        <v>15187.5</v>
      </c>
      <c r="DD12" s="77">
        <f t="shared" ref="DD12" si="106">DC15</f>
        <v>14625</v>
      </c>
      <c r="DE12" s="77">
        <f t="shared" ref="DE12" si="107">DD15</f>
        <v>14625</v>
      </c>
      <c r="DF12" s="77">
        <f t="shared" ref="DF12" si="108">DE15</f>
        <v>14625</v>
      </c>
      <c r="DG12" s="77">
        <f t="shared" ref="DG12" si="109">DF15</f>
        <v>14062.5</v>
      </c>
      <c r="DH12" s="77">
        <f t="shared" ref="DH12" si="110">DG15</f>
        <v>14062.5</v>
      </c>
      <c r="DI12" s="77">
        <f t="shared" ref="DI12" si="111">DH15</f>
        <v>14062.5</v>
      </c>
      <c r="DJ12" s="77">
        <f t="shared" ref="DJ12" si="112">DI15</f>
        <v>13500</v>
      </c>
      <c r="DK12" s="77">
        <f t="shared" ref="DK12" si="113">DJ15</f>
        <v>13500</v>
      </c>
      <c r="DL12" s="77">
        <f t="shared" ref="DL12" si="114">DK15</f>
        <v>13500</v>
      </c>
      <c r="DM12" s="77">
        <f t="shared" ref="DM12" si="115">DL15</f>
        <v>12937.5</v>
      </c>
      <c r="DN12" s="77">
        <f t="shared" ref="DN12" si="116">DM15</f>
        <v>12937.5</v>
      </c>
      <c r="DO12" s="77">
        <f t="shared" ref="DO12" si="117">DN15</f>
        <v>12937.5</v>
      </c>
      <c r="DP12" s="77">
        <f t="shared" ref="DP12" si="118">DO15</f>
        <v>12375</v>
      </c>
      <c r="DQ12" s="77">
        <f t="shared" ref="DQ12" si="119">DP15</f>
        <v>12375</v>
      </c>
      <c r="DR12" s="77">
        <f t="shared" ref="DR12" si="120">DQ15</f>
        <v>12375</v>
      </c>
      <c r="DS12" s="77">
        <f t="shared" ref="DS12" si="121">DR15</f>
        <v>11812.5</v>
      </c>
      <c r="DT12" s="77">
        <f t="shared" ref="DT12" si="122">DS15</f>
        <v>11812.5</v>
      </c>
      <c r="DU12" s="77">
        <f t="shared" ref="DU12" si="123">DT15</f>
        <v>11812.5</v>
      </c>
      <c r="DV12" s="77">
        <f t="shared" ref="DV12" si="124">DU15</f>
        <v>11250</v>
      </c>
      <c r="DW12" s="77">
        <f t="shared" ref="DW12" si="125">DV15</f>
        <v>11250</v>
      </c>
      <c r="DX12" s="77">
        <f t="shared" ref="DX12" si="126">DW15</f>
        <v>11250</v>
      </c>
      <c r="DY12" s="77">
        <f t="shared" ref="DY12" si="127">DX15</f>
        <v>10687.5</v>
      </c>
      <c r="DZ12" s="77">
        <f t="shared" ref="DZ12" si="128">DY15</f>
        <v>10687.5</v>
      </c>
      <c r="EA12" s="77">
        <f t="shared" ref="EA12" si="129">DZ15</f>
        <v>10687.5</v>
      </c>
      <c r="EB12" s="77">
        <f t="shared" ref="EB12" si="130">EA15</f>
        <v>10125</v>
      </c>
      <c r="EC12" s="77">
        <f t="shared" ref="EC12" si="131">EB15</f>
        <v>10125</v>
      </c>
      <c r="ED12" s="77">
        <f t="shared" ref="ED12" si="132">EC15</f>
        <v>10125</v>
      </c>
      <c r="EE12" s="77">
        <f t="shared" ref="EE12" si="133">ED15</f>
        <v>9562.5</v>
      </c>
      <c r="EF12" s="77">
        <f t="shared" ref="EF12" si="134">EE15</f>
        <v>9562.5</v>
      </c>
      <c r="EG12" s="77">
        <f t="shared" ref="EG12" si="135">EF15</f>
        <v>9562.5</v>
      </c>
      <c r="EH12" s="77">
        <f t="shared" ref="EH12" si="136">EG15</f>
        <v>9000</v>
      </c>
      <c r="EI12" s="77">
        <f t="shared" ref="EI12" si="137">EH15</f>
        <v>9000</v>
      </c>
      <c r="EJ12" s="77">
        <f t="shared" ref="EJ12" si="138">EI15</f>
        <v>9000</v>
      </c>
      <c r="EK12" s="77">
        <f t="shared" ref="EK12" si="139">EJ15</f>
        <v>8437.5</v>
      </c>
      <c r="EL12" s="77">
        <f t="shared" ref="EL12" si="140">EK15</f>
        <v>8437.5</v>
      </c>
      <c r="EM12" s="77">
        <f t="shared" ref="EM12" si="141">EL15</f>
        <v>8437.5</v>
      </c>
      <c r="EN12" s="77">
        <f t="shared" ref="EN12" si="142">EM15</f>
        <v>7875</v>
      </c>
      <c r="EO12" s="77">
        <f t="shared" ref="EO12" si="143">EN15</f>
        <v>7875</v>
      </c>
      <c r="EP12" s="77">
        <f t="shared" ref="EP12" si="144">EO15</f>
        <v>7875</v>
      </c>
      <c r="EQ12" s="77">
        <f t="shared" ref="EQ12" si="145">EP15</f>
        <v>7312.5</v>
      </c>
      <c r="ER12" s="77">
        <f t="shared" ref="ER12" si="146">EQ15</f>
        <v>7312.5</v>
      </c>
      <c r="ES12" s="77">
        <f t="shared" ref="ES12" si="147">ER15</f>
        <v>7312.5</v>
      </c>
      <c r="ET12" s="77">
        <f t="shared" ref="ET12" si="148">ES15</f>
        <v>6750</v>
      </c>
      <c r="EU12" s="77">
        <f t="shared" ref="EU12" si="149">ET15</f>
        <v>6750</v>
      </c>
      <c r="EV12" s="77">
        <f t="shared" ref="EV12" si="150">EU15</f>
        <v>6750</v>
      </c>
      <c r="EW12" s="77">
        <f t="shared" ref="EW12" si="151">EV15</f>
        <v>6187.5</v>
      </c>
      <c r="EX12" s="77">
        <f t="shared" ref="EX12" si="152">EW15</f>
        <v>6187.5</v>
      </c>
      <c r="EY12" s="77">
        <f t="shared" ref="EY12" si="153">EX15</f>
        <v>6187.5</v>
      </c>
      <c r="EZ12" s="77">
        <f t="shared" ref="EZ12" si="154">EY15</f>
        <v>5625</v>
      </c>
      <c r="FA12" s="77">
        <f t="shared" ref="FA12" si="155">EZ15</f>
        <v>5625</v>
      </c>
      <c r="FB12" s="77">
        <f t="shared" ref="FB12" si="156">FA15</f>
        <v>5625</v>
      </c>
      <c r="FC12" s="77">
        <f t="shared" ref="FC12" si="157">FB15</f>
        <v>5062.5</v>
      </c>
      <c r="FD12" s="77">
        <f t="shared" ref="FD12" si="158">FC15</f>
        <v>5062.5</v>
      </c>
      <c r="FE12" s="77">
        <f t="shared" ref="FE12" si="159">FD15</f>
        <v>5062.5</v>
      </c>
      <c r="FF12" s="77">
        <f t="shared" ref="FF12" si="160">FE15</f>
        <v>4500</v>
      </c>
      <c r="FG12" s="77">
        <f t="shared" ref="FG12" si="161">FF15</f>
        <v>4500</v>
      </c>
      <c r="FH12" s="77">
        <f t="shared" ref="FH12" si="162">FG15</f>
        <v>4500</v>
      </c>
      <c r="FI12" s="77">
        <f t="shared" ref="FI12" si="163">FH15</f>
        <v>3937.5</v>
      </c>
      <c r="FJ12" s="77">
        <f t="shared" ref="FJ12" si="164">FI15</f>
        <v>3937.5</v>
      </c>
      <c r="FK12" s="77">
        <f t="shared" ref="FK12" si="165">FJ15</f>
        <v>3937.5</v>
      </c>
      <c r="FL12" s="77">
        <f t="shared" ref="FL12" si="166">FK15</f>
        <v>3375</v>
      </c>
      <c r="FM12" s="77">
        <f t="shared" ref="FM12" si="167">FL15</f>
        <v>3375</v>
      </c>
      <c r="FN12" s="77">
        <f t="shared" ref="FN12" si="168">FM15</f>
        <v>3375</v>
      </c>
      <c r="FO12" s="77">
        <f t="shared" ref="FO12" si="169">FN15</f>
        <v>2812.5</v>
      </c>
      <c r="FP12" s="77">
        <f t="shared" ref="FP12" si="170">FO15</f>
        <v>2812.5</v>
      </c>
      <c r="FQ12" s="77">
        <f t="shared" ref="FQ12" si="171">FP15</f>
        <v>2812.5</v>
      </c>
      <c r="FR12" s="77">
        <f t="shared" ref="FR12" si="172">FQ15</f>
        <v>2250</v>
      </c>
      <c r="FS12" s="77">
        <f t="shared" ref="FS12" si="173">FR15</f>
        <v>2250</v>
      </c>
      <c r="FT12" s="77">
        <f t="shared" ref="FT12" si="174">FS15</f>
        <v>2250</v>
      </c>
      <c r="FU12" s="77">
        <f t="shared" ref="FU12" si="175">FT15</f>
        <v>1687.5</v>
      </c>
      <c r="FV12" s="77">
        <f t="shared" ref="FV12" si="176">FU15</f>
        <v>1687.5</v>
      </c>
      <c r="FW12" s="77">
        <f t="shared" ref="FW12" si="177">FV15</f>
        <v>1687.5</v>
      </c>
      <c r="FX12" s="77">
        <f t="shared" ref="FX12" si="178">FW15</f>
        <v>1125</v>
      </c>
      <c r="FY12" s="77">
        <f t="shared" ref="FY12" si="179">FX15</f>
        <v>1125</v>
      </c>
      <c r="FZ12" s="77">
        <f t="shared" ref="FZ12" si="180">FY15</f>
        <v>1125</v>
      </c>
      <c r="GA12" s="77">
        <f t="shared" ref="GA12" si="181">FZ15</f>
        <v>562.5</v>
      </c>
      <c r="GB12" s="77">
        <f t="shared" ref="GB12" si="182">GA15</f>
        <v>562.5</v>
      </c>
      <c r="GC12" s="77">
        <f t="shared" ref="GC12" si="183">GB15</f>
        <v>562.5</v>
      </c>
      <c r="GD12" s="77">
        <f t="shared" ref="GD12" si="184">GC15</f>
        <v>0</v>
      </c>
      <c r="GE12" s="77">
        <f t="shared" ref="GE12" si="185">GD15</f>
        <v>0</v>
      </c>
      <c r="GF12" s="78">
        <f t="shared" ref="GF12" si="186">GE15</f>
        <v>0</v>
      </c>
    </row>
    <row r="13" spans="2:188" x14ac:dyDescent="0.3">
      <c r="C13" s="99" t="s">
        <v>110</v>
      </c>
      <c r="D13" s="88">
        <f>SUM(E13:XFD13)</f>
        <v>27000</v>
      </c>
      <c r="E13" s="88">
        <f>Assumption!C8</f>
        <v>13000</v>
      </c>
      <c r="F13" s="88"/>
      <c r="G13" s="88"/>
      <c r="H13" s="88"/>
      <c r="I13" s="88">
        <f>Assumption!C9</f>
        <v>12000</v>
      </c>
      <c r="J13" s="88"/>
      <c r="K13" s="88"/>
      <c r="L13" s="88"/>
      <c r="M13" s="88"/>
      <c r="N13" s="88">
        <f>Assumption!C10</f>
        <v>2000</v>
      </c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8"/>
      <c r="BJ13" s="88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88"/>
      <c r="BV13" s="88"/>
      <c r="BW13" s="88"/>
      <c r="BX13" s="88"/>
      <c r="BY13" s="88"/>
      <c r="BZ13" s="88"/>
      <c r="CA13" s="88"/>
      <c r="CB13" s="88"/>
      <c r="CC13" s="88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8"/>
      <c r="CQ13" s="88"/>
      <c r="CR13" s="88"/>
      <c r="CS13" s="88"/>
      <c r="CT13" s="88"/>
      <c r="CU13" s="88"/>
      <c r="CV13" s="88"/>
      <c r="CW13" s="88"/>
      <c r="CX13" s="88"/>
      <c r="CY13" s="88"/>
      <c r="CZ13" s="88"/>
      <c r="DA13" s="88"/>
      <c r="DB13" s="88"/>
      <c r="DC13" s="88"/>
      <c r="DD13" s="88"/>
      <c r="DE13" s="88"/>
      <c r="DF13" s="88"/>
      <c r="DG13" s="88"/>
      <c r="DH13" s="88"/>
      <c r="DI13" s="88"/>
      <c r="DJ13" s="88"/>
      <c r="DK13" s="88"/>
      <c r="DL13" s="88"/>
      <c r="DM13" s="88"/>
      <c r="DN13" s="88"/>
      <c r="DO13" s="88"/>
      <c r="DP13" s="88"/>
      <c r="DQ13" s="88"/>
      <c r="DR13" s="88"/>
      <c r="DS13" s="88"/>
      <c r="DT13" s="88"/>
      <c r="DU13" s="88"/>
      <c r="DV13" s="88"/>
      <c r="DW13" s="88"/>
      <c r="DX13" s="88"/>
      <c r="DY13" s="88"/>
      <c r="DZ13" s="88"/>
      <c r="EA13" s="88"/>
      <c r="EB13" s="88"/>
      <c r="EC13" s="88"/>
      <c r="ED13" s="88"/>
      <c r="EE13" s="88"/>
      <c r="EF13" s="88"/>
      <c r="EG13" s="88"/>
      <c r="EH13" s="88"/>
      <c r="EI13" s="88"/>
      <c r="EJ13" s="88"/>
      <c r="EK13" s="88"/>
      <c r="EL13" s="88"/>
      <c r="EM13" s="88"/>
      <c r="EN13" s="88"/>
      <c r="EO13" s="88"/>
      <c r="EP13" s="88"/>
      <c r="EQ13" s="88"/>
      <c r="ER13" s="88"/>
      <c r="ES13" s="88"/>
      <c r="ET13" s="88"/>
      <c r="EU13" s="88"/>
      <c r="EV13" s="88"/>
      <c r="EW13" s="88"/>
      <c r="EX13" s="88"/>
      <c r="EY13" s="88"/>
      <c r="EZ13" s="88"/>
      <c r="FA13" s="88"/>
      <c r="FB13" s="88"/>
      <c r="FC13" s="88"/>
      <c r="FD13" s="88"/>
      <c r="FE13" s="88"/>
      <c r="FF13" s="88"/>
      <c r="FG13" s="88"/>
      <c r="FH13" s="88"/>
      <c r="FI13" s="88"/>
      <c r="FJ13" s="88"/>
      <c r="FK13" s="88"/>
      <c r="FL13" s="88"/>
      <c r="FM13" s="88"/>
      <c r="FN13" s="88"/>
      <c r="FO13" s="88"/>
      <c r="FP13" s="88"/>
      <c r="FQ13" s="88"/>
      <c r="FR13" s="88"/>
      <c r="FS13" s="88"/>
      <c r="FT13" s="88"/>
      <c r="FU13" s="88"/>
      <c r="FV13" s="88"/>
      <c r="FW13" s="88"/>
      <c r="FX13" s="88"/>
      <c r="FY13" s="88"/>
      <c r="FZ13" s="88"/>
      <c r="GA13" s="88"/>
      <c r="GB13" s="88"/>
      <c r="GC13" s="88"/>
      <c r="GD13" s="88"/>
      <c r="GE13" s="88"/>
      <c r="GF13" s="100"/>
    </row>
    <row r="14" spans="2:188" x14ac:dyDescent="0.3">
      <c r="C14" s="99" t="s">
        <v>111</v>
      </c>
      <c r="D14" s="88">
        <f>SUM(E14:XFD14)</f>
        <v>27000</v>
      </c>
      <c r="E14" s="88" cm="1">
        <f t="array" ref="E14">IFERROR(INDEX(Assumption!$E$41:$E$88,MATCH(E6,Assumption!$C$41:$C$88,),),0)</f>
        <v>0</v>
      </c>
      <c r="F14" s="88" cm="1">
        <f t="array" ref="F14">IFERROR(INDEX(Assumption!$E$41:$E$88,MATCH(F6,Assumption!$C$41:$C$88,),),0)</f>
        <v>0</v>
      </c>
      <c r="G14" s="88" cm="1">
        <f t="array" ref="G14">IFERROR(INDEX(Assumption!$E$41:$E$88,MATCH(G6,Assumption!$C$41:$C$88,),),0)</f>
        <v>0</v>
      </c>
      <c r="H14" s="88" cm="1">
        <f t="array" ref="H14">IFERROR(INDEX(Assumption!$E$41:$E$88,MATCH(H6,Assumption!$C$41:$C$88,),),0)</f>
        <v>0</v>
      </c>
      <c r="I14" s="88" cm="1">
        <f t="array" ref="I14">IFERROR(INDEX(Assumption!$E$41:$E$88,MATCH(I6,Assumption!$C$41:$C$88,),),0)</f>
        <v>0</v>
      </c>
      <c r="J14" s="88" cm="1">
        <f t="array" ref="J14">IFERROR(INDEX(Assumption!$E$41:$E$88,MATCH(J6,Assumption!$C$41:$C$88,),),0)</f>
        <v>0</v>
      </c>
      <c r="K14" s="88" cm="1">
        <f t="array" ref="K14">IFERROR(INDEX(Assumption!$E$41:$E$88,MATCH(K6,Assumption!$C$41:$C$88,),),0)</f>
        <v>0</v>
      </c>
      <c r="L14" s="88" cm="1">
        <f t="array" ref="L14">IFERROR(INDEX(Assumption!$E$41:$E$88,MATCH(L6,Assumption!$C$41:$C$88,),),0)</f>
        <v>0</v>
      </c>
      <c r="M14" s="88" cm="1">
        <f t="array" ref="M14">IFERROR(INDEX(Assumption!$E$41:$E$88,MATCH(M6,Assumption!$C$41:$C$88,),),0)</f>
        <v>0</v>
      </c>
      <c r="N14" s="88" cm="1">
        <f t="array" ref="N14">IFERROR(INDEX(Assumption!$E$41:$E$88,MATCH(N6,Assumption!$C$41:$C$88,),),0)</f>
        <v>0</v>
      </c>
      <c r="O14" s="88" cm="1">
        <f t="array" ref="O14">IFERROR(INDEX(Assumption!$E$41:$E$88,MATCH(O6,Assumption!$C$41:$C$88,),),0)</f>
        <v>0</v>
      </c>
      <c r="P14" s="88" cm="1">
        <f t="array" ref="P14">IFERROR(INDEX(Assumption!$E$41:$E$88,MATCH(P6,Assumption!$C$41:$C$88,),),0)</f>
        <v>0</v>
      </c>
      <c r="Q14" s="88" cm="1">
        <f t="array" ref="Q14">IFERROR(INDEX(Assumption!$E$41:$E$88,MATCH(Q6,Assumption!$C$41:$C$88,),),0)</f>
        <v>0</v>
      </c>
      <c r="R14" s="88" cm="1">
        <f t="array" ref="R14">IFERROR(INDEX(Assumption!$E$41:$E$88,MATCH(R6,Assumption!$C$41:$C$88,),),0)</f>
        <v>0</v>
      </c>
      <c r="S14" s="88" cm="1">
        <f t="array" ref="S14">IFERROR(INDEX(Assumption!$E$41:$E$88,MATCH(S6,Assumption!$C$41:$C$88,),),0)</f>
        <v>0</v>
      </c>
      <c r="T14" s="88" cm="1">
        <f t="array" ref="T14">IFERROR(INDEX(Assumption!$E$41:$E$88,MATCH(T6,Assumption!$C$41:$C$88,),),0)</f>
        <v>0</v>
      </c>
      <c r="U14" s="88" cm="1">
        <f t="array" ref="U14">IFERROR(INDEX(Assumption!$E$41:$E$88,MATCH(U6,Assumption!$C$41:$C$88,),),0)</f>
        <v>0</v>
      </c>
      <c r="V14" s="88" cm="1">
        <f t="array" ref="V14">IFERROR(INDEX(Assumption!$E$41:$E$88,MATCH(V6,Assumption!$C$41:$C$88,),),0)</f>
        <v>0</v>
      </c>
      <c r="W14" s="88" cm="1">
        <f t="array" ref="W14">IFERROR(INDEX(Assumption!$E$41:$E$88,MATCH(W6,Assumption!$C$41:$C$88,),),0)</f>
        <v>0</v>
      </c>
      <c r="X14" s="88" cm="1">
        <f t="array" ref="X14">IFERROR(INDEX(Assumption!$E$41:$E$88,MATCH(X6,Assumption!$C$41:$C$88,),),0)</f>
        <v>0</v>
      </c>
      <c r="Y14" s="88" cm="1">
        <f t="array" ref="Y14">IFERROR(INDEX(Assumption!$E$41:$E$88,MATCH(Y6,Assumption!$C$41:$C$88,),),0)</f>
        <v>0</v>
      </c>
      <c r="Z14" s="88" cm="1">
        <f t="array" ref="Z14">IFERROR(INDEX(Assumption!$E$41:$E$88,MATCH(Z6,Assumption!$C$41:$C$88,),),0)</f>
        <v>0</v>
      </c>
      <c r="AA14" s="88" cm="1">
        <f t="array" ref="AA14">IFERROR(INDEX(Assumption!$E$41:$E$88,MATCH(AA6,Assumption!$C$41:$C$88,),),0)</f>
        <v>0</v>
      </c>
      <c r="AB14" s="88" cm="1">
        <f t="array" ref="AB14">IFERROR(INDEX(Assumption!$E$41:$E$88,MATCH(AB6,Assumption!$C$41:$C$88,),),0)</f>
        <v>0</v>
      </c>
      <c r="AC14" s="88" cm="1">
        <f t="array" ref="AC14">IFERROR(INDEX(Assumption!$E$41:$E$88,MATCH(AC6,Assumption!$C$41:$C$88,),),0)</f>
        <v>0</v>
      </c>
      <c r="AD14" s="88" cm="1">
        <f t="array" ref="AD14">IFERROR(INDEX(Assumption!$E$41:$E$88,MATCH(AD6,Assumption!$C$41:$C$88,),),0)</f>
        <v>0</v>
      </c>
      <c r="AE14" s="88" cm="1">
        <f t="array" ref="AE14">IFERROR(INDEX(Assumption!$E$41:$E$88,MATCH(AE6,Assumption!$C$41:$C$88,),),0)</f>
        <v>0</v>
      </c>
      <c r="AF14" s="88" cm="1">
        <f t="array" ref="AF14">IFERROR(INDEX(Assumption!$E$41:$E$88,MATCH(AF6,Assumption!$C$41:$C$88,),),0)</f>
        <v>0</v>
      </c>
      <c r="AG14" s="88" cm="1">
        <f t="array" ref="AG14">IFERROR(INDEX(Assumption!$E$41:$E$88,MATCH(AG6,Assumption!$C$41:$C$88,),),0)</f>
        <v>0</v>
      </c>
      <c r="AH14" s="88" cm="1">
        <f t="array" ref="AH14">IFERROR(INDEX(Assumption!$E$41:$E$88,MATCH(AH6,Assumption!$C$41:$C$88,),),0)</f>
        <v>0</v>
      </c>
      <c r="AI14" s="88" cm="1">
        <f t="array" ref="AI14">IFERROR(INDEX(Assumption!$E$41:$E$88,MATCH(AI6,Assumption!$C$41:$C$88,),),0)</f>
        <v>0</v>
      </c>
      <c r="AJ14" s="88" cm="1">
        <f t="array" ref="AJ14">IFERROR(INDEX(Assumption!$E$41:$E$88,MATCH(AJ6,Assumption!$C$41:$C$88,),),0)</f>
        <v>0</v>
      </c>
      <c r="AK14" s="88" cm="1">
        <f t="array" ref="AK14">IFERROR(INDEX(Assumption!$E$41:$E$88,MATCH(AK6,Assumption!$C$41:$C$88,),),0)</f>
        <v>0</v>
      </c>
      <c r="AL14" s="88" cm="1">
        <f t="array" ref="AL14">IFERROR(INDEX(Assumption!$E$41:$E$88,MATCH(AL6,Assumption!$C$41:$C$88,),),0)</f>
        <v>0</v>
      </c>
      <c r="AM14" s="88" cm="1">
        <f t="array" ref="AM14">IFERROR(INDEX(Assumption!$E$41:$E$88,MATCH(AM6,Assumption!$C$41:$C$88,),),0)</f>
        <v>0</v>
      </c>
      <c r="AN14" s="88" cm="1">
        <f t="array" ref="AN14">IFERROR(INDEX(Assumption!$E$41:$E$88,MATCH(AN6,Assumption!$C$41:$C$88,),),0)</f>
        <v>0</v>
      </c>
      <c r="AO14" s="88" cm="1">
        <f t="array" ref="AO14">IFERROR(INDEX(Assumption!$E$41:$E$88,MATCH(AO6,Assumption!$C$41:$C$88,),),0)</f>
        <v>0</v>
      </c>
      <c r="AP14" s="88" cm="1">
        <f t="array" ref="AP14">IFERROR(INDEX(Assumption!$E$41:$E$88,MATCH(AP6,Assumption!$C$41:$C$88,),),0)</f>
        <v>0</v>
      </c>
      <c r="AQ14" s="88" cm="1">
        <f t="array" ref="AQ14">IFERROR(INDEX(Assumption!$E$41:$E$88,MATCH(AQ6,Assumption!$C$41:$C$88,),),0)</f>
        <v>0</v>
      </c>
      <c r="AR14" s="88" cm="1">
        <f t="array" ref="AR14">IFERROR(INDEX(Assumption!$E$41:$E$88,MATCH(AR6,Assumption!$C$41:$C$88,),),0)</f>
        <v>562.5</v>
      </c>
      <c r="AS14" s="88" cm="1">
        <f t="array" ref="AS14">IFERROR(INDEX(Assumption!$E$41:$E$88,MATCH(AS6,Assumption!$C$41:$C$88,),),0)</f>
        <v>0</v>
      </c>
      <c r="AT14" s="88" cm="1">
        <f t="array" ref="AT14">IFERROR(INDEX(Assumption!$E$41:$E$88,MATCH(AT6,Assumption!$C$41:$C$88,),),0)</f>
        <v>0</v>
      </c>
      <c r="AU14" s="88" cm="1">
        <f t="array" ref="AU14">IFERROR(INDEX(Assumption!$E$41:$E$88,MATCH(AU6,Assumption!$C$41:$C$88,),),0)</f>
        <v>562.5</v>
      </c>
      <c r="AV14" s="88" cm="1">
        <f t="array" ref="AV14">IFERROR(INDEX(Assumption!$E$41:$E$88,MATCH(AV6,Assumption!$C$41:$C$88,),),0)</f>
        <v>0</v>
      </c>
      <c r="AW14" s="88" cm="1">
        <f t="array" ref="AW14">IFERROR(INDEX(Assumption!$E$41:$E$88,MATCH(AW6,Assumption!$C$41:$C$88,),),0)</f>
        <v>0</v>
      </c>
      <c r="AX14" s="88" cm="1">
        <f t="array" ref="AX14">IFERROR(INDEX(Assumption!$E$41:$E$88,MATCH(AX6,Assumption!$C$41:$C$88,),),0)</f>
        <v>562.5</v>
      </c>
      <c r="AY14" s="88" cm="1">
        <f t="array" ref="AY14">IFERROR(INDEX(Assumption!$E$41:$E$88,MATCH(AY6,Assumption!$C$41:$C$88,),),0)</f>
        <v>0</v>
      </c>
      <c r="AZ14" s="88" cm="1">
        <f t="array" ref="AZ14">IFERROR(INDEX(Assumption!$E$41:$E$88,MATCH(AZ6,Assumption!$C$41:$C$88,),),0)</f>
        <v>0</v>
      </c>
      <c r="BA14" s="88" cm="1">
        <f t="array" ref="BA14">IFERROR(INDEX(Assumption!$E$41:$E$88,MATCH(BA6,Assumption!$C$41:$C$88,),),0)</f>
        <v>562.5</v>
      </c>
      <c r="BB14" s="88" cm="1">
        <f t="array" ref="BB14">IFERROR(INDEX(Assumption!$E$41:$E$88,MATCH(BB6,Assumption!$C$41:$C$88,),),0)</f>
        <v>0</v>
      </c>
      <c r="BC14" s="88" cm="1">
        <f t="array" ref="BC14">IFERROR(INDEX(Assumption!$E$41:$E$88,MATCH(BC6,Assumption!$C$41:$C$88,),),0)</f>
        <v>0</v>
      </c>
      <c r="BD14" s="88" cm="1">
        <f t="array" ref="BD14">IFERROR(INDEX(Assumption!$E$41:$E$88,MATCH(BD6,Assumption!$C$41:$C$88,),),0)</f>
        <v>562.5</v>
      </c>
      <c r="BE14" s="88" cm="1">
        <f t="array" ref="BE14">IFERROR(INDEX(Assumption!$E$41:$E$88,MATCH(BE6,Assumption!$C$41:$C$88,),),0)</f>
        <v>0</v>
      </c>
      <c r="BF14" s="88" cm="1">
        <f t="array" ref="BF14">IFERROR(INDEX(Assumption!$E$41:$E$88,MATCH(BF6,Assumption!$C$41:$C$88,),),0)</f>
        <v>0</v>
      </c>
      <c r="BG14" s="88" cm="1">
        <f t="array" ref="BG14">IFERROR(INDEX(Assumption!$E$41:$E$88,MATCH(BG6,Assumption!$C$41:$C$88,),),0)</f>
        <v>562.5</v>
      </c>
      <c r="BH14" s="88" cm="1">
        <f t="array" ref="BH14">IFERROR(INDEX(Assumption!$E$41:$E$88,MATCH(BH6,Assumption!$C$41:$C$88,),),0)</f>
        <v>0</v>
      </c>
      <c r="BI14" s="88" cm="1">
        <f t="array" ref="BI14">IFERROR(INDEX(Assumption!$E$41:$E$88,MATCH(BI6,Assumption!$C$41:$C$88,),),0)</f>
        <v>0</v>
      </c>
      <c r="BJ14" s="88" cm="1">
        <f t="array" ref="BJ14">IFERROR(INDEX(Assumption!$E$41:$E$88,MATCH(BJ6,Assumption!$C$41:$C$88,),),0)</f>
        <v>562.5</v>
      </c>
      <c r="BK14" s="88" cm="1">
        <f t="array" ref="BK14">IFERROR(INDEX(Assumption!$E$41:$E$88,MATCH(BK6,Assumption!$C$41:$C$88,),),0)</f>
        <v>0</v>
      </c>
      <c r="BL14" s="88" cm="1">
        <f t="array" ref="BL14">IFERROR(INDEX(Assumption!$E$41:$E$88,MATCH(BL6,Assumption!$C$41:$C$88,),),0)</f>
        <v>0</v>
      </c>
      <c r="BM14" s="88" cm="1">
        <f t="array" ref="BM14">IFERROR(INDEX(Assumption!$E$41:$E$88,MATCH(BM6,Assumption!$C$41:$C$88,),),0)</f>
        <v>562.5</v>
      </c>
      <c r="BN14" s="88" cm="1">
        <f t="array" ref="BN14">IFERROR(INDEX(Assumption!$E$41:$E$88,MATCH(BN6,Assumption!$C$41:$C$88,),),0)</f>
        <v>0</v>
      </c>
      <c r="BO14" s="88" cm="1">
        <f t="array" ref="BO14">IFERROR(INDEX(Assumption!$E$41:$E$88,MATCH(BO6,Assumption!$C$41:$C$88,),),0)</f>
        <v>0</v>
      </c>
      <c r="BP14" s="88" cm="1">
        <f t="array" ref="BP14">IFERROR(INDEX(Assumption!$E$41:$E$88,MATCH(BP6,Assumption!$C$41:$C$88,),),0)</f>
        <v>562.5</v>
      </c>
      <c r="BQ14" s="88" cm="1">
        <f t="array" ref="BQ14">IFERROR(INDEX(Assumption!$E$41:$E$88,MATCH(BQ6,Assumption!$C$41:$C$88,),),0)</f>
        <v>0</v>
      </c>
      <c r="BR14" s="88" cm="1">
        <f t="array" ref="BR14">IFERROR(INDEX(Assumption!$E$41:$E$88,MATCH(BR6,Assumption!$C$41:$C$88,),),0)</f>
        <v>0</v>
      </c>
      <c r="BS14" s="88" cm="1">
        <f t="array" ref="BS14">IFERROR(INDEX(Assumption!$E$41:$E$88,MATCH(BS6,Assumption!$C$41:$C$88,),),0)</f>
        <v>562.5</v>
      </c>
      <c r="BT14" s="88" cm="1">
        <f t="array" ref="BT14">IFERROR(INDEX(Assumption!$E$41:$E$88,MATCH(BT6,Assumption!$C$41:$C$88,),),0)</f>
        <v>0</v>
      </c>
      <c r="BU14" s="88" cm="1">
        <f t="array" ref="BU14">IFERROR(INDEX(Assumption!$E$41:$E$88,MATCH(BU6,Assumption!$C$41:$C$88,),),0)</f>
        <v>0</v>
      </c>
      <c r="BV14" s="88" cm="1">
        <f t="array" ref="BV14">IFERROR(INDEX(Assumption!$E$41:$E$88,MATCH(BV6,Assumption!$C$41:$C$88,),),0)</f>
        <v>562.5</v>
      </c>
      <c r="BW14" s="88" cm="1">
        <f t="array" ref="BW14">IFERROR(INDEX(Assumption!$E$41:$E$88,MATCH(BW6,Assumption!$C$41:$C$88,),),0)</f>
        <v>0</v>
      </c>
      <c r="BX14" s="88" cm="1">
        <f t="array" ref="BX14">IFERROR(INDEX(Assumption!$E$41:$E$88,MATCH(BX6,Assumption!$C$41:$C$88,),),0)</f>
        <v>0</v>
      </c>
      <c r="BY14" s="88" cm="1">
        <f t="array" ref="BY14">IFERROR(INDEX(Assumption!$E$41:$E$88,MATCH(BY6,Assumption!$C$41:$C$88,),),0)</f>
        <v>562.5</v>
      </c>
      <c r="BZ14" s="88" cm="1">
        <f t="array" ref="BZ14">IFERROR(INDEX(Assumption!$E$41:$E$88,MATCH(BZ6,Assumption!$C$41:$C$88,),),0)</f>
        <v>0</v>
      </c>
      <c r="CA14" s="88" cm="1">
        <f t="array" ref="CA14">IFERROR(INDEX(Assumption!$E$41:$E$88,MATCH(CA6,Assumption!$C$41:$C$88,),),0)</f>
        <v>0</v>
      </c>
      <c r="CB14" s="88" cm="1">
        <f t="array" ref="CB14">IFERROR(INDEX(Assumption!$E$41:$E$88,MATCH(CB6,Assumption!$C$41:$C$88,),),0)</f>
        <v>562.5</v>
      </c>
      <c r="CC14" s="88" cm="1">
        <f t="array" ref="CC14">IFERROR(INDEX(Assumption!$E$41:$E$88,MATCH(CC6,Assumption!$C$41:$C$88,),),0)</f>
        <v>0</v>
      </c>
      <c r="CD14" s="88" cm="1">
        <f t="array" ref="CD14">IFERROR(INDEX(Assumption!$E$41:$E$88,MATCH(CD6,Assumption!$C$41:$C$88,),),0)</f>
        <v>0</v>
      </c>
      <c r="CE14" s="88" cm="1">
        <f t="array" ref="CE14">IFERROR(INDEX(Assumption!$E$41:$E$88,MATCH(CE6,Assumption!$C$41:$C$88,),),0)</f>
        <v>562.5</v>
      </c>
      <c r="CF14" s="88" cm="1">
        <f t="array" ref="CF14">IFERROR(INDEX(Assumption!$E$41:$E$88,MATCH(CF6,Assumption!$C$41:$C$88,),),0)</f>
        <v>0</v>
      </c>
      <c r="CG14" s="88" cm="1">
        <f t="array" ref="CG14">IFERROR(INDEX(Assumption!$E$41:$E$88,MATCH(CG6,Assumption!$C$41:$C$88,),),0)</f>
        <v>0</v>
      </c>
      <c r="CH14" s="88" cm="1">
        <f t="array" ref="CH14">IFERROR(INDEX(Assumption!$E$41:$E$88,MATCH(CH6,Assumption!$C$41:$C$88,),),0)</f>
        <v>562.5</v>
      </c>
      <c r="CI14" s="88" cm="1">
        <f t="array" ref="CI14">IFERROR(INDEX(Assumption!$E$41:$E$88,MATCH(CI6,Assumption!$C$41:$C$88,),),0)</f>
        <v>0</v>
      </c>
      <c r="CJ14" s="88" cm="1">
        <f t="array" ref="CJ14">IFERROR(INDEX(Assumption!$E$41:$E$88,MATCH(CJ6,Assumption!$C$41:$C$88,),),0)</f>
        <v>0</v>
      </c>
      <c r="CK14" s="88" cm="1">
        <f t="array" ref="CK14">IFERROR(INDEX(Assumption!$E$41:$E$88,MATCH(CK6,Assumption!$C$41:$C$88,),),0)</f>
        <v>562.5</v>
      </c>
      <c r="CL14" s="88" cm="1">
        <f t="array" ref="CL14">IFERROR(INDEX(Assumption!$E$41:$E$88,MATCH(CL6,Assumption!$C$41:$C$88,),),0)</f>
        <v>0</v>
      </c>
      <c r="CM14" s="88" cm="1">
        <f t="array" ref="CM14">IFERROR(INDEX(Assumption!$E$41:$E$88,MATCH(CM6,Assumption!$C$41:$C$88,),),0)</f>
        <v>0</v>
      </c>
      <c r="CN14" s="88" cm="1">
        <f t="array" ref="CN14">IFERROR(INDEX(Assumption!$E$41:$E$88,MATCH(CN6,Assumption!$C$41:$C$88,),),0)</f>
        <v>562.5</v>
      </c>
      <c r="CO14" s="88" cm="1">
        <f t="array" ref="CO14">IFERROR(INDEX(Assumption!$E$41:$E$88,MATCH(CO6,Assumption!$C$41:$C$88,),),0)</f>
        <v>0</v>
      </c>
      <c r="CP14" s="88" cm="1">
        <f t="array" ref="CP14">IFERROR(INDEX(Assumption!$E$41:$E$88,MATCH(CP6,Assumption!$C$41:$C$88,),),0)</f>
        <v>0</v>
      </c>
      <c r="CQ14" s="88" cm="1">
        <f t="array" ref="CQ14">IFERROR(INDEX(Assumption!$E$41:$E$88,MATCH(CQ6,Assumption!$C$41:$C$88,),),0)</f>
        <v>562.5</v>
      </c>
      <c r="CR14" s="88" cm="1">
        <f t="array" ref="CR14">IFERROR(INDEX(Assumption!$E$41:$E$88,MATCH(CR6,Assumption!$C$41:$C$88,),),0)</f>
        <v>0</v>
      </c>
      <c r="CS14" s="88" cm="1">
        <f t="array" ref="CS14">IFERROR(INDEX(Assumption!$E$41:$E$88,MATCH(CS6,Assumption!$C$41:$C$88,),),0)</f>
        <v>0</v>
      </c>
      <c r="CT14" s="88" cm="1">
        <f t="array" ref="CT14">IFERROR(INDEX(Assumption!$E$41:$E$88,MATCH(CT6,Assumption!$C$41:$C$88,),),0)</f>
        <v>562.5</v>
      </c>
      <c r="CU14" s="88" cm="1">
        <f t="array" ref="CU14">IFERROR(INDEX(Assumption!$E$41:$E$88,MATCH(CU6,Assumption!$C$41:$C$88,),),0)</f>
        <v>0</v>
      </c>
      <c r="CV14" s="88" cm="1">
        <f t="array" ref="CV14">IFERROR(INDEX(Assumption!$E$41:$E$88,MATCH(CV6,Assumption!$C$41:$C$88,),),0)</f>
        <v>0</v>
      </c>
      <c r="CW14" s="88" cm="1">
        <f t="array" ref="CW14">IFERROR(INDEX(Assumption!$E$41:$E$88,MATCH(CW6,Assumption!$C$41:$C$88,),),0)</f>
        <v>562.5</v>
      </c>
      <c r="CX14" s="88" cm="1">
        <f t="array" ref="CX14">IFERROR(INDEX(Assumption!$E$41:$E$88,MATCH(CX6,Assumption!$C$41:$C$88,),),0)</f>
        <v>0</v>
      </c>
      <c r="CY14" s="88" cm="1">
        <f t="array" ref="CY14">IFERROR(INDEX(Assumption!$E$41:$E$88,MATCH(CY6,Assumption!$C$41:$C$88,),),0)</f>
        <v>0</v>
      </c>
      <c r="CZ14" s="88" cm="1">
        <f t="array" ref="CZ14">IFERROR(INDEX(Assumption!$E$41:$E$88,MATCH(CZ6,Assumption!$C$41:$C$88,),),0)</f>
        <v>562.5</v>
      </c>
      <c r="DA14" s="88" cm="1">
        <f t="array" ref="DA14">IFERROR(INDEX(Assumption!$E$41:$E$88,MATCH(DA6,Assumption!$C$41:$C$88,),),0)</f>
        <v>0</v>
      </c>
      <c r="DB14" s="88" cm="1">
        <f t="array" ref="DB14">IFERROR(INDEX(Assumption!$E$41:$E$88,MATCH(DB6,Assumption!$C$41:$C$88,),),0)</f>
        <v>0</v>
      </c>
      <c r="DC14" s="88" cm="1">
        <f t="array" ref="DC14">IFERROR(INDEX(Assumption!$E$41:$E$88,MATCH(DC6,Assumption!$C$41:$C$88,),),0)</f>
        <v>562.5</v>
      </c>
      <c r="DD14" s="88" cm="1">
        <f t="array" ref="DD14">IFERROR(INDEX(Assumption!$E$41:$E$88,MATCH(DD6,Assumption!$C$41:$C$88,),),0)</f>
        <v>0</v>
      </c>
      <c r="DE14" s="88" cm="1">
        <f t="array" ref="DE14">IFERROR(INDEX(Assumption!$E$41:$E$88,MATCH(DE6,Assumption!$C$41:$C$88,),),0)</f>
        <v>0</v>
      </c>
      <c r="DF14" s="88" cm="1">
        <f t="array" ref="DF14">IFERROR(INDEX(Assumption!$E$41:$E$88,MATCH(DF6,Assumption!$C$41:$C$88,),),0)</f>
        <v>562.5</v>
      </c>
      <c r="DG14" s="88" cm="1">
        <f t="array" ref="DG14">IFERROR(INDEX(Assumption!$E$41:$E$88,MATCH(DG6,Assumption!$C$41:$C$88,),),0)</f>
        <v>0</v>
      </c>
      <c r="DH14" s="88" cm="1">
        <f t="array" ref="DH14">IFERROR(INDEX(Assumption!$E$41:$E$88,MATCH(DH6,Assumption!$C$41:$C$88,),),0)</f>
        <v>0</v>
      </c>
      <c r="DI14" s="88" cm="1">
        <f t="array" ref="DI14">IFERROR(INDEX(Assumption!$E$41:$E$88,MATCH(DI6,Assumption!$C$41:$C$88,),),0)</f>
        <v>562.5</v>
      </c>
      <c r="DJ14" s="88" cm="1">
        <f t="array" ref="DJ14">IFERROR(INDEX(Assumption!$E$41:$E$88,MATCH(DJ6,Assumption!$C$41:$C$88,),),0)</f>
        <v>0</v>
      </c>
      <c r="DK14" s="88" cm="1">
        <f t="array" ref="DK14">IFERROR(INDEX(Assumption!$E$41:$E$88,MATCH(DK6,Assumption!$C$41:$C$88,),),0)</f>
        <v>0</v>
      </c>
      <c r="DL14" s="88" cm="1">
        <f t="array" ref="DL14">IFERROR(INDEX(Assumption!$E$41:$E$88,MATCH(DL6,Assumption!$C$41:$C$88,),),0)</f>
        <v>562.5</v>
      </c>
      <c r="DM14" s="88" cm="1">
        <f t="array" ref="DM14">IFERROR(INDEX(Assumption!$E$41:$E$88,MATCH(DM6,Assumption!$C$41:$C$88,),),0)</f>
        <v>0</v>
      </c>
      <c r="DN14" s="88" cm="1">
        <f t="array" ref="DN14">IFERROR(INDEX(Assumption!$E$41:$E$88,MATCH(DN6,Assumption!$C$41:$C$88,),),0)</f>
        <v>0</v>
      </c>
      <c r="DO14" s="88" cm="1">
        <f t="array" ref="DO14">IFERROR(INDEX(Assumption!$E$41:$E$88,MATCH(DO6,Assumption!$C$41:$C$88,),),0)</f>
        <v>562.5</v>
      </c>
      <c r="DP14" s="88" cm="1">
        <f t="array" ref="DP14">IFERROR(INDEX(Assumption!$E$41:$E$88,MATCH(DP6,Assumption!$C$41:$C$88,),),0)</f>
        <v>0</v>
      </c>
      <c r="DQ14" s="88" cm="1">
        <f t="array" ref="DQ14">IFERROR(INDEX(Assumption!$E$41:$E$88,MATCH(DQ6,Assumption!$C$41:$C$88,),),0)</f>
        <v>0</v>
      </c>
      <c r="DR14" s="88" cm="1">
        <f t="array" ref="DR14">IFERROR(INDEX(Assumption!$E$41:$E$88,MATCH(DR6,Assumption!$C$41:$C$88,),),0)</f>
        <v>562.5</v>
      </c>
      <c r="DS14" s="88" cm="1">
        <f t="array" ref="DS14">IFERROR(INDEX(Assumption!$E$41:$E$88,MATCH(DS6,Assumption!$C$41:$C$88,),),0)</f>
        <v>0</v>
      </c>
      <c r="DT14" s="88" cm="1">
        <f t="array" ref="DT14">IFERROR(INDEX(Assumption!$E$41:$E$88,MATCH(DT6,Assumption!$C$41:$C$88,),),0)</f>
        <v>0</v>
      </c>
      <c r="DU14" s="88" cm="1">
        <f t="array" ref="DU14">IFERROR(INDEX(Assumption!$E$41:$E$88,MATCH(DU6,Assumption!$C$41:$C$88,),),0)</f>
        <v>562.5</v>
      </c>
      <c r="DV14" s="88" cm="1">
        <f t="array" ref="DV14">IFERROR(INDEX(Assumption!$E$41:$E$88,MATCH(DV6,Assumption!$C$41:$C$88,),),0)</f>
        <v>0</v>
      </c>
      <c r="DW14" s="88" cm="1">
        <f t="array" ref="DW14">IFERROR(INDEX(Assumption!$E$41:$E$88,MATCH(DW6,Assumption!$C$41:$C$88,),),0)</f>
        <v>0</v>
      </c>
      <c r="DX14" s="88" cm="1">
        <f t="array" ref="DX14">IFERROR(INDEX(Assumption!$E$41:$E$88,MATCH(DX6,Assumption!$C$41:$C$88,),),0)</f>
        <v>562.5</v>
      </c>
      <c r="DY14" s="88" cm="1">
        <f t="array" ref="DY14">IFERROR(INDEX(Assumption!$E$41:$E$88,MATCH(DY6,Assumption!$C$41:$C$88,),),0)</f>
        <v>0</v>
      </c>
      <c r="DZ14" s="88" cm="1">
        <f t="array" ref="DZ14">IFERROR(INDEX(Assumption!$E$41:$E$88,MATCH(DZ6,Assumption!$C$41:$C$88,),),0)</f>
        <v>0</v>
      </c>
      <c r="EA14" s="88" cm="1">
        <f t="array" ref="EA14">IFERROR(INDEX(Assumption!$E$41:$E$88,MATCH(EA6,Assumption!$C$41:$C$88,),),0)</f>
        <v>562.5</v>
      </c>
      <c r="EB14" s="88" cm="1">
        <f t="array" ref="EB14">IFERROR(INDEX(Assumption!$E$41:$E$88,MATCH(EB6,Assumption!$C$41:$C$88,),),0)</f>
        <v>0</v>
      </c>
      <c r="EC14" s="88" cm="1">
        <f t="array" ref="EC14">IFERROR(INDEX(Assumption!$E$41:$E$88,MATCH(EC6,Assumption!$C$41:$C$88,),),0)</f>
        <v>0</v>
      </c>
      <c r="ED14" s="88" cm="1">
        <f t="array" ref="ED14">IFERROR(INDEX(Assumption!$E$41:$E$88,MATCH(ED6,Assumption!$C$41:$C$88,),),0)</f>
        <v>562.5</v>
      </c>
      <c r="EE14" s="88" cm="1">
        <f t="array" ref="EE14">IFERROR(INDEX(Assumption!$E$41:$E$88,MATCH(EE6,Assumption!$C$41:$C$88,),),0)</f>
        <v>0</v>
      </c>
      <c r="EF14" s="88" cm="1">
        <f t="array" ref="EF14">IFERROR(INDEX(Assumption!$E$41:$E$88,MATCH(EF6,Assumption!$C$41:$C$88,),),0)</f>
        <v>0</v>
      </c>
      <c r="EG14" s="88" cm="1">
        <f t="array" ref="EG14">IFERROR(INDEX(Assumption!$E$41:$E$88,MATCH(EG6,Assumption!$C$41:$C$88,),),0)</f>
        <v>562.5</v>
      </c>
      <c r="EH14" s="88" cm="1">
        <f t="array" ref="EH14">IFERROR(INDEX(Assumption!$E$41:$E$88,MATCH(EH6,Assumption!$C$41:$C$88,),),0)</f>
        <v>0</v>
      </c>
      <c r="EI14" s="88" cm="1">
        <f t="array" ref="EI14">IFERROR(INDEX(Assumption!$E$41:$E$88,MATCH(EI6,Assumption!$C$41:$C$88,),),0)</f>
        <v>0</v>
      </c>
      <c r="EJ14" s="88" cm="1">
        <f t="array" ref="EJ14">IFERROR(INDEX(Assumption!$E$41:$E$88,MATCH(EJ6,Assumption!$C$41:$C$88,),),0)</f>
        <v>562.5</v>
      </c>
      <c r="EK14" s="88" cm="1">
        <f t="array" ref="EK14">IFERROR(INDEX(Assumption!$E$41:$E$88,MATCH(EK6,Assumption!$C$41:$C$88,),),0)</f>
        <v>0</v>
      </c>
      <c r="EL14" s="88" cm="1">
        <f t="array" ref="EL14">IFERROR(INDEX(Assumption!$E$41:$E$88,MATCH(EL6,Assumption!$C$41:$C$88,),),0)</f>
        <v>0</v>
      </c>
      <c r="EM14" s="88" cm="1">
        <f t="array" ref="EM14">IFERROR(INDEX(Assumption!$E$41:$E$88,MATCH(EM6,Assumption!$C$41:$C$88,),),0)</f>
        <v>562.5</v>
      </c>
      <c r="EN14" s="88" cm="1">
        <f t="array" ref="EN14">IFERROR(INDEX(Assumption!$E$41:$E$88,MATCH(EN6,Assumption!$C$41:$C$88,),),0)</f>
        <v>0</v>
      </c>
      <c r="EO14" s="88" cm="1">
        <f t="array" ref="EO14">IFERROR(INDEX(Assumption!$E$41:$E$88,MATCH(EO6,Assumption!$C$41:$C$88,),),0)</f>
        <v>0</v>
      </c>
      <c r="EP14" s="88" cm="1">
        <f t="array" ref="EP14">IFERROR(INDEX(Assumption!$E$41:$E$88,MATCH(EP6,Assumption!$C$41:$C$88,),),0)</f>
        <v>562.5</v>
      </c>
      <c r="EQ14" s="88" cm="1">
        <f t="array" ref="EQ14">IFERROR(INDEX(Assumption!$E$41:$E$88,MATCH(EQ6,Assumption!$C$41:$C$88,),),0)</f>
        <v>0</v>
      </c>
      <c r="ER14" s="88" cm="1">
        <f t="array" ref="ER14">IFERROR(INDEX(Assumption!$E$41:$E$88,MATCH(ER6,Assumption!$C$41:$C$88,),),0)</f>
        <v>0</v>
      </c>
      <c r="ES14" s="88" cm="1">
        <f t="array" ref="ES14">IFERROR(INDEX(Assumption!$E$41:$E$88,MATCH(ES6,Assumption!$C$41:$C$88,),),0)</f>
        <v>562.5</v>
      </c>
      <c r="ET14" s="88" cm="1">
        <f t="array" ref="ET14">IFERROR(INDEX(Assumption!$E$41:$E$88,MATCH(ET6,Assumption!$C$41:$C$88,),),0)</f>
        <v>0</v>
      </c>
      <c r="EU14" s="88" cm="1">
        <f t="array" ref="EU14">IFERROR(INDEX(Assumption!$E$41:$E$88,MATCH(EU6,Assumption!$C$41:$C$88,),),0)</f>
        <v>0</v>
      </c>
      <c r="EV14" s="88" cm="1">
        <f t="array" ref="EV14">IFERROR(INDEX(Assumption!$E$41:$E$88,MATCH(EV6,Assumption!$C$41:$C$88,),),0)</f>
        <v>562.5</v>
      </c>
      <c r="EW14" s="88" cm="1">
        <f t="array" ref="EW14">IFERROR(INDEX(Assumption!$E$41:$E$88,MATCH(EW6,Assumption!$C$41:$C$88,),),0)</f>
        <v>0</v>
      </c>
      <c r="EX14" s="88" cm="1">
        <f t="array" ref="EX14">IFERROR(INDEX(Assumption!$E$41:$E$88,MATCH(EX6,Assumption!$C$41:$C$88,),),0)</f>
        <v>0</v>
      </c>
      <c r="EY14" s="88" cm="1">
        <f t="array" ref="EY14">IFERROR(INDEX(Assumption!$E$41:$E$88,MATCH(EY6,Assumption!$C$41:$C$88,),),0)</f>
        <v>562.5</v>
      </c>
      <c r="EZ14" s="88" cm="1">
        <f t="array" ref="EZ14">IFERROR(INDEX(Assumption!$E$41:$E$88,MATCH(EZ6,Assumption!$C$41:$C$88,),),0)</f>
        <v>0</v>
      </c>
      <c r="FA14" s="88" cm="1">
        <f t="array" ref="FA14">IFERROR(INDEX(Assumption!$E$41:$E$88,MATCH(FA6,Assumption!$C$41:$C$88,),),0)</f>
        <v>0</v>
      </c>
      <c r="FB14" s="88" cm="1">
        <f t="array" ref="FB14">IFERROR(INDEX(Assumption!$E$41:$E$88,MATCH(FB6,Assumption!$C$41:$C$88,),),0)</f>
        <v>562.5</v>
      </c>
      <c r="FC14" s="88" cm="1">
        <f t="array" ref="FC14">IFERROR(INDEX(Assumption!$E$41:$E$88,MATCH(FC6,Assumption!$C$41:$C$88,),),0)</f>
        <v>0</v>
      </c>
      <c r="FD14" s="88" cm="1">
        <f t="array" ref="FD14">IFERROR(INDEX(Assumption!$E$41:$E$88,MATCH(FD6,Assumption!$C$41:$C$88,),),0)</f>
        <v>0</v>
      </c>
      <c r="FE14" s="88" cm="1">
        <f t="array" ref="FE14">IFERROR(INDEX(Assumption!$E$41:$E$88,MATCH(FE6,Assumption!$C$41:$C$88,),),0)</f>
        <v>562.5</v>
      </c>
      <c r="FF14" s="88" cm="1">
        <f t="array" ref="FF14">IFERROR(INDEX(Assumption!$E$41:$E$88,MATCH(FF6,Assumption!$C$41:$C$88,),),0)</f>
        <v>0</v>
      </c>
      <c r="FG14" s="88" cm="1">
        <f t="array" ref="FG14">IFERROR(INDEX(Assumption!$E$41:$E$88,MATCH(FG6,Assumption!$C$41:$C$88,),),0)</f>
        <v>0</v>
      </c>
      <c r="FH14" s="88" cm="1">
        <f t="array" ref="FH14">IFERROR(INDEX(Assumption!$E$41:$E$88,MATCH(FH6,Assumption!$C$41:$C$88,),),0)</f>
        <v>562.5</v>
      </c>
      <c r="FI14" s="88" cm="1">
        <f t="array" ref="FI14">IFERROR(INDEX(Assumption!$E$41:$E$88,MATCH(FI6,Assumption!$C$41:$C$88,),),0)</f>
        <v>0</v>
      </c>
      <c r="FJ14" s="88" cm="1">
        <f t="array" ref="FJ14">IFERROR(INDEX(Assumption!$E$41:$E$88,MATCH(FJ6,Assumption!$C$41:$C$88,),),0)</f>
        <v>0</v>
      </c>
      <c r="FK14" s="88" cm="1">
        <f t="array" ref="FK14">IFERROR(INDEX(Assumption!$E$41:$E$88,MATCH(FK6,Assumption!$C$41:$C$88,),),0)</f>
        <v>562.5</v>
      </c>
      <c r="FL14" s="88" cm="1">
        <f t="array" ref="FL14">IFERROR(INDEX(Assumption!$E$41:$E$88,MATCH(FL6,Assumption!$C$41:$C$88,),),0)</f>
        <v>0</v>
      </c>
      <c r="FM14" s="88" cm="1">
        <f t="array" ref="FM14">IFERROR(INDEX(Assumption!$E$41:$E$88,MATCH(FM6,Assumption!$C$41:$C$88,),),0)</f>
        <v>0</v>
      </c>
      <c r="FN14" s="88" cm="1">
        <f t="array" ref="FN14">IFERROR(INDEX(Assumption!$E$41:$E$88,MATCH(FN6,Assumption!$C$41:$C$88,),),0)</f>
        <v>562.5</v>
      </c>
      <c r="FO14" s="88" cm="1">
        <f t="array" ref="FO14">IFERROR(INDEX(Assumption!$E$41:$E$88,MATCH(FO6,Assumption!$C$41:$C$88,),),0)</f>
        <v>0</v>
      </c>
      <c r="FP14" s="88" cm="1">
        <f t="array" ref="FP14">IFERROR(INDEX(Assumption!$E$41:$E$88,MATCH(FP6,Assumption!$C$41:$C$88,),),0)</f>
        <v>0</v>
      </c>
      <c r="FQ14" s="88" cm="1">
        <f t="array" ref="FQ14">IFERROR(INDEX(Assumption!$E$41:$E$88,MATCH(FQ6,Assumption!$C$41:$C$88,),),0)</f>
        <v>562.5</v>
      </c>
      <c r="FR14" s="88" cm="1">
        <f t="array" ref="FR14">IFERROR(INDEX(Assumption!$E$41:$E$88,MATCH(FR6,Assumption!$C$41:$C$88,),),0)</f>
        <v>0</v>
      </c>
      <c r="FS14" s="88" cm="1">
        <f t="array" ref="FS14">IFERROR(INDEX(Assumption!$E$41:$E$88,MATCH(FS6,Assumption!$C$41:$C$88,),),0)</f>
        <v>0</v>
      </c>
      <c r="FT14" s="88" cm="1">
        <f t="array" ref="FT14">IFERROR(INDEX(Assumption!$E$41:$E$88,MATCH(FT6,Assumption!$C$41:$C$88,),),0)</f>
        <v>562.5</v>
      </c>
      <c r="FU14" s="88" cm="1">
        <f t="array" ref="FU14">IFERROR(INDEX(Assumption!$E$41:$E$88,MATCH(FU6,Assumption!$C$41:$C$88,),),0)</f>
        <v>0</v>
      </c>
      <c r="FV14" s="88" cm="1">
        <f t="array" ref="FV14">IFERROR(INDEX(Assumption!$E$41:$E$88,MATCH(FV6,Assumption!$C$41:$C$88,),),0)</f>
        <v>0</v>
      </c>
      <c r="FW14" s="88" cm="1">
        <f t="array" ref="FW14">IFERROR(INDEX(Assumption!$E$41:$E$88,MATCH(FW6,Assumption!$C$41:$C$88,),),0)</f>
        <v>562.5</v>
      </c>
      <c r="FX14" s="88" cm="1">
        <f t="array" ref="FX14">IFERROR(INDEX(Assumption!$E$41:$E$88,MATCH(FX6,Assumption!$C$41:$C$88,),),0)</f>
        <v>0</v>
      </c>
      <c r="FY14" s="88" cm="1">
        <f t="array" ref="FY14">IFERROR(INDEX(Assumption!$E$41:$E$88,MATCH(FY6,Assumption!$C$41:$C$88,),),0)</f>
        <v>0</v>
      </c>
      <c r="FZ14" s="88" cm="1">
        <f t="array" ref="FZ14">IFERROR(INDEX(Assumption!$E$41:$E$88,MATCH(FZ6,Assumption!$C$41:$C$88,),),0)</f>
        <v>562.5</v>
      </c>
      <c r="GA14" s="88" cm="1">
        <f t="array" ref="GA14">IFERROR(INDEX(Assumption!$E$41:$E$88,MATCH(GA6,Assumption!$C$41:$C$88,),),0)</f>
        <v>0</v>
      </c>
      <c r="GB14" s="88" cm="1">
        <f t="array" ref="GB14">IFERROR(INDEX(Assumption!$E$41:$E$88,MATCH(GB6,Assumption!$C$41:$C$88,),),0)</f>
        <v>0</v>
      </c>
      <c r="GC14" s="88" cm="1">
        <f t="array" ref="GC14">IFERROR(INDEX(Assumption!$E$41:$E$88,MATCH(GC6,Assumption!$C$41:$C$88,),),0)</f>
        <v>562.5</v>
      </c>
      <c r="GD14" s="88" cm="1">
        <f t="array" ref="GD14">IFERROR(INDEX(Assumption!$E$41:$E$88,MATCH(GD6,Assumption!$C$41:$C$88,),),0)</f>
        <v>0</v>
      </c>
      <c r="GE14" s="88" cm="1">
        <f t="array" ref="GE14">IFERROR(INDEX(Assumption!$E$41:$E$88,MATCH(GE6,Assumption!$C$41:$C$88,),),0)</f>
        <v>0</v>
      </c>
      <c r="GF14" s="100" cm="1">
        <f t="array" ref="GF14">IFERROR(INDEX(Assumption!$E$41:$E$88,MATCH(GF6,Assumption!$C$41:$C$88,),),0)</f>
        <v>0</v>
      </c>
    </row>
    <row r="15" spans="2:188" x14ac:dyDescent="0.3">
      <c r="C15" s="97" t="s">
        <v>112</v>
      </c>
      <c r="D15" s="80"/>
      <c r="E15" s="80">
        <f>E12+E13-E14</f>
        <v>13000</v>
      </c>
      <c r="F15" s="80">
        <f t="shared" ref="F15:O15" si="187">F12+F13-F14</f>
        <v>13000</v>
      </c>
      <c r="G15" s="80">
        <f t="shared" si="187"/>
        <v>13000</v>
      </c>
      <c r="H15" s="80">
        <f t="shared" si="187"/>
        <v>13000</v>
      </c>
      <c r="I15" s="80">
        <f t="shared" si="187"/>
        <v>25000</v>
      </c>
      <c r="J15" s="80">
        <f t="shared" si="187"/>
        <v>25000</v>
      </c>
      <c r="K15" s="80">
        <f t="shared" si="187"/>
        <v>25000</v>
      </c>
      <c r="L15" s="80">
        <f t="shared" si="187"/>
        <v>25000</v>
      </c>
      <c r="M15" s="80">
        <f t="shared" si="187"/>
        <v>25000</v>
      </c>
      <c r="N15" s="80">
        <f t="shared" si="187"/>
        <v>27000</v>
      </c>
      <c r="O15" s="80">
        <f t="shared" si="187"/>
        <v>27000</v>
      </c>
      <c r="P15" s="80">
        <f t="shared" ref="P15:CA15" si="188">P12+P13-P14</f>
        <v>27000</v>
      </c>
      <c r="Q15" s="80">
        <f t="shared" si="188"/>
        <v>27000</v>
      </c>
      <c r="R15" s="80">
        <f t="shared" si="188"/>
        <v>27000</v>
      </c>
      <c r="S15" s="80">
        <f t="shared" si="188"/>
        <v>27000</v>
      </c>
      <c r="T15" s="80">
        <f t="shared" si="188"/>
        <v>27000</v>
      </c>
      <c r="U15" s="80">
        <f t="shared" si="188"/>
        <v>27000</v>
      </c>
      <c r="V15" s="80">
        <f t="shared" si="188"/>
        <v>27000</v>
      </c>
      <c r="W15" s="80">
        <f t="shared" si="188"/>
        <v>27000</v>
      </c>
      <c r="X15" s="80">
        <f t="shared" si="188"/>
        <v>27000</v>
      </c>
      <c r="Y15" s="80">
        <f t="shared" si="188"/>
        <v>27000</v>
      </c>
      <c r="Z15" s="80">
        <f t="shared" si="188"/>
        <v>27000</v>
      </c>
      <c r="AA15" s="80">
        <f t="shared" si="188"/>
        <v>27000</v>
      </c>
      <c r="AB15" s="80">
        <f t="shared" si="188"/>
        <v>27000</v>
      </c>
      <c r="AC15" s="80">
        <f t="shared" si="188"/>
        <v>27000</v>
      </c>
      <c r="AD15" s="80">
        <f t="shared" si="188"/>
        <v>27000</v>
      </c>
      <c r="AE15" s="80">
        <f t="shared" si="188"/>
        <v>27000</v>
      </c>
      <c r="AF15" s="80">
        <f t="shared" si="188"/>
        <v>27000</v>
      </c>
      <c r="AG15" s="80">
        <f t="shared" si="188"/>
        <v>27000</v>
      </c>
      <c r="AH15" s="80">
        <f t="shared" si="188"/>
        <v>27000</v>
      </c>
      <c r="AI15" s="80">
        <f t="shared" si="188"/>
        <v>27000</v>
      </c>
      <c r="AJ15" s="80">
        <f t="shared" si="188"/>
        <v>27000</v>
      </c>
      <c r="AK15" s="80">
        <f t="shared" si="188"/>
        <v>27000</v>
      </c>
      <c r="AL15" s="80">
        <f t="shared" si="188"/>
        <v>27000</v>
      </c>
      <c r="AM15" s="80">
        <f t="shared" si="188"/>
        <v>27000</v>
      </c>
      <c r="AN15" s="80">
        <f t="shared" si="188"/>
        <v>27000</v>
      </c>
      <c r="AO15" s="80">
        <f t="shared" si="188"/>
        <v>27000</v>
      </c>
      <c r="AP15" s="80">
        <f t="shared" si="188"/>
        <v>27000</v>
      </c>
      <c r="AQ15" s="80">
        <f t="shared" si="188"/>
        <v>27000</v>
      </c>
      <c r="AR15" s="80">
        <f t="shared" si="188"/>
        <v>26437.5</v>
      </c>
      <c r="AS15" s="80">
        <f t="shared" si="188"/>
        <v>26437.5</v>
      </c>
      <c r="AT15" s="80">
        <f t="shared" si="188"/>
        <v>26437.5</v>
      </c>
      <c r="AU15" s="80">
        <f t="shared" si="188"/>
        <v>25875</v>
      </c>
      <c r="AV15" s="80">
        <f t="shared" si="188"/>
        <v>25875</v>
      </c>
      <c r="AW15" s="80">
        <f t="shared" si="188"/>
        <v>25875</v>
      </c>
      <c r="AX15" s="80">
        <f t="shared" si="188"/>
        <v>25312.5</v>
      </c>
      <c r="AY15" s="80">
        <f t="shared" si="188"/>
        <v>25312.5</v>
      </c>
      <c r="AZ15" s="80">
        <f t="shared" si="188"/>
        <v>25312.5</v>
      </c>
      <c r="BA15" s="80">
        <f t="shared" si="188"/>
        <v>24750</v>
      </c>
      <c r="BB15" s="80">
        <f t="shared" si="188"/>
        <v>24750</v>
      </c>
      <c r="BC15" s="80">
        <f t="shared" si="188"/>
        <v>24750</v>
      </c>
      <c r="BD15" s="80">
        <f t="shared" si="188"/>
        <v>24187.5</v>
      </c>
      <c r="BE15" s="80">
        <f t="shared" si="188"/>
        <v>24187.5</v>
      </c>
      <c r="BF15" s="80">
        <f t="shared" si="188"/>
        <v>24187.5</v>
      </c>
      <c r="BG15" s="80">
        <f t="shared" si="188"/>
        <v>23625</v>
      </c>
      <c r="BH15" s="80">
        <f t="shared" si="188"/>
        <v>23625</v>
      </c>
      <c r="BI15" s="80">
        <f t="shared" si="188"/>
        <v>23625</v>
      </c>
      <c r="BJ15" s="80">
        <f t="shared" si="188"/>
        <v>23062.5</v>
      </c>
      <c r="BK15" s="80">
        <f t="shared" si="188"/>
        <v>23062.5</v>
      </c>
      <c r="BL15" s="80">
        <f t="shared" si="188"/>
        <v>23062.5</v>
      </c>
      <c r="BM15" s="80">
        <f t="shared" si="188"/>
        <v>22500</v>
      </c>
      <c r="BN15" s="80">
        <f t="shared" si="188"/>
        <v>22500</v>
      </c>
      <c r="BO15" s="80">
        <f t="shared" si="188"/>
        <v>22500</v>
      </c>
      <c r="BP15" s="80">
        <f t="shared" si="188"/>
        <v>21937.5</v>
      </c>
      <c r="BQ15" s="80">
        <f t="shared" si="188"/>
        <v>21937.5</v>
      </c>
      <c r="BR15" s="80">
        <f t="shared" si="188"/>
        <v>21937.5</v>
      </c>
      <c r="BS15" s="80">
        <f t="shared" si="188"/>
        <v>21375</v>
      </c>
      <c r="BT15" s="80">
        <f t="shared" si="188"/>
        <v>21375</v>
      </c>
      <c r="BU15" s="80">
        <f t="shared" si="188"/>
        <v>21375</v>
      </c>
      <c r="BV15" s="80">
        <f t="shared" si="188"/>
        <v>20812.5</v>
      </c>
      <c r="BW15" s="80">
        <f t="shared" si="188"/>
        <v>20812.5</v>
      </c>
      <c r="BX15" s="80">
        <f t="shared" si="188"/>
        <v>20812.5</v>
      </c>
      <c r="BY15" s="80">
        <f t="shared" si="188"/>
        <v>20250</v>
      </c>
      <c r="BZ15" s="80">
        <f t="shared" si="188"/>
        <v>20250</v>
      </c>
      <c r="CA15" s="80">
        <f t="shared" si="188"/>
        <v>20250</v>
      </c>
      <c r="CB15" s="80">
        <f t="shared" ref="CB15:EM15" si="189">CB12+CB13-CB14</f>
        <v>19687.5</v>
      </c>
      <c r="CC15" s="80">
        <f t="shared" si="189"/>
        <v>19687.5</v>
      </c>
      <c r="CD15" s="80">
        <f t="shared" si="189"/>
        <v>19687.5</v>
      </c>
      <c r="CE15" s="80">
        <f t="shared" si="189"/>
        <v>19125</v>
      </c>
      <c r="CF15" s="80">
        <f t="shared" si="189"/>
        <v>19125</v>
      </c>
      <c r="CG15" s="80">
        <f t="shared" si="189"/>
        <v>19125</v>
      </c>
      <c r="CH15" s="80">
        <f t="shared" si="189"/>
        <v>18562.5</v>
      </c>
      <c r="CI15" s="80">
        <f t="shared" si="189"/>
        <v>18562.5</v>
      </c>
      <c r="CJ15" s="80">
        <f t="shared" si="189"/>
        <v>18562.5</v>
      </c>
      <c r="CK15" s="80">
        <f t="shared" si="189"/>
        <v>18000</v>
      </c>
      <c r="CL15" s="80">
        <f t="shared" si="189"/>
        <v>18000</v>
      </c>
      <c r="CM15" s="80">
        <f t="shared" si="189"/>
        <v>18000</v>
      </c>
      <c r="CN15" s="80">
        <f t="shared" si="189"/>
        <v>17437.5</v>
      </c>
      <c r="CO15" s="80">
        <f t="shared" si="189"/>
        <v>17437.5</v>
      </c>
      <c r="CP15" s="80">
        <f t="shared" si="189"/>
        <v>17437.5</v>
      </c>
      <c r="CQ15" s="80">
        <f t="shared" si="189"/>
        <v>16875</v>
      </c>
      <c r="CR15" s="80">
        <f t="shared" si="189"/>
        <v>16875</v>
      </c>
      <c r="CS15" s="80">
        <f t="shared" si="189"/>
        <v>16875</v>
      </c>
      <c r="CT15" s="80">
        <f t="shared" si="189"/>
        <v>16312.5</v>
      </c>
      <c r="CU15" s="80">
        <f t="shared" si="189"/>
        <v>16312.5</v>
      </c>
      <c r="CV15" s="80">
        <f t="shared" si="189"/>
        <v>16312.5</v>
      </c>
      <c r="CW15" s="80">
        <f t="shared" si="189"/>
        <v>15750</v>
      </c>
      <c r="CX15" s="80">
        <f t="shared" si="189"/>
        <v>15750</v>
      </c>
      <c r="CY15" s="80">
        <f t="shared" si="189"/>
        <v>15750</v>
      </c>
      <c r="CZ15" s="80">
        <f t="shared" si="189"/>
        <v>15187.5</v>
      </c>
      <c r="DA15" s="80">
        <f t="shared" si="189"/>
        <v>15187.5</v>
      </c>
      <c r="DB15" s="80">
        <f t="shared" si="189"/>
        <v>15187.5</v>
      </c>
      <c r="DC15" s="80">
        <f t="shared" si="189"/>
        <v>14625</v>
      </c>
      <c r="DD15" s="80">
        <f t="shared" si="189"/>
        <v>14625</v>
      </c>
      <c r="DE15" s="80">
        <f t="shared" si="189"/>
        <v>14625</v>
      </c>
      <c r="DF15" s="80">
        <f t="shared" si="189"/>
        <v>14062.5</v>
      </c>
      <c r="DG15" s="80">
        <f t="shared" si="189"/>
        <v>14062.5</v>
      </c>
      <c r="DH15" s="80">
        <f t="shared" si="189"/>
        <v>14062.5</v>
      </c>
      <c r="DI15" s="80">
        <f t="shared" si="189"/>
        <v>13500</v>
      </c>
      <c r="DJ15" s="80">
        <f t="shared" si="189"/>
        <v>13500</v>
      </c>
      <c r="DK15" s="80">
        <f t="shared" si="189"/>
        <v>13500</v>
      </c>
      <c r="DL15" s="80">
        <f t="shared" si="189"/>
        <v>12937.5</v>
      </c>
      <c r="DM15" s="80">
        <f t="shared" si="189"/>
        <v>12937.5</v>
      </c>
      <c r="DN15" s="80">
        <f t="shared" si="189"/>
        <v>12937.5</v>
      </c>
      <c r="DO15" s="80">
        <f t="shared" si="189"/>
        <v>12375</v>
      </c>
      <c r="DP15" s="80">
        <f t="shared" si="189"/>
        <v>12375</v>
      </c>
      <c r="DQ15" s="80">
        <f t="shared" si="189"/>
        <v>12375</v>
      </c>
      <c r="DR15" s="80">
        <f t="shared" si="189"/>
        <v>11812.5</v>
      </c>
      <c r="DS15" s="80">
        <f t="shared" si="189"/>
        <v>11812.5</v>
      </c>
      <c r="DT15" s="80">
        <f t="shared" si="189"/>
        <v>11812.5</v>
      </c>
      <c r="DU15" s="80">
        <f t="shared" si="189"/>
        <v>11250</v>
      </c>
      <c r="DV15" s="80">
        <f t="shared" si="189"/>
        <v>11250</v>
      </c>
      <c r="DW15" s="80">
        <f t="shared" si="189"/>
        <v>11250</v>
      </c>
      <c r="DX15" s="80">
        <f t="shared" si="189"/>
        <v>10687.5</v>
      </c>
      <c r="DY15" s="80">
        <f t="shared" si="189"/>
        <v>10687.5</v>
      </c>
      <c r="DZ15" s="80">
        <f t="shared" si="189"/>
        <v>10687.5</v>
      </c>
      <c r="EA15" s="80">
        <f t="shared" si="189"/>
        <v>10125</v>
      </c>
      <c r="EB15" s="80">
        <f t="shared" si="189"/>
        <v>10125</v>
      </c>
      <c r="EC15" s="80">
        <f t="shared" si="189"/>
        <v>10125</v>
      </c>
      <c r="ED15" s="80">
        <f t="shared" si="189"/>
        <v>9562.5</v>
      </c>
      <c r="EE15" s="80">
        <f t="shared" si="189"/>
        <v>9562.5</v>
      </c>
      <c r="EF15" s="80">
        <f t="shared" si="189"/>
        <v>9562.5</v>
      </c>
      <c r="EG15" s="80">
        <f t="shared" si="189"/>
        <v>9000</v>
      </c>
      <c r="EH15" s="80">
        <f t="shared" si="189"/>
        <v>9000</v>
      </c>
      <c r="EI15" s="80">
        <f t="shared" si="189"/>
        <v>9000</v>
      </c>
      <c r="EJ15" s="80">
        <f t="shared" si="189"/>
        <v>8437.5</v>
      </c>
      <c r="EK15" s="80">
        <f t="shared" si="189"/>
        <v>8437.5</v>
      </c>
      <c r="EL15" s="80">
        <f t="shared" si="189"/>
        <v>8437.5</v>
      </c>
      <c r="EM15" s="80">
        <f t="shared" si="189"/>
        <v>7875</v>
      </c>
      <c r="EN15" s="80">
        <f t="shared" ref="EN15:GF15" si="190">EN12+EN13-EN14</f>
        <v>7875</v>
      </c>
      <c r="EO15" s="80">
        <f t="shared" si="190"/>
        <v>7875</v>
      </c>
      <c r="EP15" s="80">
        <f t="shared" si="190"/>
        <v>7312.5</v>
      </c>
      <c r="EQ15" s="80">
        <f t="shared" si="190"/>
        <v>7312.5</v>
      </c>
      <c r="ER15" s="80">
        <f t="shared" si="190"/>
        <v>7312.5</v>
      </c>
      <c r="ES15" s="80">
        <f t="shared" si="190"/>
        <v>6750</v>
      </c>
      <c r="ET15" s="80">
        <f t="shared" si="190"/>
        <v>6750</v>
      </c>
      <c r="EU15" s="80">
        <f t="shared" si="190"/>
        <v>6750</v>
      </c>
      <c r="EV15" s="80">
        <f t="shared" si="190"/>
        <v>6187.5</v>
      </c>
      <c r="EW15" s="80">
        <f t="shared" si="190"/>
        <v>6187.5</v>
      </c>
      <c r="EX15" s="80">
        <f t="shared" si="190"/>
        <v>6187.5</v>
      </c>
      <c r="EY15" s="80">
        <f t="shared" si="190"/>
        <v>5625</v>
      </c>
      <c r="EZ15" s="80">
        <f t="shared" si="190"/>
        <v>5625</v>
      </c>
      <c r="FA15" s="80">
        <f t="shared" si="190"/>
        <v>5625</v>
      </c>
      <c r="FB15" s="80">
        <f t="shared" si="190"/>
        <v>5062.5</v>
      </c>
      <c r="FC15" s="80">
        <f t="shared" si="190"/>
        <v>5062.5</v>
      </c>
      <c r="FD15" s="80">
        <f t="shared" si="190"/>
        <v>5062.5</v>
      </c>
      <c r="FE15" s="80">
        <f t="shared" si="190"/>
        <v>4500</v>
      </c>
      <c r="FF15" s="80">
        <f t="shared" si="190"/>
        <v>4500</v>
      </c>
      <c r="FG15" s="80">
        <f t="shared" si="190"/>
        <v>4500</v>
      </c>
      <c r="FH15" s="80">
        <f t="shared" si="190"/>
        <v>3937.5</v>
      </c>
      <c r="FI15" s="80">
        <f t="shared" si="190"/>
        <v>3937.5</v>
      </c>
      <c r="FJ15" s="80">
        <f t="shared" si="190"/>
        <v>3937.5</v>
      </c>
      <c r="FK15" s="80">
        <f t="shared" si="190"/>
        <v>3375</v>
      </c>
      <c r="FL15" s="80">
        <f t="shared" si="190"/>
        <v>3375</v>
      </c>
      <c r="FM15" s="80">
        <f t="shared" si="190"/>
        <v>3375</v>
      </c>
      <c r="FN15" s="80">
        <f t="shared" si="190"/>
        <v>2812.5</v>
      </c>
      <c r="FO15" s="80">
        <f t="shared" si="190"/>
        <v>2812.5</v>
      </c>
      <c r="FP15" s="80">
        <f t="shared" si="190"/>
        <v>2812.5</v>
      </c>
      <c r="FQ15" s="80">
        <f t="shared" si="190"/>
        <v>2250</v>
      </c>
      <c r="FR15" s="80">
        <f t="shared" si="190"/>
        <v>2250</v>
      </c>
      <c r="FS15" s="80">
        <f t="shared" si="190"/>
        <v>2250</v>
      </c>
      <c r="FT15" s="80">
        <f t="shared" si="190"/>
        <v>1687.5</v>
      </c>
      <c r="FU15" s="80">
        <f t="shared" si="190"/>
        <v>1687.5</v>
      </c>
      <c r="FV15" s="80">
        <f t="shared" si="190"/>
        <v>1687.5</v>
      </c>
      <c r="FW15" s="80">
        <f t="shared" si="190"/>
        <v>1125</v>
      </c>
      <c r="FX15" s="80">
        <f t="shared" si="190"/>
        <v>1125</v>
      </c>
      <c r="FY15" s="80">
        <f t="shared" si="190"/>
        <v>1125</v>
      </c>
      <c r="FZ15" s="80">
        <f t="shared" si="190"/>
        <v>562.5</v>
      </c>
      <c r="GA15" s="80">
        <f t="shared" si="190"/>
        <v>562.5</v>
      </c>
      <c r="GB15" s="80">
        <f t="shared" si="190"/>
        <v>562.5</v>
      </c>
      <c r="GC15" s="80">
        <f t="shared" si="190"/>
        <v>0</v>
      </c>
      <c r="GD15" s="80">
        <f t="shared" si="190"/>
        <v>0</v>
      </c>
      <c r="GE15" s="80">
        <f t="shared" si="190"/>
        <v>0</v>
      </c>
      <c r="GF15" s="98">
        <f t="shared" si="190"/>
        <v>0</v>
      </c>
    </row>
    <row r="16" spans="2:188" x14ac:dyDescent="0.3">
      <c r="C16" s="95" t="s">
        <v>115</v>
      </c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8"/>
    </row>
    <row r="17" spans="3:188" x14ac:dyDescent="0.3">
      <c r="C17" s="104" t="s">
        <v>118</v>
      </c>
      <c r="D17" s="88">
        <f>SUM(E17:GF17)</f>
        <v>10960.734283569598</v>
      </c>
      <c r="E17" s="88"/>
      <c r="F17" s="88">
        <f>F12*(Assumption!$C$17*(_xlfn.DAYS(F6,E6)/(IF(MOD(F8,4)=0,366,365))))</f>
        <v>48.645287671232872</v>
      </c>
      <c r="G17" s="88">
        <f>G12*Assumption!$C$17*(_xlfn.DAYS(G6,F6)/(IF(MOD(G8,4)=0,366,365)))</f>
        <v>50.266797260273968</v>
      </c>
      <c r="H17" s="88">
        <f>H12*Assumption!$C$17*(_xlfn.DAYS(H6,G6)/(IF(MOD(H8,4)=0,366,365)))</f>
        <v>48.645287671232872</v>
      </c>
      <c r="I17" s="88">
        <f>I12*Assumption!$C$17*(_xlfn.DAYS(I6,H6)/(IF(MOD(I8,4)=0,366,365)))</f>
        <v>50.129456284153001</v>
      </c>
      <c r="J17" s="88">
        <f>I12*Assumption!$C$17*(_xlfn.DAYS(J6,I6)/(IF(MOD(J8,4)=0,366,365)))+I13*Assumption!$C$17*(_xlfn.DAYS(J6,Assumption!B9)/(IF(MOD(J8,4)=0,366,365)))</f>
        <v>93.417423497267748</v>
      </c>
      <c r="K17" s="88">
        <f>K12*Assumption!$C$17*(_xlfn.DAYS(K6,J6)/(IF(MOD(K8,4)=0,366,365)))</f>
        <v>90.183265027322406</v>
      </c>
      <c r="L17" s="88">
        <f>L12*Assumption!$C$17*(_xlfn.DAYS(L6,K6)/(IF(MOD(L8,4)=0,366,365)))</f>
        <v>96.402800546448077</v>
      </c>
      <c r="M17" s="88">
        <f>M12*Assumption!$C$17*(_xlfn.DAYS(M6,L6)/(IF(MOD(M8,4)=0,366,365)))</f>
        <v>93.293032786885234</v>
      </c>
      <c r="N17" s="88">
        <f>N12*Assumption!$C$17*(_xlfn.DAYS(N6,M6)/(IF(MOD(N8,4)=0,366,365)))</f>
        <v>96.402800546448077</v>
      </c>
      <c r="O17" s="88">
        <f>N12*Assumption!$C$17*(_xlfn.DAYS(O6,N6)/(IF(MOD(O8,4)=0,366,365)))+N13*Assumption!$C$17*(_xlfn.DAYS(O6,Assumption!B10)/(IF(MOD(O8,4)=0,366,365)))</f>
        <v>100.258912568306</v>
      </c>
      <c r="P17" s="88">
        <f>P12*Assumption!$C$17*(_xlfn.DAYS(P6,O6)/(IF(MOD(P8,4)=0,366,365)))</f>
        <v>104.11502459016394</v>
      </c>
      <c r="Q17" s="88">
        <f>Q12*Assumption!$C$17*(_xlfn.DAYS(Q6,P6)/(IF(MOD(Q8,4)=0,366,365)))</f>
        <v>104.11502459016394</v>
      </c>
      <c r="R17" s="88">
        <f>R12*Assumption!$C$17*(_xlfn.DAYS(R6,Q6)/(IF(MOD(R8,4)=0,366,365)))</f>
        <v>100.75647540983606</v>
      </c>
      <c r="S17" s="88">
        <f>S12*Assumption!$C$17*(_xlfn.DAYS(S6,R6)/(IF(MOD(S8,4)=0,366,365)))</f>
        <v>104.11502459016394</v>
      </c>
      <c r="T17" s="88">
        <f>T12*Assumption!$C$17*(_xlfn.DAYS(T6,S6)/(IF(MOD(T8,4)=0,366,365)))</f>
        <v>100.75647540983606</v>
      </c>
      <c r="U17" s="88">
        <f>U12*Assumption!$C$17*(_xlfn.DAYS(U6,T6)/(IF(MOD(U8,4)=0,366,365)))</f>
        <v>104.40027123287672</v>
      </c>
      <c r="V17" s="88">
        <f>V12*Assumption!$C$17*(_xlfn.DAYS(V6,U6)/(IF(MOD(V8,4)=0,366,365)))</f>
        <v>104.40027123287672</v>
      </c>
      <c r="W17" s="88">
        <f>W12*Assumption!$C$17*(_xlfn.DAYS(W6,V6)/(IF(MOD(W8,4)=0,366,365)))</f>
        <v>94.297019178082195</v>
      </c>
      <c r="X17" s="88">
        <f>X12*Assumption!$C$17*(_xlfn.DAYS(X6,W6)/(IF(MOD(X8,4)=0,366,365)))</f>
        <v>104.40027123287672</v>
      </c>
      <c r="Y17" s="88">
        <f>Y12*Assumption!$C$17*(_xlfn.DAYS(Y6,X6)/(IF(MOD(Y8,4)=0,366,365)))</f>
        <v>101.0325205479452</v>
      </c>
      <c r="Z17" s="88">
        <f>Z12*Assumption!$C$17*(_xlfn.DAYS(Z6,Y6)/(IF(MOD(Z8,4)=0,366,365)))</f>
        <v>104.40027123287672</v>
      </c>
      <c r="AA17" s="88">
        <f>AA12*Assumption!$C$17*(_xlfn.DAYS(AA6,Z6)/(IF(MOD(AA8,4)=0,366,365)))</f>
        <v>101.0325205479452</v>
      </c>
      <c r="AB17" s="88">
        <f>AB12*Assumption!$C$17*(_xlfn.DAYS(AB6,AA6)/(IF(MOD(AB8,4)=0,366,365)))</f>
        <v>104.40027123287672</v>
      </c>
      <c r="AC17" s="88">
        <f>AC12*Assumption!$C$17*(_xlfn.DAYS(AC6,AB6)/(IF(MOD(AC8,4)=0,366,365)))</f>
        <v>104.40027123287672</v>
      </c>
      <c r="AD17" s="88">
        <f>AD12*Assumption!$C$17*(_xlfn.DAYS(AD6,AC6)/(IF(MOD(AD8,4)=0,366,365)))</f>
        <v>101.0325205479452</v>
      </c>
      <c r="AE17" s="88">
        <f>AE12*Assumption!$C$17*(_xlfn.DAYS(AE6,AD6)/(IF(MOD(AE8,4)=0,366,365)))</f>
        <v>104.40027123287672</v>
      </c>
      <c r="AF17" s="88">
        <f>AF12*Assumption!$C$17*(_xlfn.DAYS(AF6,AE6)/(IF(MOD(AF8,4)=0,366,365)))</f>
        <v>101.0325205479452</v>
      </c>
      <c r="AG17" s="88">
        <f>AG12*Assumption!$C$17*(_xlfn.DAYS(AG6,AF6)/(IF(MOD(AG8,4)=0,366,365)))</f>
        <v>104.40027123287672</v>
      </c>
      <c r="AH17" s="88">
        <f>AH12*Assumption!$C$17*(_xlfn.DAYS(AH6,AG6)/(IF(MOD(AH8,4)=0,366,365)))</f>
        <v>104.40027123287672</v>
      </c>
      <c r="AI17" s="88">
        <f>AI12*Assumption!$C$17*(_xlfn.DAYS(AI6,AH6)/(IF(MOD(AI8,4)=0,366,365)))</f>
        <v>94.297019178082195</v>
      </c>
      <c r="AJ17" s="88">
        <f>AJ12*Assumption!$C$17*(_xlfn.DAYS(AJ6,AI6)/(IF(MOD(AJ8,4)=0,366,365)))</f>
        <v>104.40027123287672</v>
      </c>
      <c r="AK17" s="88">
        <f>AK12*Assumption!$C$17*(_xlfn.DAYS(AK6,AJ6)/(IF(MOD(AK8,4)=0,366,365)))</f>
        <v>101.0325205479452</v>
      </c>
      <c r="AL17" s="88">
        <f>AL12*Assumption!$C$17*(_xlfn.DAYS(AL6,AK6)/(IF(MOD(AL8,4)=0,366,365)))</f>
        <v>104.40027123287672</v>
      </c>
      <c r="AM17" s="88">
        <f>AM12*Assumption!$C$17*(_xlfn.DAYS(AM6,AL6)/(IF(MOD(AM8,4)=0,366,365)))</f>
        <v>101.0325205479452</v>
      </c>
      <c r="AN17" s="88">
        <f>AN12*Assumption!$C$17*(_xlfn.DAYS(AN6,AM6)/(IF(MOD(AN8,4)=0,366,365)))</f>
        <v>104.40027123287672</v>
      </c>
      <c r="AO17" s="88">
        <f>AO12*Assumption!$C$17*(_xlfn.DAYS(AO6,AN6)/(IF(MOD(AO8,4)=0,366,365)))</f>
        <v>104.40027123287672</v>
      </c>
      <c r="AP17" s="88">
        <f>AP12*Assumption!$C$17*(_xlfn.DAYS(AP6,AO6)/(IF(MOD(AP8,4)=0,366,365)))</f>
        <v>101.0325205479452</v>
      </c>
      <c r="AQ17" s="88">
        <f>AQ12*Assumption!$C$17*(_xlfn.DAYS(AQ6,AP6)/(IF(MOD(AQ8,4)=0,366,365)))</f>
        <v>104.40027123287672</v>
      </c>
      <c r="AR17" s="88">
        <f>AR12*Assumption!$C$17*(_xlfn.DAYS(AR6,AQ6)/(IF(MOD(AR8,4)=0,366,365)))</f>
        <v>101.0325205479452</v>
      </c>
      <c r="AS17" s="88">
        <f>AS12*Assumption!$C$17*(_xlfn.DAYS(AS6,AR6)/(IF(MOD(AS8,4)=0,366,365)))</f>
        <v>102.22526558219177</v>
      </c>
      <c r="AT17" s="88">
        <f>AT12*Assumption!$C$17*(_xlfn.DAYS(AT6,AS6)/(IF(MOD(AT8,4)=0,366,365)))</f>
        <v>102.22526558219177</v>
      </c>
      <c r="AU17" s="88">
        <f>AU12*Assumption!$C$17*(_xlfn.DAYS(AU6,AT6)/(IF(MOD(AU8,4)=0,366,365)))</f>
        <v>92.332497945205475</v>
      </c>
      <c r="AV17" s="88">
        <f>AV12*Assumption!$C$17*(_xlfn.DAYS(AV6,AU6)/(IF(MOD(AV8,4)=0,366,365)))</f>
        <v>100.05025993150684</v>
      </c>
      <c r="AW17" s="88">
        <f>AW12*Assumption!$C$17*(_xlfn.DAYS(AW6,AV6)/(IF(MOD(AW8,4)=0,366,365)))</f>
        <v>96.822832191780819</v>
      </c>
      <c r="AX17" s="88">
        <f>AX12*Assumption!$C$17*(_xlfn.DAYS(AX6,AW6)/(IF(MOD(AX8,4)=0,366,365)))</f>
        <v>100.05025993150684</v>
      </c>
      <c r="AY17" s="88">
        <f>AY12*Assumption!$C$17*(_xlfn.DAYS(AY6,AX6)/(IF(MOD(AY8,4)=0,366,365)))</f>
        <v>94.717988013698616</v>
      </c>
      <c r="AZ17" s="88">
        <f>AZ12*Assumption!$C$17*(_xlfn.DAYS(AZ6,AY6)/(IF(MOD(AZ8,4)=0,366,365)))</f>
        <v>97.875254280821906</v>
      </c>
      <c r="BA17" s="88">
        <f>BA12*Assumption!$C$17*(_xlfn.DAYS(BA6,AZ6)/(IF(MOD(BA8,4)=0,366,365)))</f>
        <v>97.875254280821906</v>
      </c>
      <c r="BB17" s="88">
        <f>BB12*Assumption!$C$17*(_xlfn.DAYS(BB6,BA6)/(IF(MOD(BB8,4)=0,366,365)))</f>
        <v>92.613143835616427</v>
      </c>
      <c r="BC17" s="88">
        <f>BC12*Assumption!$C$17*(_xlfn.DAYS(BC6,BB6)/(IF(MOD(BC8,4)=0,366,365)))</f>
        <v>95.700248630136983</v>
      </c>
      <c r="BD17" s="88">
        <f>BD12*Assumption!$C$17*(_xlfn.DAYS(BD6,BC6)/(IF(MOD(BD8,4)=0,366,365)))</f>
        <v>92.613143835616427</v>
      </c>
      <c r="BE17" s="88">
        <f>BE12*Assumption!$C$17*(_xlfn.DAYS(BE6,BD6)/(IF(MOD(BE8,4)=0,366,365)))</f>
        <v>93.269709528688523</v>
      </c>
      <c r="BF17" s="88">
        <f>BF12*Assumption!$C$17*(_xlfn.DAYS(BF6,BE6)/(IF(MOD(BF8,4)=0,366,365)))</f>
        <v>93.269709528688523</v>
      </c>
      <c r="BG17" s="88">
        <f>BG12*Assumption!$C$17*(_xlfn.DAYS(BG6,BF6)/(IF(MOD(BG8,4)=0,366,365)))</f>
        <v>87.252308913934428</v>
      </c>
      <c r="BH17" s="88">
        <f>BH12*Assumption!$C$17*(_xlfn.DAYS(BH6,BG6)/(IF(MOD(BH8,4)=0,366,365)))</f>
        <v>91.100646516393425</v>
      </c>
      <c r="BI17" s="88">
        <f>BI12*Assumption!$C$17*(_xlfn.DAYS(BI6,BH6)/(IF(MOD(BI8,4)=0,366,365)))</f>
        <v>88.161915983606548</v>
      </c>
      <c r="BJ17" s="88">
        <f>BJ12*Assumption!$C$17*(_xlfn.DAYS(BJ6,BI6)/(IF(MOD(BJ8,4)=0,366,365)))</f>
        <v>91.100646516393425</v>
      </c>
      <c r="BK17" s="88">
        <f>BK12*Assumption!$C$17*(_xlfn.DAYS(BK6,BJ6)/(IF(MOD(BK8,4)=0,366,365)))</f>
        <v>86.062822745901627</v>
      </c>
      <c r="BL17" s="88">
        <f>BL12*Assumption!$C$17*(_xlfn.DAYS(BL6,BK6)/(IF(MOD(BL8,4)=0,366,365)))</f>
        <v>88.931583504098356</v>
      </c>
      <c r="BM17" s="88">
        <f>BM12*Assumption!$C$17*(_xlfn.DAYS(BM6,BL6)/(IF(MOD(BM8,4)=0,366,365)))</f>
        <v>88.931583504098356</v>
      </c>
      <c r="BN17" s="88">
        <f>BN12*Assumption!$C$17*(_xlfn.DAYS(BN6,BM6)/(IF(MOD(BN8,4)=0,366,365)))</f>
        <v>83.963729508196707</v>
      </c>
      <c r="BO17" s="88">
        <f>BO12*Assumption!$C$17*(_xlfn.DAYS(BO6,BN6)/(IF(MOD(BO8,4)=0,366,365)))</f>
        <v>86.762520491803258</v>
      </c>
      <c r="BP17" s="88">
        <f>BP12*Assumption!$C$17*(_xlfn.DAYS(BP6,BO6)/(IF(MOD(BP8,4)=0,366,365)))</f>
        <v>83.963729508196707</v>
      </c>
      <c r="BQ17" s="88">
        <f>BQ12*Assumption!$C$17*(_xlfn.DAYS(BQ6,BP6)/(IF(MOD(BQ8,4)=0,366,365)))</f>
        <v>84.825220376712323</v>
      </c>
      <c r="BR17" s="88">
        <f>BR12*Assumption!$C$17*(_xlfn.DAYS(BR6,BQ6)/(IF(MOD(BR8,4)=0,366,365)))</f>
        <v>84.825220376712323</v>
      </c>
      <c r="BS17" s="88">
        <f>BS12*Assumption!$C$17*(_xlfn.DAYS(BS6,BR6)/(IF(MOD(BS8,4)=0,366,365)))</f>
        <v>76.616328082191785</v>
      </c>
      <c r="BT17" s="88">
        <f>BT12*Assumption!$C$17*(_xlfn.DAYS(BT6,BS6)/(IF(MOD(BT8,4)=0,366,365)))</f>
        <v>82.650214726027386</v>
      </c>
      <c r="BU17" s="88">
        <f>BU12*Assumption!$C$17*(_xlfn.DAYS(BU6,BT6)/(IF(MOD(BU8,4)=0,366,365)))</f>
        <v>79.984078767123279</v>
      </c>
      <c r="BV17" s="88">
        <f>BV12*Assumption!$C$17*(_xlfn.DAYS(BV6,BU6)/(IF(MOD(BV8,4)=0,366,365)))</f>
        <v>82.650214726027386</v>
      </c>
      <c r="BW17" s="88">
        <f>BW12*Assumption!$C$17*(_xlfn.DAYS(BW6,BV6)/(IF(MOD(BW8,4)=0,366,365)))</f>
        <v>77.87923458904109</v>
      </c>
      <c r="BX17" s="88">
        <f>BX12*Assumption!$C$17*(_xlfn.DAYS(BX6,BW6)/(IF(MOD(BX8,4)=0,366,365)))</f>
        <v>80.475209075342462</v>
      </c>
      <c r="BY17" s="88">
        <f>BY12*Assumption!$C$17*(_xlfn.DAYS(BY6,BX6)/(IF(MOD(BY8,4)=0,366,365)))</f>
        <v>80.475209075342462</v>
      </c>
      <c r="BZ17" s="88">
        <f>BZ12*Assumption!$C$17*(_xlfn.DAYS(BZ6,BY6)/(IF(MOD(BZ8,4)=0,366,365)))</f>
        <v>75.774390410958901</v>
      </c>
      <c r="CA17" s="88">
        <f>CA12*Assumption!$C$17*(_xlfn.DAYS(CA6,BZ6)/(IF(MOD(CA8,4)=0,366,365)))</f>
        <v>78.300203424657525</v>
      </c>
      <c r="CB17" s="88">
        <f>CB12*Assumption!$C$17*(_xlfn.DAYS(CB6,CA6)/(IF(MOD(CB8,4)=0,366,365)))</f>
        <v>75.774390410958901</v>
      </c>
      <c r="CC17" s="88">
        <f>CC12*Assumption!$C$17*(_xlfn.DAYS(CC6,CB6)/(IF(MOD(CC8,4)=0,366,365)))</f>
        <v>76.125197773972602</v>
      </c>
      <c r="CD17" s="88">
        <f>CD12*Assumption!$C$17*(_xlfn.DAYS(CD6,CC6)/(IF(MOD(CD8,4)=0,366,365)))</f>
        <v>76.125197773972602</v>
      </c>
      <c r="CE17" s="88">
        <f>CE12*Assumption!$C$17*(_xlfn.DAYS(CE6,CD6)/(IF(MOD(CE8,4)=0,366,365)))</f>
        <v>68.758243150684933</v>
      </c>
      <c r="CF17" s="88">
        <f>CF12*Assumption!$C$17*(_xlfn.DAYS(CF6,CE6)/(IF(MOD(CF8,4)=0,366,365)))</f>
        <v>73.950192123287664</v>
      </c>
      <c r="CG17" s="88">
        <f>CG12*Assumption!$C$17*(_xlfn.DAYS(CG6,CF6)/(IF(MOD(CG8,4)=0,366,365)))</f>
        <v>71.564702054794509</v>
      </c>
      <c r="CH17" s="88">
        <f>CH12*Assumption!$C$17*(_xlfn.DAYS(CH6,CG6)/(IF(MOD(CH8,4)=0,366,365)))</f>
        <v>73.950192123287664</v>
      </c>
      <c r="CI17" s="88">
        <f>CI12*Assumption!$C$17*(_xlfn.DAYS(CI6,CH6)/(IF(MOD(CI8,4)=0,366,365)))</f>
        <v>69.45985787671232</v>
      </c>
      <c r="CJ17" s="88">
        <f>CJ12*Assumption!$C$17*(_xlfn.DAYS(CJ6,CI6)/(IF(MOD(CJ8,4)=0,366,365)))</f>
        <v>71.775186472602741</v>
      </c>
      <c r="CK17" s="88">
        <f>CK12*Assumption!$C$17*(_xlfn.DAYS(CK6,CJ6)/(IF(MOD(CK8,4)=0,366,365)))</f>
        <v>71.775186472602741</v>
      </c>
      <c r="CL17" s="88">
        <f>CL12*Assumption!$C$17*(_xlfn.DAYS(CL6,CK6)/(IF(MOD(CL8,4)=0,366,365)))</f>
        <v>67.355013698630131</v>
      </c>
      <c r="CM17" s="88">
        <f>CM12*Assumption!$C$17*(_xlfn.DAYS(CM6,CL6)/(IF(MOD(CM8,4)=0,366,365)))</f>
        <v>69.600180821917803</v>
      </c>
      <c r="CN17" s="88">
        <f>CN12*Assumption!$C$17*(_xlfn.DAYS(CN6,CM6)/(IF(MOD(CN8,4)=0,366,365)))</f>
        <v>67.355013698630131</v>
      </c>
      <c r="CO17" s="88">
        <f>CO12*Assumption!$C$17*(_xlfn.DAYS(CO6,CN6)/(IF(MOD(CO8,4)=0,366,365)))</f>
        <v>67.425175171232866</v>
      </c>
      <c r="CP17" s="88">
        <f>CP12*Assumption!$C$17*(_xlfn.DAYS(CP6,CO6)/(IF(MOD(CP8,4)=0,366,365)))</f>
        <v>67.425175171232866</v>
      </c>
      <c r="CQ17" s="88">
        <f>CQ12*Assumption!$C$17*(_xlfn.DAYS(CQ6,CP6)/(IF(MOD(CQ8,4)=0,366,365)))</f>
        <v>60.900158219178081</v>
      </c>
      <c r="CR17" s="88">
        <f>CR12*Assumption!$C$17*(_xlfn.DAYS(CR6,CQ6)/(IF(MOD(CR8,4)=0,366,365)))</f>
        <v>65.250169520547942</v>
      </c>
      <c r="CS17" s="88">
        <f>CS12*Assumption!$C$17*(_xlfn.DAYS(CS6,CR6)/(IF(MOD(CS8,4)=0,366,365)))</f>
        <v>63.145325342465746</v>
      </c>
      <c r="CT17" s="88">
        <f>CT12*Assumption!$C$17*(_xlfn.DAYS(CT6,CS6)/(IF(MOD(CT8,4)=0,366,365)))</f>
        <v>65.250169520547942</v>
      </c>
      <c r="CU17" s="88">
        <f>CU12*Assumption!$C$17*(_xlfn.DAYS(CU6,CT6)/(IF(MOD(CU8,4)=0,366,365)))</f>
        <v>61.04048116438355</v>
      </c>
      <c r="CV17" s="88">
        <f>CV12*Assumption!$C$17*(_xlfn.DAYS(CV6,CU6)/(IF(MOD(CV8,4)=0,366,365)))</f>
        <v>63.075163869863005</v>
      </c>
      <c r="CW17" s="88">
        <f>CW12*Assumption!$C$17*(_xlfn.DAYS(CW6,CV6)/(IF(MOD(CW8,4)=0,366,365)))</f>
        <v>63.075163869863005</v>
      </c>
      <c r="CX17" s="88">
        <f>CX12*Assumption!$C$17*(_xlfn.DAYS(CX6,CW6)/(IF(MOD(CX8,4)=0,366,365)))</f>
        <v>58.935636986301368</v>
      </c>
      <c r="CY17" s="88">
        <f>CY12*Assumption!$C$17*(_xlfn.DAYS(CY6,CX6)/(IF(MOD(CY8,4)=0,366,365)))</f>
        <v>60.900158219178081</v>
      </c>
      <c r="CZ17" s="88">
        <f>CZ12*Assumption!$C$17*(_xlfn.DAYS(CZ6,CY6)/(IF(MOD(CZ8,4)=0,366,365)))</f>
        <v>58.935636986301368</v>
      </c>
      <c r="DA17" s="88">
        <f>DA12*Assumption!$C$17*(_xlfn.DAYS(DA6,CZ6)/(IF(MOD(DA8,4)=0,366,365)))</f>
        <v>58.564701331967207</v>
      </c>
      <c r="DB17" s="88">
        <f>DB12*Assumption!$C$17*(_xlfn.DAYS(DB6,DA6)/(IF(MOD(DB8,4)=0,366,365)))</f>
        <v>58.564701331967207</v>
      </c>
      <c r="DC17" s="88">
        <f>DC12*Assumption!$C$17*(_xlfn.DAYS(DC6,DB6)/(IF(MOD(DC8,4)=0,366,365)))</f>
        <v>54.786333504098366</v>
      </c>
      <c r="DD17" s="88">
        <f>DD12*Assumption!$C$17*(_xlfn.DAYS(DD6,DC6)/(IF(MOD(DD8,4)=0,366,365)))</f>
        <v>56.395638319672123</v>
      </c>
      <c r="DE17" s="88">
        <f>DE12*Assumption!$C$17*(_xlfn.DAYS(DE6,DD6)/(IF(MOD(DE8,4)=0,366,365)))</f>
        <v>54.576424180327862</v>
      </c>
      <c r="DF17" s="88">
        <f>DF12*Assumption!$C$17*(_xlfn.DAYS(DF6,DE6)/(IF(MOD(DF8,4)=0,366,365)))</f>
        <v>56.395638319672123</v>
      </c>
      <c r="DG17" s="88">
        <f>DG12*Assumption!$C$17*(_xlfn.DAYS(DG6,DF6)/(IF(MOD(DG8,4)=0,366,365)))</f>
        <v>52.477330942622942</v>
      </c>
      <c r="DH17" s="88">
        <f>DH12*Assumption!$C$17*(_xlfn.DAYS(DH6,DG6)/(IF(MOD(DH8,4)=0,366,365)))</f>
        <v>54.22657530737704</v>
      </c>
      <c r="DI17" s="88">
        <f>DI12*Assumption!$C$17*(_xlfn.DAYS(DI6,DH6)/(IF(MOD(DI8,4)=0,366,365)))</f>
        <v>54.22657530737704</v>
      </c>
      <c r="DJ17" s="88">
        <f>DJ12*Assumption!$C$17*(_xlfn.DAYS(DJ6,DI6)/(IF(MOD(DJ8,4)=0,366,365)))</f>
        <v>50.378237704918028</v>
      </c>
      <c r="DK17" s="88">
        <f>DK12*Assumption!$C$17*(_xlfn.DAYS(DK6,DJ6)/(IF(MOD(DK8,4)=0,366,365)))</f>
        <v>52.05751229508197</v>
      </c>
      <c r="DL17" s="88">
        <f>DL12*Assumption!$C$17*(_xlfn.DAYS(DL6,DK6)/(IF(MOD(DL8,4)=0,366,365)))</f>
        <v>50.378237704918028</v>
      </c>
      <c r="DM17" s="88">
        <f>DM12*Assumption!$C$17*(_xlfn.DAYS(DM6,DL6)/(IF(MOD(DM8,4)=0,366,365)))</f>
        <v>50.025129965753422</v>
      </c>
      <c r="DN17" s="88">
        <f>DN12*Assumption!$C$17*(_xlfn.DAYS(DN6,DM6)/(IF(MOD(DN8,4)=0,366,365)))</f>
        <v>50.025129965753422</v>
      </c>
      <c r="DO17" s="88">
        <f>DO12*Assumption!$C$17*(_xlfn.DAYS(DO6,DN6)/(IF(MOD(DO8,4)=0,366,365)))</f>
        <v>45.183988356164384</v>
      </c>
      <c r="DP17" s="88">
        <f>DP12*Assumption!$C$17*(_xlfn.DAYS(DP6,DO6)/(IF(MOD(DP8,4)=0,366,365)))</f>
        <v>47.850124315068491</v>
      </c>
      <c r="DQ17" s="88">
        <f>DQ12*Assumption!$C$17*(_xlfn.DAYS(DQ6,DP6)/(IF(MOD(DQ8,4)=0,366,365)))</f>
        <v>46.306571917808213</v>
      </c>
      <c r="DR17" s="88">
        <f>DR12*Assumption!$C$17*(_xlfn.DAYS(DR6,DQ6)/(IF(MOD(DR8,4)=0,366,365)))</f>
        <v>47.850124315068491</v>
      </c>
      <c r="DS17" s="88">
        <f>DS12*Assumption!$C$17*(_xlfn.DAYS(DS6,DR6)/(IF(MOD(DS8,4)=0,366,365)))</f>
        <v>44.201727739726017</v>
      </c>
      <c r="DT17" s="88">
        <f>DT12*Assumption!$C$17*(_xlfn.DAYS(DT6,DS6)/(IF(MOD(DT8,4)=0,366,365)))</f>
        <v>45.675118664383554</v>
      </c>
      <c r="DU17" s="88">
        <f>DU12*Assumption!$C$17*(_xlfn.DAYS(DU6,DT6)/(IF(MOD(DU8,4)=0,366,365)))</f>
        <v>45.675118664383554</v>
      </c>
      <c r="DV17" s="88">
        <f>DV12*Assumption!$C$17*(_xlfn.DAYS(DV6,DU6)/(IF(MOD(DV8,4)=0,366,365)))</f>
        <v>42.096883561643828</v>
      </c>
      <c r="DW17" s="88">
        <f>DW12*Assumption!$C$17*(_xlfn.DAYS(DW6,DV6)/(IF(MOD(DW8,4)=0,366,365)))</f>
        <v>43.500113013698623</v>
      </c>
      <c r="DX17" s="88">
        <f>DX12*Assumption!$C$17*(_xlfn.DAYS(DX6,DW6)/(IF(MOD(DX8,4)=0,366,365)))</f>
        <v>42.096883561643828</v>
      </c>
      <c r="DY17" s="88">
        <f>DY12*Assumption!$C$17*(_xlfn.DAYS(DY6,DX6)/(IF(MOD(DY8,4)=0,366,365)))</f>
        <v>41.325107363013693</v>
      </c>
      <c r="DZ17" s="88">
        <f>DZ12*Assumption!$C$17*(_xlfn.DAYS(DZ6,DY6)/(IF(MOD(DZ8,4)=0,366,365)))</f>
        <v>41.325107363013693</v>
      </c>
      <c r="EA17" s="88">
        <f>EA12*Assumption!$C$17*(_xlfn.DAYS(EA6,DZ6)/(IF(MOD(EA8,4)=0,366,365)))</f>
        <v>37.325903424657533</v>
      </c>
      <c r="EB17" s="88">
        <f>EB12*Assumption!$C$17*(_xlfn.DAYS(EB6,EA6)/(IF(MOD(EB8,4)=0,366,365)))</f>
        <v>39.150101712328762</v>
      </c>
      <c r="EC17" s="88">
        <f>EC12*Assumption!$C$17*(_xlfn.DAYS(EC6,EB6)/(IF(MOD(EC8,4)=0,366,365)))</f>
        <v>37.887195205479451</v>
      </c>
      <c r="ED17" s="88">
        <f>ED12*Assumption!$C$17*(_xlfn.DAYS(ED6,EC6)/(IF(MOD(ED8,4)=0,366,365)))</f>
        <v>39.150101712328762</v>
      </c>
      <c r="EE17" s="88">
        <f>EE12*Assumption!$C$17*(_xlfn.DAYS(EE6,ED6)/(IF(MOD(EE8,4)=0,366,365)))</f>
        <v>35.782351027397254</v>
      </c>
      <c r="EF17" s="88">
        <f>EF12*Assumption!$C$17*(_xlfn.DAYS(EF6,EE6)/(IF(MOD(EF8,4)=0,366,365)))</f>
        <v>36.975096061643832</v>
      </c>
      <c r="EG17" s="88">
        <f>EG12*Assumption!$C$17*(_xlfn.DAYS(EG6,EF6)/(IF(MOD(EG8,4)=0,366,365)))</f>
        <v>36.975096061643832</v>
      </c>
      <c r="EH17" s="88">
        <f>EH12*Assumption!$C$17*(_xlfn.DAYS(EH6,EG6)/(IF(MOD(EH8,4)=0,366,365)))</f>
        <v>33.677506849315066</v>
      </c>
      <c r="EI17" s="88">
        <f>EI12*Assumption!$C$17*(_xlfn.DAYS(EI6,EH6)/(IF(MOD(EI8,4)=0,366,365)))</f>
        <v>34.800090410958902</v>
      </c>
      <c r="EJ17" s="88">
        <f>EJ12*Assumption!$C$17*(_xlfn.DAYS(EJ6,EI6)/(IF(MOD(EJ8,4)=0,366,365)))</f>
        <v>33.677506849315066</v>
      </c>
      <c r="EK17" s="88">
        <f>EK12*Assumption!$C$17*(_xlfn.DAYS(EK6,EJ6)/(IF(MOD(EK8,4)=0,366,365)))</f>
        <v>32.625084760273971</v>
      </c>
      <c r="EL17" s="88">
        <f>EL12*Assumption!$C$17*(_xlfn.DAYS(EL6,EK6)/(IF(MOD(EL8,4)=0,366,365)))</f>
        <v>32.625084760273971</v>
      </c>
      <c r="EM17" s="88">
        <f>EM12*Assumption!$C$17*(_xlfn.DAYS(EM6,EL6)/(IF(MOD(EM8,4)=0,366,365)))</f>
        <v>29.467818493150684</v>
      </c>
      <c r="EN17" s="88">
        <f>EN12*Assumption!$C$17*(_xlfn.DAYS(EN6,EM6)/(IF(MOD(EN8,4)=0,366,365)))</f>
        <v>30.450079109589041</v>
      </c>
      <c r="EO17" s="88">
        <f>EO12*Assumption!$C$17*(_xlfn.DAYS(EO6,EN6)/(IF(MOD(EO8,4)=0,366,365)))</f>
        <v>29.467818493150684</v>
      </c>
      <c r="EP17" s="88">
        <f>EP12*Assumption!$C$17*(_xlfn.DAYS(EP6,EO6)/(IF(MOD(EP8,4)=0,366,365)))</f>
        <v>30.450079109589041</v>
      </c>
      <c r="EQ17" s="88">
        <f>EQ12*Assumption!$C$17*(_xlfn.DAYS(EQ6,EP6)/(IF(MOD(EQ8,4)=0,366,365)))</f>
        <v>27.362974315068488</v>
      </c>
      <c r="ER17" s="88">
        <f>ER12*Assumption!$C$17*(_xlfn.DAYS(ER6,EQ6)/(IF(MOD(ER8,4)=0,366,365)))</f>
        <v>28.275073458904107</v>
      </c>
      <c r="ES17" s="88">
        <f>ES12*Assumption!$C$17*(_xlfn.DAYS(ES6,ER6)/(IF(MOD(ES8,4)=0,366,365)))</f>
        <v>28.275073458904107</v>
      </c>
      <c r="ET17" s="88">
        <f>ET12*Assumption!$C$17*(_xlfn.DAYS(ET6,ES6)/(IF(MOD(ET8,4)=0,366,365)))</f>
        <v>25.258130136986299</v>
      </c>
      <c r="EU17" s="88">
        <f>EU12*Assumption!$C$17*(_xlfn.DAYS(EU6,ET6)/(IF(MOD(EU8,4)=0,366,365)))</f>
        <v>26.10006780821918</v>
      </c>
      <c r="EV17" s="88">
        <f>EV12*Assumption!$C$17*(_xlfn.DAYS(EV6,EU6)/(IF(MOD(EV8,4)=0,366,365)))</f>
        <v>25.258130136986299</v>
      </c>
      <c r="EW17" s="88">
        <f>EW12*Assumption!$C$17*(_xlfn.DAYS(EW6,EV6)/(IF(MOD(EW8,4)=0,366,365)))</f>
        <v>23.859693135245898</v>
      </c>
      <c r="EX17" s="88">
        <f>EX12*Assumption!$C$17*(_xlfn.DAYS(EX6,EW6)/(IF(MOD(EX8,4)=0,366,365)))</f>
        <v>23.859693135245898</v>
      </c>
      <c r="EY17" s="88">
        <f>EY12*Assumption!$C$17*(_xlfn.DAYS(EY6,EX6)/(IF(MOD(EY8,4)=0,366,365)))</f>
        <v>22.320358094262296</v>
      </c>
      <c r="EZ17" s="88">
        <f>EZ12*Assumption!$C$17*(_xlfn.DAYS(EZ6,EY6)/(IF(MOD(EZ8,4)=0,366,365)))</f>
        <v>21.690630122950814</v>
      </c>
      <c r="FA17" s="88">
        <f>FA12*Assumption!$C$17*(_xlfn.DAYS(FA6,EZ6)/(IF(MOD(FA8,4)=0,366,365)))</f>
        <v>20.990932377049177</v>
      </c>
      <c r="FB17" s="88">
        <f>FB12*Assumption!$C$17*(_xlfn.DAYS(FB6,FA6)/(IF(MOD(FB8,4)=0,366,365)))</f>
        <v>21.690630122950814</v>
      </c>
      <c r="FC17" s="88">
        <f>FC12*Assumption!$C$17*(_xlfn.DAYS(FC6,FB6)/(IF(MOD(FC8,4)=0,366,365)))</f>
        <v>18.89183913934426</v>
      </c>
      <c r="FD17" s="88">
        <f>FD12*Assumption!$C$17*(_xlfn.DAYS(FD6,FC6)/(IF(MOD(FD8,4)=0,366,365)))</f>
        <v>19.521567110655738</v>
      </c>
      <c r="FE17" s="88">
        <f>FE12*Assumption!$C$17*(_xlfn.DAYS(FE6,FD6)/(IF(MOD(FE8,4)=0,366,365)))</f>
        <v>19.521567110655738</v>
      </c>
      <c r="FF17" s="88">
        <f>FF12*Assumption!$C$17*(_xlfn.DAYS(FF6,FE6)/(IF(MOD(FF8,4)=0,366,365)))</f>
        <v>16.792745901639343</v>
      </c>
      <c r="FG17" s="88">
        <f>FG12*Assumption!$C$17*(_xlfn.DAYS(FG6,FF6)/(IF(MOD(FG8,4)=0,366,365)))</f>
        <v>17.352504098360654</v>
      </c>
      <c r="FH17" s="88">
        <f>FH12*Assumption!$C$17*(_xlfn.DAYS(FH6,FG6)/(IF(MOD(FH8,4)=0,366,365)))</f>
        <v>16.792745901639343</v>
      </c>
      <c r="FI17" s="88">
        <f>FI12*Assumption!$C$17*(_xlfn.DAYS(FI6,FH6)/(IF(MOD(FI8,4)=0,366,365)))</f>
        <v>15.22503955479452</v>
      </c>
      <c r="FJ17" s="88">
        <f>FJ12*Assumption!$C$17*(_xlfn.DAYS(FJ6,FI6)/(IF(MOD(FJ8,4)=0,366,365)))</f>
        <v>15.22503955479452</v>
      </c>
      <c r="FK17" s="88">
        <f>FK12*Assumption!$C$17*(_xlfn.DAYS(FK6,FJ6)/(IF(MOD(FK8,4)=0,366,365)))</f>
        <v>13.751648630136987</v>
      </c>
      <c r="FL17" s="88">
        <f>FL12*Assumption!$C$17*(_xlfn.DAYS(FL6,FK6)/(IF(MOD(FL8,4)=0,366,365)))</f>
        <v>13.05003390410959</v>
      </c>
      <c r="FM17" s="88">
        <f>FM12*Assumption!$C$17*(_xlfn.DAYS(FM6,FL6)/(IF(MOD(FM8,4)=0,366,365)))</f>
        <v>12.62906506849315</v>
      </c>
      <c r="FN17" s="88">
        <f>FN12*Assumption!$C$17*(_xlfn.DAYS(FN6,FM6)/(IF(MOD(FN8,4)=0,366,365)))</f>
        <v>13.05003390410959</v>
      </c>
      <c r="FO17" s="88">
        <f>FO12*Assumption!$C$17*(_xlfn.DAYS(FO6,FN6)/(IF(MOD(FO8,4)=0,366,365)))</f>
        <v>10.524220890410957</v>
      </c>
      <c r="FP17" s="88">
        <f>FP12*Assumption!$C$17*(_xlfn.DAYS(FP6,FO6)/(IF(MOD(FP8,4)=0,366,365)))</f>
        <v>10.875028253424656</v>
      </c>
      <c r="FQ17" s="88">
        <f>FQ12*Assumption!$C$17*(_xlfn.DAYS(FQ6,FP6)/(IF(MOD(FQ8,4)=0,366,365)))</f>
        <v>10.875028253424656</v>
      </c>
      <c r="FR17" s="88">
        <f>FR12*Assumption!$C$17*(_xlfn.DAYS(FR6,FQ6)/(IF(MOD(FR8,4)=0,366,365)))</f>
        <v>8.4193767123287664</v>
      </c>
      <c r="FS17" s="88">
        <f>FS12*Assumption!$C$17*(_xlfn.DAYS(FS6,FR6)/(IF(MOD(FS8,4)=0,366,365)))</f>
        <v>8.7000226027397254</v>
      </c>
      <c r="FT17" s="88">
        <f>FT12*Assumption!$C$17*(_xlfn.DAYS(FT6,FS6)/(IF(MOD(FT8,4)=0,366,365)))</f>
        <v>8.4193767123287664</v>
      </c>
      <c r="FU17" s="88">
        <f>FU12*Assumption!$C$17*(_xlfn.DAYS(FU6,FT6)/(IF(MOD(FU8,4)=0,366,365)))</f>
        <v>6.5250169520547949</v>
      </c>
      <c r="FV17" s="88">
        <f>FV12*Assumption!$C$17*(_xlfn.DAYS(FV6,FU6)/(IF(MOD(FV8,4)=0,366,365)))</f>
        <v>6.5250169520547949</v>
      </c>
      <c r="FW17" s="88">
        <f>FW12*Assumption!$C$17*(_xlfn.DAYS(FW6,FV6)/(IF(MOD(FW8,4)=0,366,365)))</f>
        <v>5.8935636986301372</v>
      </c>
      <c r="FX17" s="88">
        <f>FX12*Assumption!$C$17*(_xlfn.DAYS(FX6,FW6)/(IF(MOD(FX8,4)=0,366,365)))</f>
        <v>4.3500113013698627</v>
      </c>
      <c r="FY17" s="88">
        <f>FY12*Assumption!$C$17*(_xlfn.DAYS(FY6,FX6)/(IF(MOD(FY8,4)=0,366,365)))</f>
        <v>4.2096883561643832</v>
      </c>
      <c r="FZ17" s="88">
        <f>FZ12*Assumption!$C$17*(_xlfn.DAYS(FZ6,FY6)/(IF(MOD(FZ8,4)=0,366,365)))</f>
        <v>4.3500113013698627</v>
      </c>
      <c r="GA17" s="88">
        <f>GA12*Assumption!$C$17*(_xlfn.DAYS(GA6,FZ6)/(IF(MOD(GA8,4)=0,366,365)))</f>
        <v>2.1048441780821916</v>
      </c>
      <c r="GB17" s="88">
        <f>GB12*Assumption!$C$17*(_xlfn.DAYS(GB6,GA6)/(IF(MOD(GB8,4)=0,366,365)))</f>
        <v>2.1750056506849313</v>
      </c>
      <c r="GC17" s="88">
        <f>GC12*Assumption!$C$17*(_xlfn.DAYS(GC6,GB6)/(IF(MOD(GC8,4)=0,366,365)))</f>
        <v>2.1750056506849313</v>
      </c>
      <c r="GD17" s="88">
        <f>GD12*Assumption!$C$17*(_xlfn.DAYS(GD6,GC6)/(IF(MOD(GD8,4)=0,366,365)))</f>
        <v>0</v>
      </c>
      <c r="GE17" s="88">
        <f>GE12*Assumption!$C$17*(_xlfn.DAYS(GE6,GD6)/(IF(MOD(GE8,4)=0,366,365)))</f>
        <v>0</v>
      </c>
      <c r="GF17" s="100">
        <f>GF12*Assumption!$C$17*(_xlfn.DAYS(GF6,GE6)/(IF(MOD(GF8,4)=0,366,365)))</f>
        <v>0</v>
      </c>
    </row>
    <row r="18" spans="3:188" x14ac:dyDescent="0.3">
      <c r="C18" s="105" t="s">
        <v>119</v>
      </c>
      <c r="D18" s="80">
        <f>SUM(E18:GF18)</f>
        <v>10960.734283569598</v>
      </c>
      <c r="E18" s="80"/>
      <c r="F18" s="80">
        <f t="shared" ref="F18:AK18" si="191">IF(MOD(F9,3)=1,SUM(D17:F17),0)</f>
        <v>0</v>
      </c>
      <c r="G18" s="80">
        <f t="shared" si="191"/>
        <v>0</v>
      </c>
      <c r="H18" s="80">
        <f t="shared" si="191"/>
        <v>147.55737260273972</v>
      </c>
      <c r="I18" s="80">
        <f t="shared" si="191"/>
        <v>0</v>
      </c>
      <c r="J18" s="80">
        <f t="shared" si="191"/>
        <v>0</v>
      </c>
      <c r="K18" s="80">
        <f t="shared" si="191"/>
        <v>233.73014480874315</v>
      </c>
      <c r="L18" s="80">
        <f t="shared" si="191"/>
        <v>0</v>
      </c>
      <c r="M18" s="80">
        <f t="shared" si="191"/>
        <v>0</v>
      </c>
      <c r="N18" s="80">
        <f t="shared" si="191"/>
        <v>286.0986338797814</v>
      </c>
      <c r="O18" s="80">
        <f t="shared" si="191"/>
        <v>0</v>
      </c>
      <c r="P18" s="80">
        <f t="shared" si="191"/>
        <v>0</v>
      </c>
      <c r="Q18" s="80">
        <f t="shared" si="191"/>
        <v>308.48896174863387</v>
      </c>
      <c r="R18" s="80">
        <f t="shared" si="191"/>
        <v>0</v>
      </c>
      <c r="S18" s="80">
        <f t="shared" si="191"/>
        <v>0</v>
      </c>
      <c r="T18" s="80">
        <f t="shared" si="191"/>
        <v>305.62797540983604</v>
      </c>
      <c r="U18" s="80">
        <f t="shared" si="191"/>
        <v>0</v>
      </c>
      <c r="V18" s="80">
        <f t="shared" si="191"/>
        <v>0</v>
      </c>
      <c r="W18" s="80">
        <f t="shared" si="191"/>
        <v>303.09756164383566</v>
      </c>
      <c r="X18" s="80">
        <f t="shared" si="191"/>
        <v>0</v>
      </c>
      <c r="Y18" s="80">
        <f t="shared" si="191"/>
        <v>0</v>
      </c>
      <c r="Z18" s="80">
        <f t="shared" si="191"/>
        <v>309.83306301369862</v>
      </c>
      <c r="AA18" s="80">
        <f t="shared" si="191"/>
        <v>0</v>
      </c>
      <c r="AB18" s="80">
        <f t="shared" si="191"/>
        <v>0</v>
      </c>
      <c r="AC18" s="80">
        <f t="shared" si="191"/>
        <v>309.83306301369862</v>
      </c>
      <c r="AD18" s="80">
        <f t="shared" si="191"/>
        <v>0</v>
      </c>
      <c r="AE18" s="80">
        <f t="shared" si="191"/>
        <v>0</v>
      </c>
      <c r="AF18" s="80">
        <f t="shared" si="191"/>
        <v>306.46531232876708</v>
      </c>
      <c r="AG18" s="80">
        <f t="shared" si="191"/>
        <v>0</v>
      </c>
      <c r="AH18" s="80">
        <f t="shared" si="191"/>
        <v>0</v>
      </c>
      <c r="AI18" s="80">
        <f t="shared" si="191"/>
        <v>303.09756164383566</v>
      </c>
      <c r="AJ18" s="80">
        <f t="shared" si="191"/>
        <v>0</v>
      </c>
      <c r="AK18" s="80">
        <f t="shared" si="191"/>
        <v>0</v>
      </c>
      <c r="AL18" s="80">
        <f t="shared" ref="AL18:BQ18" si="192">IF(MOD(AL9,3)=1,SUM(AJ17:AL17),0)</f>
        <v>309.83306301369862</v>
      </c>
      <c r="AM18" s="80">
        <f t="shared" si="192"/>
        <v>0</v>
      </c>
      <c r="AN18" s="80">
        <f t="shared" si="192"/>
        <v>0</v>
      </c>
      <c r="AO18" s="80">
        <f t="shared" si="192"/>
        <v>309.83306301369862</v>
      </c>
      <c r="AP18" s="80">
        <f t="shared" si="192"/>
        <v>0</v>
      </c>
      <c r="AQ18" s="80">
        <f t="shared" si="192"/>
        <v>0</v>
      </c>
      <c r="AR18" s="80">
        <f t="shared" si="192"/>
        <v>306.46531232876708</v>
      </c>
      <c r="AS18" s="80">
        <f t="shared" si="192"/>
        <v>0</v>
      </c>
      <c r="AT18" s="80">
        <f t="shared" si="192"/>
        <v>0</v>
      </c>
      <c r="AU18" s="80">
        <f t="shared" si="192"/>
        <v>296.78302910958899</v>
      </c>
      <c r="AV18" s="80">
        <f t="shared" si="192"/>
        <v>0</v>
      </c>
      <c r="AW18" s="80">
        <f t="shared" si="192"/>
        <v>0</v>
      </c>
      <c r="AX18" s="80">
        <f t="shared" si="192"/>
        <v>296.92335205479452</v>
      </c>
      <c r="AY18" s="80">
        <f t="shared" si="192"/>
        <v>0</v>
      </c>
      <c r="AZ18" s="80">
        <f t="shared" si="192"/>
        <v>0</v>
      </c>
      <c r="BA18" s="80">
        <f t="shared" si="192"/>
        <v>290.46849657534244</v>
      </c>
      <c r="BB18" s="80">
        <f t="shared" si="192"/>
        <v>0</v>
      </c>
      <c r="BC18" s="80">
        <f t="shared" si="192"/>
        <v>0</v>
      </c>
      <c r="BD18" s="80">
        <f t="shared" si="192"/>
        <v>280.92653630136982</v>
      </c>
      <c r="BE18" s="80">
        <f t="shared" si="192"/>
        <v>0</v>
      </c>
      <c r="BF18" s="80">
        <f t="shared" si="192"/>
        <v>0</v>
      </c>
      <c r="BG18" s="80">
        <f t="shared" si="192"/>
        <v>273.7917279713115</v>
      </c>
      <c r="BH18" s="80">
        <f t="shared" si="192"/>
        <v>0</v>
      </c>
      <c r="BI18" s="80">
        <f t="shared" si="192"/>
        <v>0</v>
      </c>
      <c r="BJ18" s="80">
        <f t="shared" si="192"/>
        <v>270.3632090163934</v>
      </c>
      <c r="BK18" s="80">
        <f t="shared" si="192"/>
        <v>0</v>
      </c>
      <c r="BL18" s="80">
        <f t="shared" si="192"/>
        <v>0</v>
      </c>
      <c r="BM18" s="80">
        <f t="shared" si="192"/>
        <v>263.92598975409834</v>
      </c>
      <c r="BN18" s="80">
        <f t="shared" si="192"/>
        <v>0</v>
      </c>
      <c r="BO18" s="80">
        <f t="shared" si="192"/>
        <v>0</v>
      </c>
      <c r="BP18" s="80">
        <f t="shared" si="192"/>
        <v>254.68997950819667</v>
      </c>
      <c r="BQ18" s="80">
        <f t="shared" si="192"/>
        <v>0</v>
      </c>
      <c r="BR18" s="80">
        <f t="shared" ref="BR18:CW18" si="193">IF(MOD(BR9,3)=1,SUM(BP17:BR17),0)</f>
        <v>0</v>
      </c>
      <c r="BS18" s="80">
        <f t="shared" si="193"/>
        <v>246.26676883561643</v>
      </c>
      <c r="BT18" s="80">
        <f t="shared" si="193"/>
        <v>0</v>
      </c>
      <c r="BU18" s="80">
        <f t="shared" si="193"/>
        <v>0</v>
      </c>
      <c r="BV18" s="80">
        <f t="shared" si="193"/>
        <v>245.28450821917806</v>
      </c>
      <c r="BW18" s="80">
        <f t="shared" si="193"/>
        <v>0</v>
      </c>
      <c r="BX18" s="80">
        <f t="shared" si="193"/>
        <v>0</v>
      </c>
      <c r="BY18" s="80">
        <f t="shared" si="193"/>
        <v>238.82965273972601</v>
      </c>
      <c r="BZ18" s="80">
        <f t="shared" si="193"/>
        <v>0</v>
      </c>
      <c r="CA18" s="80">
        <f t="shared" si="193"/>
        <v>0</v>
      </c>
      <c r="CB18" s="80">
        <f t="shared" si="193"/>
        <v>229.84898424657536</v>
      </c>
      <c r="CC18" s="80">
        <f t="shared" si="193"/>
        <v>0</v>
      </c>
      <c r="CD18" s="80">
        <f t="shared" si="193"/>
        <v>0</v>
      </c>
      <c r="CE18" s="80">
        <f t="shared" si="193"/>
        <v>221.00863869863014</v>
      </c>
      <c r="CF18" s="80">
        <f t="shared" si="193"/>
        <v>0</v>
      </c>
      <c r="CG18" s="80">
        <f t="shared" si="193"/>
        <v>0</v>
      </c>
      <c r="CH18" s="80">
        <f t="shared" si="193"/>
        <v>219.46508630136981</v>
      </c>
      <c r="CI18" s="80">
        <f t="shared" si="193"/>
        <v>0</v>
      </c>
      <c r="CJ18" s="80">
        <f t="shared" si="193"/>
        <v>0</v>
      </c>
      <c r="CK18" s="80">
        <f t="shared" si="193"/>
        <v>213.01023082191779</v>
      </c>
      <c r="CL18" s="80">
        <f t="shared" si="193"/>
        <v>0</v>
      </c>
      <c r="CM18" s="80">
        <f t="shared" si="193"/>
        <v>0</v>
      </c>
      <c r="CN18" s="80">
        <f t="shared" si="193"/>
        <v>204.31020821917807</v>
      </c>
      <c r="CO18" s="80">
        <f t="shared" si="193"/>
        <v>0</v>
      </c>
      <c r="CP18" s="80">
        <f t="shared" si="193"/>
        <v>0</v>
      </c>
      <c r="CQ18" s="80">
        <f t="shared" si="193"/>
        <v>195.75050856164381</v>
      </c>
      <c r="CR18" s="80">
        <f t="shared" si="193"/>
        <v>0</v>
      </c>
      <c r="CS18" s="80">
        <f t="shared" si="193"/>
        <v>0</v>
      </c>
      <c r="CT18" s="80">
        <f t="shared" si="193"/>
        <v>193.64566438356161</v>
      </c>
      <c r="CU18" s="80">
        <f t="shared" si="193"/>
        <v>0</v>
      </c>
      <c r="CV18" s="80">
        <f t="shared" si="193"/>
        <v>0</v>
      </c>
      <c r="CW18" s="80">
        <f t="shared" si="193"/>
        <v>187.19080890410956</v>
      </c>
      <c r="CX18" s="80">
        <f t="shared" ref="CX18:EC18" si="194">IF(MOD(CX9,3)=1,SUM(CV17:CX17),0)</f>
        <v>0</v>
      </c>
      <c r="CY18" s="80">
        <f t="shared" si="194"/>
        <v>0</v>
      </c>
      <c r="CZ18" s="80">
        <f t="shared" si="194"/>
        <v>178.77143219178083</v>
      </c>
      <c r="DA18" s="80">
        <f t="shared" si="194"/>
        <v>0</v>
      </c>
      <c r="DB18" s="80">
        <f t="shared" si="194"/>
        <v>0</v>
      </c>
      <c r="DC18" s="80">
        <f t="shared" si="194"/>
        <v>171.91573616803277</v>
      </c>
      <c r="DD18" s="80">
        <f t="shared" si="194"/>
        <v>0</v>
      </c>
      <c r="DE18" s="80">
        <f t="shared" si="194"/>
        <v>0</v>
      </c>
      <c r="DF18" s="80">
        <f t="shared" si="194"/>
        <v>167.36770081967211</v>
      </c>
      <c r="DG18" s="80">
        <f t="shared" si="194"/>
        <v>0</v>
      </c>
      <c r="DH18" s="80">
        <f t="shared" si="194"/>
        <v>0</v>
      </c>
      <c r="DI18" s="80">
        <f t="shared" si="194"/>
        <v>160.93048155737702</v>
      </c>
      <c r="DJ18" s="80">
        <f t="shared" si="194"/>
        <v>0</v>
      </c>
      <c r="DK18" s="80">
        <f t="shared" si="194"/>
        <v>0</v>
      </c>
      <c r="DL18" s="80">
        <f t="shared" si="194"/>
        <v>152.81398770491802</v>
      </c>
      <c r="DM18" s="80">
        <f t="shared" si="194"/>
        <v>0</v>
      </c>
      <c r="DN18" s="80">
        <f t="shared" si="194"/>
        <v>0</v>
      </c>
      <c r="DO18" s="80">
        <f t="shared" si="194"/>
        <v>145.23424828767122</v>
      </c>
      <c r="DP18" s="80">
        <f t="shared" si="194"/>
        <v>0</v>
      </c>
      <c r="DQ18" s="80">
        <f t="shared" si="194"/>
        <v>0</v>
      </c>
      <c r="DR18" s="80">
        <f t="shared" si="194"/>
        <v>142.00682054794518</v>
      </c>
      <c r="DS18" s="80">
        <f t="shared" si="194"/>
        <v>0</v>
      </c>
      <c r="DT18" s="80">
        <f t="shared" si="194"/>
        <v>0</v>
      </c>
      <c r="DU18" s="80">
        <f t="shared" si="194"/>
        <v>135.55196506849313</v>
      </c>
      <c r="DV18" s="80">
        <f t="shared" si="194"/>
        <v>0</v>
      </c>
      <c r="DW18" s="80">
        <f t="shared" si="194"/>
        <v>0</v>
      </c>
      <c r="DX18" s="80">
        <f t="shared" si="194"/>
        <v>127.69388013698628</v>
      </c>
      <c r="DY18" s="80">
        <f t="shared" si="194"/>
        <v>0</v>
      </c>
      <c r="DZ18" s="80">
        <f t="shared" si="194"/>
        <v>0</v>
      </c>
      <c r="EA18" s="80">
        <f t="shared" si="194"/>
        <v>119.97611815068493</v>
      </c>
      <c r="EB18" s="80">
        <f t="shared" si="194"/>
        <v>0</v>
      </c>
      <c r="EC18" s="80">
        <f t="shared" si="194"/>
        <v>0</v>
      </c>
      <c r="ED18" s="80">
        <f t="shared" ref="ED18:FI18" si="195">IF(MOD(ED9,3)=1,SUM(EB17:ED17),0)</f>
        <v>116.18739863013698</v>
      </c>
      <c r="EE18" s="80">
        <f t="shared" si="195"/>
        <v>0</v>
      </c>
      <c r="EF18" s="80">
        <f t="shared" si="195"/>
        <v>0</v>
      </c>
      <c r="EG18" s="80">
        <f t="shared" si="195"/>
        <v>109.7325431506849</v>
      </c>
      <c r="EH18" s="80">
        <f t="shared" si="195"/>
        <v>0</v>
      </c>
      <c r="EI18" s="80">
        <f t="shared" si="195"/>
        <v>0</v>
      </c>
      <c r="EJ18" s="80">
        <f t="shared" si="195"/>
        <v>102.15510410958903</v>
      </c>
      <c r="EK18" s="80">
        <f t="shared" si="195"/>
        <v>0</v>
      </c>
      <c r="EL18" s="80">
        <f t="shared" si="195"/>
        <v>0</v>
      </c>
      <c r="EM18" s="80">
        <f t="shared" si="195"/>
        <v>94.71798801369863</v>
      </c>
      <c r="EN18" s="80">
        <f t="shared" si="195"/>
        <v>0</v>
      </c>
      <c r="EO18" s="80">
        <f t="shared" si="195"/>
        <v>0</v>
      </c>
      <c r="EP18" s="80">
        <f t="shared" si="195"/>
        <v>90.367976712328769</v>
      </c>
      <c r="EQ18" s="80">
        <f t="shared" si="195"/>
        <v>0</v>
      </c>
      <c r="ER18" s="80">
        <f t="shared" si="195"/>
        <v>0</v>
      </c>
      <c r="ES18" s="80">
        <f t="shared" si="195"/>
        <v>83.913121232876705</v>
      </c>
      <c r="ET18" s="80">
        <f t="shared" si="195"/>
        <v>0</v>
      </c>
      <c r="EU18" s="80">
        <f t="shared" si="195"/>
        <v>0</v>
      </c>
      <c r="EV18" s="80">
        <f t="shared" si="195"/>
        <v>76.616328082191771</v>
      </c>
      <c r="EW18" s="80">
        <f t="shared" si="195"/>
        <v>0</v>
      </c>
      <c r="EX18" s="80">
        <f t="shared" si="195"/>
        <v>0</v>
      </c>
      <c r="EY18" s="80">
        <f t="shared" si="195"/>
        <v>70.039744364754085</v>
      </c>
      <c r="EZ18" s="80">
        <f t="shared" si="195"/>
        <v>0</v>
      </c>
      <c r="FA18" s="80">
        <f t="shared" si="195"/>
        <v>0</v>
      </c>
      <c r="FB18" s="80">
        <f t="shared" si="195"/>
        <v>64.372192622950806</v>
      </c>
      <c r="FC18" s="80">
        <f t="shared" si="195"/>
        <v>0</v>
      </c>
      <c r="FD18" s="80">
        <f t="shared" si="195"/>
        <v>0</v>
      </c>
      <c r="FE18" s="80">
        <f t="shared" si="195"/>
        <v>57.934973360655732</v>
      </c>
      <c r="FF18" s="80">
        <f t="shared" si="195"/>
        <v>0</v>
      </c>
      <c r="FG18" s="80">
        <f t="shared" si="195"/>
        <v>0</v>
      </c>
      <c r="FH18" s="80">
        <f t="shared" si="195"/>
        <v>50.93799590163934</v>
      </c>
      <c r="FI18" s="80">
        <f t="shared" si="195"/>
        <v>0</v>
      </c>
      <c r="FJ18" s="80">
        <f t="shared" ref="FJ18:FT18" si="196">IF(MOD(FJ9,3)=1,SUM(FH17:FJ17),0)</f>
        <v>0</v>
      </c>
      <c r="FK18" s="80">
        <f t="shared" si="196"/>
        <v>44.201727739726024</v>
      </c>
      <c r="FL18" s="80">
        <f t="shared" si="196"/>
        <v>0</v>
      </c>
      <c r="FM18" s="80">
        <f t="shared" si="196"/>
        <v>0</v>
      </c>
      <c r="FN18" s="80">
        <f t="shared" si="196"/>
        <v>38.729132876712328</v>
      </c>
      <c r="FO18" s="80">
        <f t="shared" si="196"/>
        <v>0</v>
      </c>
      <c r="FP18" s="80">
        <f t="shared" si="196"/>
        <v>0</v>
      </c>
      <c r="FQ18" s="80">
        <f t="shared" si="196"/>
        <v>32.274277397260263</v>
      </c>
      <c r="FR18" s="80">
        <f t="shared" si="196"/>
        <v>0</v>
      </c>
      <c r="FS18" s="80">
        <f t="shared" si="196"/>
        <v>0</v>
      </c>
      <c r="FT18" s="80">
        <f t="shared" si="196"/>
        <v>25.538776027397258</v>
      </c>
      <c r="FU18" s="80">
        <f t="shared" ref="FU18" si="197">IF(MOD(FU9,3)=1,SUM(FS17:FU17),0)</f>
        <v>0</v>
      </c>
      <c r="FV18" s="80">
        <f t="shared" ref="FV18" si="198">IF(MOD(FV9,3)=1,SUM(FT17:FV17),0)</f>
        <v>0</v>
      </c>
      <c r="FW18" s="80">
        <f t="shared" ref="FW18" si="199">IF(MOD(FW9,3)=1,SUM(FU17:FW17),0)</f>
        <v>18.943597602739729</v>
      </c>
      <c r="FX18" s="80">
        <f t="shared" ref="FX18" si="200">IF(MOD(FX9,3)=1,SUM(FV17:FX17),0)</f>
        <v>0</v>
      </c>
      <c r="FY18" s="80">
        <f t="shared" ref="FY18" si="201">IF(MOD(FY9,3)=1,SUM(FW17:FY17),0)</f>
        <v>0</v>
      </c>
      <c r="FZ18" s="80">
        <f t="shared" ref="FZ18" si="202">IF(MOD(FZ9,3)=1,SUM(FX17:FZ17),0)</f>
        <v>12.909710958904109</v>
      </c>
      <c r="GA18" s="80">
        <f t="shared" ref="GA18" si="203">IF(MOD(GA9,3)=1,SUM(FY17:GA17),0)</f>
        <v>0</v>
      </c>
      <c r="GB18" s="80">
        <f t="shared" ref="GB18" si="204">IF(MOD(GB9,3)=1,SUM(FZ17:GB17),0)</f>
        <v>0</v>
      </c>
      <c r="GC18" s="80">
        <f t="shared" ref="GC18" si="205">IF(MOD(GC9,3)=1,SUM(GA17:GC17),0)</f>
        <v>6.4548554794520543</v>
      </c>
      <c r="GD18" s="80">
        <f t="shared" ref="GD18" si="206">IF(MOD(GD9,3)=1,SUM(GB17:GD17),0)</f>
        <v>0</v>
      </c>
      <c r="GE18" s="80">
        <f t="shared" ref="GE18" si="207">IF(MOD(GE9,3)=1,SUM(GC17:GE17),0)</f>
        <v>0</v>
      </c>
      <c r="GF18" s="98">
        <f t="shared" ref="GF18" si="208">IF(MOD(GF9,3)=1,SUM(GD17:GF17),0)</f>
        <v>0</v>
      </c>
    </row>
    <row r="19" spans="3:188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3" spans="3:188" s="542" customFormat="1" x14ac:dyDescent="0.3">
      <c r="C23" s="543" t="s">
        <v>723</v>
      </c>
    </row>
    <row r="25" spans="3:188" x14ac:dyDescent="0.3">
      <c r="C25" s="56" t="s">
        <v>709</v>
      </c>
      <c r="D25" s="513"/>
      <c r="E25" s="514">
        <v>45199</v>
      </c>
      <c r="F25" s="514">
        <v>45230</v>
      </c>
      <c r="G25" s="514">
        <v>45260</v>
      </c>
      <c r="H25" s="514">
        <v>45291</v>
      </c>
      <c r="I25" s="514">
        <v>45322</v>
      </c>
      <c r="J25" s="514">
        <v>45351</v>
      </c>
      <c r="K25" s="514">
        <v>45382</v>
      </c>
      <c r="L25" s="514">
        <v>45412</v>
      </c>
      <c r="M25" s="514">
        <v>45443</v>
      </c>
      <c r="N25" s="514">
        <v>45473</v>
      </c>
      <c r="O25" s="514">
        <v>45504</v>
      </c>
      <c r="P25" s="514">
        <v>45535</v>
      </c>
      <c r="Q25" s="514">
        <v>45565</v>
      </c>
      <c r="R25" s="514">
        <v>45596</v>
      </c>
      <c r="S25" s="514">
        <v>45626</v>
      </c>
      <c r="T25" s="514">
        <v>45657</v>
      </c>
      <c r="U25" s="514">
        <v>45688</v>
      </c>
      <c r="V25" s="514">
        <v>45716</v>
      </c>
      <c r="W25" s="514">
        <v>45747</v>
      </c>
      <c r="X25" s="514">
        <v>45777</v>
      </c>
      <c r="Y25" s="514">
        <v>45808</v>
      </c>
      <c r="Z25" s="514">
        <v>45838</v>
      </c>
      <c r="AA25" s="514">
        <v>45869</v>
      </c>
      <c r="AB25" s="514">
        <v>45900</v>
      </c>
      <c r="AC25" s="514">
        <v>45930</v>
      </c>
      <c r="AD25" s="514">
        <v>45961</v>
      </c>
      <c r="AE25" s="514">
        <v>45991</v>
      </c>
      <c r="AF25" s="514">
        <v>46022</v>
      </c>
      <c r="AG25" s="514">
        <v>46053</v>
      </c>
      <c r="AH25" s="514">
        <v>46081</v>
      </c>
      <c r="AI25" s="514">
        <v>46112</v>
      </c>
      <c r="AJ25" s="514">
        <v>46142</v>
      </c>
      <c r="AK25" s="514">
        <v>46173</v>
      </c>
      <c r="AL25" s="514">
        <v>46203</v>
      </c>
      <c r="AM25" s="514">
        <v>46234</v>
      </c>
      <c r="AN25" s="514">
        <v>46265</v>
      </c>
      <c r="AO25" s="514">
        <v>46295</v>
      </c>
      <c r="AP25" s="514">
        <v>46326</v>
      </c>
      <c r="AQ25" s="514">
        <v>46356</v>
      </c>
      <c r="AR25" s="514">
        <v>46387</v>
      </c>
      <c r="AS25" s="514">
        <v>46418</v>
      </c>
      <c r="AT25" s="514">
        <v>46446</v>
      </c>
      <c r="AU25" s="514">
        <v>46477</v>
      </c>
      <c r="AV25" s="514">
        <v>46507</v>
      </c>
      <c r="AW25" s="514">
        <v>46538</v>
      </c>
      <c r="AX25" s="514">
        <v>46568</v>
      </c>
      <c r="AY25" s="514">
        <v>46599</v>
      </c>
      <c r="AZ25" s="514">
        <v>46630</v>
      </c>
      <c r="BA25" s="514">
        <v>46660</v>
      </c>
      <c r="BB25" s="514">
        <v>46691</v>
      </c>
      <c r="BC25" s="514">
        <v>46721</v>
      </c>
      <c r="BD25" s="514">
        <v>46752</v>
      </c>
      <c r="BE25" s="514">
        <v>46783</v>
      </c>
      <c r="BF25" s="514">
        <v>46812</v>
      </c>
      <c r="BG25" s="514">
        <v>46843</v>
      </c>
      <c r="BH25" s="514">
        <v>46873</v>
      </c>
      <c r="BI25" s="514">
        <v>46904</v>
      </c>
      <c r="BJ25" s="514">
        <v>46934</v>
      </c>
      <c r="BK25" s="514">
        <v>46965</v>
      </c>
      <c r="BL25" s="514">
        <v>46996</v>
      </c>
      <c r="BM25" s="514">
        <v>47026</v>
      </c>
      <c r="BN25" s="514">
        <v>47057</v>
      </c>
      <c r="BO25" s="514">
        <v>47087</v>
      </c>
      <c r="BP25" s="514">
        <v>47118</v>
      </c>
      <c r="BQ25" s="514">
        <v>47149</v>
      </c>
      <c r="BR25" s="514">
        <v>47177</v>
      </c>
      <c r="BS25" s="514">
        <v>47208</v>
      </c>
      <c r="BT25" s="514">
        <v>47238</v>
      </c>
      <c r="BU25" s="514">
        <v>47269</v>
      </c>
      <c r="BV25" s="514">
        <v>47299</v>
      </c>
      <c r="BW25" s="514">
        <v>47330</v>
      </c>
      <c r="BX25" s="514">
        <v>47361</v>
      </c>
      <c r="BY25" s="514">
        <v>47391</v>
      </c>
      <c r="BZ25" s="514">
        <v>47422</v>
      </c>
      <c r="CA25" s="514">
        <v>47452</v>
      </c>
      <c r="CB25" s="514">
        <v>47483</v>
      </c>
      <c r="CC25" s="514">
        <v>47514</v>
      </c>
      <c r="CD25" s="514">
        <v>47542</v>
      </c>
      <c r="CE25" s="514">
        <v>47573</v>
      </c>
      <c r="CF25" s="514">
        <v>47603</v>
      </c>
      <c r="CG25" s="514">
        <v>47634</v>
      </c>
      <c r="CH25" s="514">
        <v>47664</v>
      </c>
      <c r="CI25" s="514">
        <v>47695</v>
      </c>
      <c r="CJ25" s="514">
        <v>47726</v>
      </c>
      <c r="CK25" s="514">
        <v>47756</v>
      </c>
      <c r="CL25" s="514">
        <v>47787</v>
      </c>
      <c r="CM25" s="514">
        <v>47817</v>
      </c>
      <c r="CN25" s="514">
        <v>47848</v>
      </c>
      <c r="CO25" s="514">
        <v>47879</v>
      </c>
      <c r="CP25" s="514">
        <v>47907</v>
      </c>
      <c r="CQ25" s="514">
        <v>47938</v>
      </c>
      <c r="CR25" s="514">
        <v>47968</v>
      </c>
      <c r="CS25" s="514">
        <v>47999</v>
      </c>
      <c r="CT25" s="514">
        <v>48029</v>
      </c>
      <c r="CU25" s="514">
        <v>48060</v>
      </c>
      <c r="CV25" s="514">
        <v>48091</v>
      </c>
      <c r="CW25" s="514">
        <v>48121</v>
      </c>
      <c r="CX25" s="514">
        <v>48152</v>
      </c>
      <c r="CY25" s="514">
        <v>48182</v>
      </c>
      <c r="CZ25" s="514">
        <v>48213</v>
      </c>
      <c r="DA25" s="514">
        <v>48244</v>
      </c>
      <c r="DB25" s="514">
        <v>48273</v>
      </c>
      <c r="DC25" s="514">
        <v>48304</v>
      </c>
      <c r="DD25" s="514">
        <v>48334</v>
      </c>
      <c r="DE25" s="514">
        <v>48365</v>
      </c>
      <c r="DF25" s="514">
        <v>48395</v>
      </c>
      <c r="DG25" s="514">
        <v>48426</v>
      </c>
      <c r="DH25" s="514">
        <v>48457</v>
      </c>
      <c r="DI25" s="514">
        <v>48487</v>
      </c>
      <c r="DJ25" s="514">
        <v>48518</v>
      </c>
      <c r="DK25" s="514">
        <v>48548</v>
      </c>
      <c r="DL25" s="514">
        <v>48579</v>
      </c>
      <c r="DM25" s="514">
        <v>48610</v>
      </c>
      <c r="DN25" s="514">
        <v>48638</v>
      </c>
      <c r="DO25" s="514">
        <v>48669</v>
      </c>
      <c r="DP25" s="514">
        <v>48699</v>
      </c>
      <c r="DQ25" s="514">
        <v>48730</v>
      </c>
      <c r="DR25" s="514">
        <v>48760</v>
      </c>
      <c r="DS25" s="514">
        <v>48791</v>
      </c>
      <c r="DT25" s="514">
        <v>48822</v>
      </c>
      <c r="DU25" s="514">
        <v>48852</v>
      </c>
      <c r="DV25" s="514">
        <v>48883</v>
      </c>
      <c r="DW25" s="514">
        <v>48913</v>
      </c>
      <c r="DX25" s="514">
        <v>48944</v>
      </c>
      <c r="DY25" s="514">
        <v>48975</v>
      </c>
      <c r="DZ25" s="514">
        <v>49003</v>
      </c>
      <c r="EA25" s="514">
        <v>49034</v>
      </c>
      <c r="EB25" s="514">
        <v>49064</v>
      </c>
      <c r="EC25" s="514">
        <v>49095</v>
      </c>
      <c r="ED25" s="514">
        <v>49125</v>
      </c>
      <c r="EE25" s="514">
        <v>49156</v>
      </c>
      <c r="EF25" s="514">
        <v>49187</v>
      </c>
      <c r="EG25" s="514">
        <v>49217</v>
      </c>
      <c r="EH25" s="514">
        <v>49248</v>
      </c>
      <c r="EI25" s="514">
        <v>49278</v>
      </c>
      <c r="EJ25" s="514">
        <v>49309</v>
      </c>
      <c r="EK25" s="514">
        <v>49340</v>
      </c>
      <c r="EL25" s="514">
        <v>49368</v>
      </c>
      <c r="EM25" s="514">
        <v>49399</v>
      </c>
      <c r="EN25" s="514">
        <v>49429</v>
      </c>
      <c r="EO25" s="514">
        <v>49460</v>
      </c>
      <c r="EP25" s="514">
        <v>49490</v>
      </c>
      <c r="EQ25" s="514">
        <v>49521</v>
      </c>
      <c r="ER25" s="514">
        <v>49552</v>
      </c>
      <c r="ES25" s="514">
        <v>49582</v>
      </c>
      <c r="ET25" s="514">
        <v>49613</v>
      </c>
      <c r="EU25" s="514">
        <v>49643</v>
      </c>
      <c r="EV25" s="514">
        <v>49674</v>
      </c>
      <c r="EW25" s="514">
        <v>49705</v>
      </c>
      <c r="EX25" s="514">
        <v>49734</v>
      </c>
      <c r="EY25" s="514">
        <v>49765</v>
      </c>
      <c r="EZ25" s="514">
        <v>49795</v>
      </c>
      <c r="FA25" s="514">
        <v>49826</v>
      </c>
      <c r="FB25" s="514">
        <v>49856</v>
      </c>
      <c r="FC25" s="514">
        <v>49887</v>
      </c>
      <c r="FD25" s="514">
        <v>49918</v>
      </c>
      <c r="FE25" s="514">
        <v>49948</v>
      </c>
      <c r="FF25" s="514">
        <v>49979</v>
      </c>
      <c r="FG25" s="514">
        <v>50009</v>
      </c>
      <c r="FH25" s="514">
        <v>50040</v>
      </c>
      <c r="FI25" s="514">
        <v>50071</v>
      </c>
      <c r="FJ25" s="514">
        <v>50099</v>
      </c>
      <c r="FK25" s="514">
        <v>50130</v>
      </c>
      <c r="FL25" s="514">
        <v>50160</v>
      </c>
      <c r="FM25" s="514">
        <v>50191</v>
      </c>
      <c r="FN25" s="514">
        <v>50221</v>
      </c>
      <c r="FO25" s="514">
        <v>50252</v>
      </c>
      <c r="FP25" s="514">
        <v>50283</v>
      </c>
      <c r="FQ25" s="514">
        <v>50313</v>
      </c>
      <c r="FR25" s="514">
        <v>50344</v>
      </c>
      <c r="FS25" s="514">
        <v>50374</v>
      </c>
      <c r="FT25" s="514">
        <v>50405</v>
      </c>
      <c r="FU25" s="514">
        <v>50436</v>
      </c>
      <c r="FV25" s="514">
        <v>50464</v>
      </c>
      <c r="FW25" s="514">
        <v>50495</v>
      </c>
      <c r="FX25" s="514">
        <v>50525</v>
      </c>
      <c r="FY25" s="514">
        <v>50556</v>
      </c>
      <c r="FZ25" s="514">
        <v>50586</v>
      </c>
      <c r="GA25" s="514">
        <v>50617</v>
      </c>
      <c r="GB25" s="514">
        <v>50648</v>
      </c>
      <c r="GC25" s="514">
        <v>50678</v>
      </c>
      <c r="GD25" s="514">
        <v>50709</v>
      </c>
      <c r="GE25" s="514">
        <v>50739</v>
      </c>
      <c r="GF25" s="515">
        <v>50770</v>
      </c>
    </row>
    <row r="26" spans="3:188" x14ac:dyDescent="0.3">
      <c r="C26" s="68" t="s">
        <v>716</v>
      </c>
      <c r="D26" s="274"/>
      <c r="E26" s="236">
        <f>E31+E30</f>
        <v>13000</v>
      </c>
      <c r="F26" s="236">
        <f>E26+F31+F30</f>
        <v>13000</v>
      </c>
      <c r="G26" s="236">
        <f t="shared" ref="G26:BR26" si="209">F26+G31+G30</f>
        <v>13000</v>
      </c>
      <c r="H26" s="236">
        <f t="shared" si="209"/>
        <v>13000</v>
      </c>
      <c r="I26" s="236">
        <f t="shared" si="209"/>
        <v>25000</v>
      </c>
      <c r="J26" s="236">
        <f t="shared" si="209"/>
        <v>25000</v>
      </c>
      <c r="K26" s="236">
        <f t="shared" si="209"/>
        <v>25000</v>
      </c>
      <c r="L26" s="236">
        <f t="shared" si="209"/>
        <v>25000</v>
      </c>
      <c r="M26" s="236">
        <f t="shared" si="209"/>
        <v>25000</v>
      </c>
      <c r="N26" s="236">
        <f t="shared" si="209"/>
        <v>27000</v>
      </c>
      <c r="O26" s="236">
        <f t="shared" si="209"/>
        <v>27000</v>
      </c>
      <c r="P26" s="236">
        <f t="shared" si="209"/>
        <v>27000</v>
      </c>
      <c r="Q26" s="236">
        <f t="shared" si="209"/>
        <v>27000</v>
      </c>
      <c r="R26" s="236">
        <f t="shared" si="209"/>
        <v>27000</v>
      </c>
      <c r="S26" s="236">
        <f t="shared" si="209"/>
        <v>27000</v>
      </c>
      <c r="T26" s="236">
        <f t="shared" si="209"/>
        <v>27000</v>
      </c>
      <c r="U26" s="236">
        <f t="shared" si="209"/>
        <v>27000</v>
      </c>
      <c r="V26" s="236">
        <f t="shared" si="209"/>
        <v>27000</v>
      </c>
      <c r="W26" s="236">
        <f t="shared" si="209"/>
        <v>27000</v>
      </c>
      <c r="X26" s="236">
        <f t="shared" si="209"/>
        <v>27000</v>
      </c>
      <c r="Y26" s="236">
        <f t="shared" si="209"/>
        <v>27000</v>
      </c>
      <c r="Z26" s="236">
        <f t="shared" si="209"/>
        <v>27000</v>
      </c>
      <c r="AA26" s="236">
        <f t="shared" si="209"/>
        <v>27000</v>
      </c>
      <c r="AB26" s="236">
        <f t="shared" si="209"/>
        <v>27000</v>
      </c>
      <c r="AC26" s="236">
        <f t="shared" si="209"/>
        <v>27000</v>
      </c>
      <c r="AD26" s="236">
        <f t="shared" si="209"/>
        <v>27000</v>
      </c>
      <c r="AE26" s="236">
        <f t="shared" si="209"/>
        <v>27000</v>
      </c>
      <c r="AF26" s="236">
        <f t="shared" si="209"/>
        <v>27000</v>
      </c>
      <c r="AG26" s="236">
        <f t="shared" si="209"/>
        <v>27000</v>
      </c>
      <c r="AH26" s="236">
        <f t="shared" si="209"/>
        <v>27000</v>
      </c>
      <c r="AI26" s="236">
        <f t="shared" si="209"/>
        <v>27000</v>
      </c>
      <c r="AJ26" s="236">
        <f t="shared" si="209"/>
        <v>27000</v>
      </c>
      <c r="AK26" s="236">
        <f t="shared" si="209"/>
        <v>27000</v>
      </c>
      <c r="AL26" s="236">
        <f t="shared" si="209"/>
        <v>27000</v>
      </c>
      <c r="AM26" s="236">
        <f t="shared" si="209"/>
        <v>27000</v>
      </c>
      <c r="AN26" s="236">
        <f t="shared" si="209"/>
        <v>27000</v>
      </c>
      <c r="AO26" s="236">
        <f t="shared" si="209"/>
        <v>27000</v>
      </c>
      <c r="AP26" s="236">
        <f t="shared" si="209"/>
        <v>27000</v>
      </c>
      <c r="AQ26" s="236">
        <f t="shared" si="209"/>
        <v>27000</v>
      </c>
      <c r="AR26" s="236">
        <f t="shared" si="209"/>
        <v>26437.5</v>
      </c>
      <c r="AS26" s="236">
        <f t="shared" si="209"/>
        <v>26437.5</v>
      </c>
      <c r="AT26" s="236">
        <f t="shared" si="209"/>
        <v>26437.5</v>
      </c>
      <c r="AU26" s="236">
        <f t="shared" si="209"/>
        <v>25875</v>
      </c>
      <c r="AV26" s="236">
        <f t="shared" si="209"/>
        <v>25875</v>
      </c>
      <c r="AW26" s="236">
        <f t="shared" si="209"/>
        <v>25875</v>
      </c>
      <c r="AX26" s="236">
        <f t="shared" si="209"/>
        <v>25312.5</v>
      </c>
      <c r="AY26" s="236">
        <f t="shared" si="209"/>
        <v>25312.5</v>
      </c>
      <c r="AZ26" s="236">
        <f t="shared" si="209"/>
        <v>25312.5</v>
      </c>
      <c r="BA26" s="236">
        <f t="shared" si="209"/>
        <v>24750</v>
      </c>
      <c r="BB26" s="236">
        <f t="shared" si="209"/>
        <v>24750</v>
      </c>
      <c r="BC26" s="236">
        <f t="shared" si="209"/>
        <v>24750</v>
      </c>
      <c r="BD26" s="236">
        <f t="shared" si="209"/>
        <v>24187.5</v>
      </c>
      <c r="BE26" s="236">
        <f t="shared" si="209"/>
        <v>24187.5</v>
      </c>
      <c r="BF26" s="236">
        <f t="shared" si="209"/>
        <v>24187.5</v>
      </c>
      <c r="BG26" s="236">
        <f t="shared" si="209"/>
        <v>23625</v>
      </c>
      <c r="BH26" s="236">
        <f t="shared" si="209"/>
        <v>23625</v>
      </c>
      <c r="BI26" s="236">
        <f t="shared" si="209"/>
        <v>23625</v>
      </c>
      <c r="BJ26" s="236">
        <f t="shared" si="209"/>
        <v>23062.5</v>
      </c>
      <c r="BK26" s="236">
        <f t="shared" si="209"/>
        <v>23062.5</v>
      </c>
      <c r="BL26" s="236">
        <f t="shared" si="209"/>
        <v>23062.5</v>
      </c>
      <c r="BM26" s="236">
        <f t="shared" si="209"/>
        <v>22500</v>
      </c>
      <c r="BN26" s="236">
        <f t="shared" si="209"/>
        <v>22500</v>
      </c>
      <c r="BO26" s="236">
        <f t="shared" si="209"/>
        <v>22500</v>
      </c>
      <c r="BP26" s="236">
        <f t="shared" si="209"/>
        <v>21937.5</v>
      </c>
      <c r="BQ26" s="236">
        <f t="shared" si="209"/>
        <v>21937.5</v>
      </c>
      <c r="BR26" s="236">
        <f t="shared" si="209"/>
        <v>21937.5</v>
      </c>
      <c r="BS26" s="236">
        <f t="shared" ref="BS26:ED26" si="210">BR26+BS31+BS30</f>
        <v>21375</v>
      </c>
      <c r="BT26" s="236">
        <f t="shared" si="210"/>
        <v>21375</v>
      </c>
      <c r="BU26" s="236">
        <f t="shared" si="210"/>
        <v>21375</v>
      </c>
      <c r="BV26" s="236">
        <f t="shared" si="210"/>
        <v>20812.5</v>
      </c>
      <c r="BW26" s="236">
        <f t="shared" si="210"/>
        <v>20812.5</v>
      </c>
      <c r="BX26" s="236">
        <f t="shared" si="210"/>
        <v>20812.5</v>
      </c>
      <c r="BY26" s="236">
        <f t="shared" si="210"/>
        <v>20250</v>
      </c>
      <c r="BZ26" s="236">
        <f t="shared" si="210"/>
        <v>20250</v>
      </c>
      <c r="CA26" s="236">
        <f t="shared" si="210"/>
        <v>20250</v>
      </c>
      <c r="CB26" s="236">
        <f t="shared" si="210"/>
        <v>19687.5</v>
      </c>
      <c r="CC26" s="236">
        <f t="shared" si="210"/>
        <v>19687.5</v>
      </c>
      <c r="CD26" s="236">
        <f t="shared" si="210"/>
        <v>19687.5</v>
      </c>
      <c r="CE26" s="236">
        <f t="shared" si="210"/>
        <v>19125</v>
      </c>
      <c r="CF26" s="236">
        <f t="shared" si="210"/>
        <v>19125</v>
      </c>
      <c r="CG26" s="236">
        <f t="shared" si="210"/>
        <v>19125</v>
      </c>
      <c r="CH26" s="236">
        <f t="shared" si="210"/>
        <v>18562.5</v>
      </c>
      <c r="CI26" s="236">
        <f t="shared" si="210"/>
        <v>18562.5</v>
      </c>
      <c r="CJ26" s="236">
        <f t="shared" si="210"/>
        <v>18562.5</v>
      </c>
      <c r="CK26" s="236">
        <f t="shared" si="210"/>
        <v>18000</v>
      </c>
      <c r="CL26" s="236">
        <f t="shared" si="210"/>
        <v>18000</v>
      </c>
      <c r="CM26" s="236">
        <f t="shared" si="210"/>
        <v>18000</v>
      </c>
      <c r="CN26" s="236">
        <f t="shared" si="210"/>
        <v>17437.5</v>
      </c>
      <c r="CO26" s="236">
        <f t="shared" si="210"/>
        <v>17437.5</v>
      </c>
      <c r="CP26" s="236">
        <f t="shared" si="210"/>
        <v>17437.5</v>
      </c>
      <c r="CQ26" s="236">
        <f t="shared" si="210"/>
        <v>16875</v>
      </c>
      <c r="CR26" s="236">
        <f t="shared" si="210"/>
        <v>16875</v>
      </c>
      <c r="CS26" s="236">
        <f t="shared" si="210"/>
        <v>16875</v>
      </c>
      <c r="CT26" s="236">
        <f t="shared" si="210"/>
        <v>16312.5</v>
      </c>
      <c r="CU26" s="236">
        <f t="shared" si="210"/>
        <v>16312.5</v>
      </c>
      <c r="CV26" s="236">
        <f t="shared" si="210"/>
        <v>16312.5</v>
      </c>
      <c r="CW26" s="236">
        <f t="shared" si="210"/>
        <v>15750</v>
      </c>
      <c r="CX26" s="236">
        <f t="shared" si="210"/>
        <v>15750</v>
      </c>
      <c r="CY26" s="236">
        <f t="shared" si="210"/>
        <v>15750</v>
      </c>
      <c r="CZ26" s="236">
        <f t="shared" si="210"/>
        <v>15187.5</v>
      </c>
      <c r="DA26" s="236">
        <f t="shared" si="210"/>
        <v>15187.5</v>
      </c>
      <c r="DB26" s="236">
        <f t="shared" si="210"/>
        <v>15187.5</v>
      </c>
      <c r="DC26" s="236">
        <f t="shared" si="210"/>
        <v>14625</v>
      </c>
      <c r="DD26" s="236">
        <f t="shared" si="210"/>
        <v>14625</v>
      </c>
      <c r="DE26" s="236">
        <f t="shared" si="210"/>
        <v>14625</v>
      </c>
      <c r="DF26" s="236">
        <f t="shared" si="210"/>
        <v>14062.5</v>
      </c>
      <c r="DG26" s="236">
        <f t="shared" si="210"/>
        <v>14062.5</v>
      </c>
      <c r="DH26" s="236">
        <f t="shared" si="210"/>
        <v>14062.5</v>
      </c>
      <c r="DI26" s="236">
        <f t="shared" si="210"/>
        <v>13500</v>
      </c>
      <c r="DJ26" s="236">
        <f t="shared" si="210"/>
        <v>13500</v>
      </c>
      <c r="DK26" s="236">
        <f t="shared" si="210"/>
        <v>13500</v>
      </c>
      <c r="DL26" s="236">
        <f t="shared" si="210"/>
        <v>12937.5</v>
      </c>
      <c r="DM26" s="236">
        <f t="shared" si="210"/>
        <v>12937.5</v>
      </c>
      <c r="DN26" s="236">
        <f t="shared" si="210"/>
        <v>12937.5</v>
      </c>
      <c r="DO26" s="236">
        <f t="shared" si="210"/>
        <v>12375</v>
      </c>
      <c r="DP26" s="236">
        <f t="shared" si="210"/>
        <v>12375</v>
      </c>
      <c r="DQ26" s="236">
        <f t="shared" si="210"/>
        <v>12375</v>
      </c>
      <c r="DR26" s="236">
        <f t="shared" si="210"/>
        <v>11812.5</v>
      </c>
      <c r="DS26" s="236">
        <f t="shared" si="210"/>
        <v>11812.5</v>
      </c>
      <c r="DT26" s="236">
        <f t="shared" si="210"/>
        <v>11812.5</v>
      </c>
      <c r="DU26" s="236">
        <f t="shared" si="210"/>
        <v>11250</v>
      </c>
      <c r="DV26" s="236">
        <f t="shared" si="210"/>
        <v>11250</v>
      </c>
      <c r="DW26" s="236">
        <f t="shared" si="210"/>
        <v>11250</v>
      </c>
      <c r="DX26" s="236">
        <f t="shared" si="210"/>
        <v>10687.5</v>
      </c>
      <c r="DY26" s="236">
        <f t="shared" si="210"/>
        <v>10687.5</v>
      </c>
      <c r="DZ26" s="236">
        <f t="shared" si="210"/>
        <v>10687.5</v>
      </c>
      <c r="EA26" s="236">
        <f t="shared" si="210"/>
        <v>10125</v>
      </c>
      <c r="EB26" s="236">
        <f t="shared" si="210"/>
        <v>10125</v>
      </c>
      <c r="EC26" s="236">
        <f t="shared" si="210"/>
        <v>10125</v>
      </c>
      <c r="ED26" s="236">
        <f t="shared" si="210"/>
        <v>9562.5</v>
      </c>
      <c r="EE26" s="236">
        <f t="shared" ref="EE26:GF26" si="211">ED26+EE31+EE30</f>
        <v>9562.5</v>
      </c>
      <c r="EF26" s="236">
        <f t="shared" si="211"/>
        <v>9562.5</v>
      </c>
      <c r="EG26" s="236">
        <f t="shared" si="211"/>
        <v>9000</v>
      </c>
      <c r="EH26" s="236">
        <f t="shared" si="211"/>
        <v>9000</v>
      </c>
      <c r="EI26" s="236">
        <f t="shared" si="211"/>
        <v>9000</v>
      </c>
      <c r="EJ26" s="236">
        <f t="shared" si="211"/>
        <v>8437.5</v>
      </c>
      <c r="EK26" s="236">
        <f t="shared" si="211"/>
        <v>8437.5</v>
      </c>
      <c r="EL26" s="236">
        <f t="shared" si="211"/>
        <v>8437.5</v>
      </c>
      <c r="EM26" s="236">
        <f t="shared" si="211"/>
        <v>7875</v>
      </c>
      <c r="EN26" s="236">
        <f t="shared" si="211"/>
        <v>7875</v>
      </c>
      <c r="EO26" s="236">
        <f t="shared" si="211"/>
        <v>7875</v>
      </c>
      <c r="EP26" s="236">
        <f t="shared" si="211"/>
        <v>7312.5</v>
      </c>
      <c r="EQ26" s="236">
        <f t="shared" si="211"/>
        <v>7312.5</v>
      </c>
      <c r="ER26" s="236">
        <f t="shared" si="211"/>
        <v>7312.5</v>
      </c>
      <c r="ES26" s="236">
        <f t="shared" si="211"/>
        <v>6750</v>
      </c>
      <c r="ET26" s="236">
        <f t="shared" si="211"/>
        <v>6750</v>
      </c>
      <c r="EU26" s="236">
        <f t="shared" si="211"/>
        <v>6750</v>
      </c>
      <c r="EV26" s="236">
        <f t="shared" si="211"/>
        <v>6187.5</v>
      </c>
      <c r="EW26" s="236">
        <f t="shared" si="211"/>
        <v>6187.5</v>
      </c>
      <c r="EX26" s="236">
        <f t="shared" si="211"/>
        <v>6187.5</v>
      </c>
      <c r="EY26" s="236">
        <f t="shared" si="211"/>
        <v>5625</v>
      </c>
      <c r="EZ26" s="236">
        <f t="shared" si="211"/>
        <v>5625</v>
      </c>
      <c r="FA26" s="236">
        <f t="shared" si="211"/>
        <v>5625</v>
      </c>
      <c r="FB26" s="236">
        <f t="shared" si="211"/>
        <v>5062.5</v>
      </c>
      <c r="FC26" s="236">
        <f t="shared" si="211"/>
        <v>5062.5</v>
      </c>
      <c r="FD26" s="236">
        <f t="shared" si="211"/>
        <v>5062.5</v>
      </c>
      <c r="FE26" s="236">
        <f t="shared" si="211"/>
        <v>4500</v>
      </c>
      <c r="FF26" s="236">
        <f t="shared" si="211"/>
        <v>4500</v>
      </c>
      <c r="FG26" s="236">
        <f t="shared" si="211"/>
        <v>4500</v>
      </c>
      <c r="FH26" s="236">
        <f t="shared" si="211"/>
        <v>3937.5</v>
      </c>
      <c r="FI26" s="236">
        <f t="shared" si="211"/>
        <v>3937.5</v>
      </c>
      <c r="FJ26" s="236">
        <f t="shared" si="211"/>
        <v>3937.5</v>
      </c>
      <c r="FK26" s="236">
        <f t="shared" si="211"/>
        <v>3375</v>
      </c>
      <c r="FL26" s="236">
        <f t="shared" si="211"/>
        <v>3375</v>
      </c>
      <c r="FM26" s="236">
        <f t="shared" si="211"/>
        <v>3375</v>
      </c>
      <c r="FN26" s="236">
        <f t="shared" si="211"/>
        <v>2812.5</v>
      </c>
      <c r="FO26" s="236">
        <f t="shared" si="211"/>
        <v>2812.5</v>
      </c>
      <c r="FP26" s="236">
        <f t="shared" si="211"/>
        <v>2812.5</v>
      </c>
      <c r="FQ26" s="236">
        <f t="shared" si="211"/>
        <v>2250</v>
      </c>
      <c r="FR26" s="236">
        <f t="shared" si="211"/>
        <v>2250</v>
      </c>
      <c r="FS26" s="236">
        <f t="shared" si="211"/>
        <v>2250</v>
      </c>
      <c r="FT26" s="236">
        <f t="shared" si="211"/>
        <v>1687.5</v>
      </c>
      <c r="FU26" s="236">
        <f t="shared" si="211"/>
        <v>1687.5</v>
      </c>
      <c r="FV26" s="236">
        <f t="shared" si="211"/>
        <v>1687.5</v>
      </c>
      <c r="FW26" s="236">
        <f t="shared" si="211"/>
        <v>1125</v>
      </c>
      <c r="FX26" s="236">
        <f t="shared" si="211"/>
        <v>1125</v>
      </c>
      <c r="FY26" s="236">
        <f t="shared" si="211"/>
        <v>1125</v>
      </c>
      <c r="FZ26" s="236">
        <f t="shared" si="211"/>
        <v>562.5</v>
      </c>
      <c r="GA26" s="236">
        <f t="shared" si="211"/>
        <v>562.5</v>
      </c>
      <c r="GB26" s="236">
        <f t="shared" si="211"/>
        <v>562.5</v>
      </c>
      <c r="GC26" s="236">
        <f t="shared" si="211"/>
        <v>0</v>
      </c>
      <c r="GD26" s="236">
        <f t="shared" si="211"/>
        <v>0</v>
      </c>
      <c r="GE26" s="236">
        <f t="shared" si="211"/>
        <v>0</v>
      </c>
      <c r="GF26" s="238">
        <f t="shared" si="211"/>
        <v>0</v>
      </c>
    </row>
    <row r="27" spans="3:188" x14ac:dyDescent="0.3">
      <c r="C27" s="522" t="s">
        <v>715</v>
      </c>
      <c r="D27" s="523">
        <f>SUM(E27:GF27)</f>
        <v>600.34495822104907</v>
      </c>
      <c r="E27" s="523"/>
      <c r="F27" s="523">
        <f t="shared" ref="F27:BQ27" si="212">F28+F29</f>
        <v>2.7602739726027399</v>
      </c>
      <c r="G27" s="523">
        <f t="shared" si="212"/>
        <v>2.6712328767123288</v>
      </c>
      <c r="H27" s="523">
        <f t="shared" si="212"/>
        <v>2.7602739726027399</v>
      </c>
      <c r="I27" s="523">
        <f t="shared" si="212"/>
        <v>2.7527322404371586</v>
      </c>
      <c r="J27" s="523">
        <f t="shared" si="212"/>
        <v>4.9521857923497263</v>
      </c>
      <c r="K27" s="523">
        <f t="shared" si="212"/>
        <v>5.2937158469945356</v>
      </c>
      <c r="L27" s="523">
        <f t="shared" si="212"/>
        <v>5.1229508196721314</v>
      </c>
      <c r="M27" s="523">
        <f t="shared" si="212"/>
        <v>5.2937158469945356</v>
      </c>
      <c r="N27" s="523">
        <f t="shared" si="212"/>
        <v>5.1229508196721314</v>
      </c>
      <c r="O27" s="523">
        <f t="shared" si="212"/>
        <v>5.7172131147540988</v>
      </c>
      <c r="P27" s="523">
        <f t="shared" si="212"/>
        <v>5.7172131147540988</v>
      </c>
      <c r="Q27" s="523">
        <f t="shared" si="212"/>
        <v>5.5327868852459012</v>
      </c>
      <c r="R27" s="523">
        <f t="shared" si="212"/>
        <v>5.7172131147540988</v>
      </c>
      <c r="S27" s="523">
        <f t="shared" si="212"/>
        <v>5.5327868852459012</v>
      </c>
      <c r="T27" s="523">
        <f t="shared" si="212"/>
        <v>5.7172131147540988</v>
      </c>
      <c r="U27" s="523">
        <f t="shared" si="212"/>
        <v>5.7328767123287667</v>
      </c>
      <c r="V27" s="523">
        <f t="shared" si="212"/>
        <v>5.1780821917808222</v>
      </c>
      <c r="W27" s="523">
        <f t="shared" si="212"/>
        <v>5.7328767123287667</v>
      </c>
      <c r="X27" s="523">
        <f t="shared" si="212"/>
        <v>5.5479452054794525</v>
      </c>
      <c r="Y27" s="523">
        <f t="shared" si="212"/>
        <v>5.7328767123287667</v>
      </c>
      <c r="Z27" s="523">
        <f t="shared" si="212"/>
        <v>5.5479452054794525</v>
      </c>
      <c r="AA27" s="523">
        <f t="shared" si="212"/>
        <v>5.7328767123287667</v>
      </c>
      <c r="AB27" s="523">
        <f t="shared" si="212"/>
        <v>5.7328767123287667</v>
      </c>
      <c r="AC27" s="523">
        <f t="shared" si="212"/>
        <v>5.5479452054794525</v>
      </c>
      <c r="AD27" s="523">
        <f t="shared" si="212"/>
        <v>5.7328767123287667</v>
      </c>
      <c r="AE27" s="523">
        <f t="shared" si="212"/>
        <v>5.5479452054794525</v>
      </c>
      <c r="AF27" s="523">
        <f t="shared" si="212"/>
        <v>5.7328767123287667</v>
      </c>
      <c r="AG27" s="523">
        <f t="shared" si="212"/>
        <v>5.7328767123287667</v>
      </c>
      <c r="AH27" s="523">
        <f t="shared" si="212"/>
        <v>5.1780821917808222</v>
      </c>
      <c r="AI27" s="523">
        <f t="shared" si="212"/>
        <v>5.7328767123287667</v>
      </c>
      <c r="AJ27" s="523">
        <f t="shared" si="212"/>
        <v>5.5479452054794525</v>
      </c>
      <c r="AK27" s="523">
        <f t="shared" si="212"/>
        <v>5.7328767123287667</v>
      </c>
      <c r="AL27" s="523">
        <f t="shared" si="212"/>
        <v>5.5479452054794525</v>
      </c>
      <c r="AM27" s="523">
        <f t="shared" si="212"/>
        <v>5.7328767123287667</v>
      </c>
      <c r="AN27" s="523">
        <f t="shared" si="212"/>
        <v>5.7328767123287667</v>
      </c>
      <c r="AO27" s="523">
        <f t="shared" si="212"/>
        <v>5.5479452054794525</v>
      </c>
      <c r="AP27" s="523">
        <f t="shared" si="212"/>
        <v>5.7328767123287667</v>
      </c>
      <c r="AQ27" s="523">
        <f t="shared" si="212"/>
        <v>5.5479452054794525</v>
      </c>
      <c r="AR27" s="523">
        <f t="shared" si="212"/>
        <v>5.7328767123287667</v>
      </c>
      <c r="AS27" s="523">
        <f t="shared" si="212"/>
        <v>5.6134417808219181</v>
      </c>
      <c r="AT27" s="523">
        <f t="shared" si="212"/>
        <v>5.0702054794520546</v>
      </c>
      <c r="AU27" s="523">
        <f t="shared" si="212"/>
        <v>5.6134417808219181</v>
      </c>
      <c r="AV27" s="523">
        <f t="shared" si="212"/>
        <v>5.3167808219178081</v>
      </c>
      <c r="AW27" s="523">
        <f t="shared" si="212"/>
        <v>5.4940068493150687</v>
      </c>
      <c r="AX27" s="523">
        <f t="shared" si="212"/>
        <v>5.3167808219178081</v>
      </c>
      <c r="AY27" s="523">
        <f t="shared" si="212"/>
        <v>5.3745719178082192</v>
      </c>
      <c r="AZ27" s="523">
        <f t="shared" si="212"/>
        <v>5.3745719178082192</v>
      </c>
      <c r="BA27" s="523">
        <f t="shared" si="212"/>
        <v>5.2011986301369859</v>
      </c>
      <c r="BB27" s="523">
        <f t="shared" si="212"/>
        <v>5.2551369863013697</v>
      </c>
      <c r="BC27" s="523">
        <f t="shared" si="212"/>
        <v>5.0856164383561646</v>
      </c>
      <c r="BD27" s="523">
        <f t="shared" si="212"/>
        <v>5.2551369863013697</v>
      </c>
      <c r="BE27" s="523">
        <f t="shared" si="212"/>
        <v>5.1216700819672134</v>
      </c>
      <c r="BF27" s="523">
        <f t="shared" si="212"/>
        <v>4.7912397540983607</v>
      </c>
      <c r="BG27" s="523">
        <f t="shared" si="212"/>
        <v>5.1216700819672134</v>
      </c>
      <c r="BH27" s="523">
        <f t="shared" si="212"/>
        <v>4.841188524590164</v>
      </c>
      <c r="BI27" s="523">
        <f t="shared" si="212"/>
        <v>5.002561475409836</v>
      </c>
      <c r="BJ27" s="523">
        <f t="shared" si="212"/>
        <v>4.841188524590164</v>
      </c>
      <c r="BK27" s="523">
        <f t="shared" si="212"/>
        <v>4.8834528688524594</v>
      </c>
      <c r="BL27" s="523">
        <f t="shared" si="212"/>
        <v>4.8834528688524594</v>
      </c>
      <c r="BM27" s="523">
        <f t="shared" si="212"/>
        <v>4.7259221311475406</v>
      </c>
      <c r="BN27" s="523">
        <f t="shared" si="212"/>
        <v>4.764344262295082</v>
      </c>
      <c r="BO27" s="523">
        <f t="shared" si="212"/>
        <v>4.610655737704918</v>
      </c>
      <c r="BP27" s="523">
        <f t="shared" si="212"/>
        <v>4.764344262295082</v>
      </c>
      <c r="BQ27" s="523">
        <f t="shared" si="212"/>
        <v>4.6579623287671232</v>
      </c>
      <c r="BR27" s="523">
        <f t="shared" ref="BR27:EC27" si="213">BR28+BR29</f>
        <v>4.2071917808219181</v>
      </c>
      <c r="BS27" s="523">
        <f t="shared" si="213"/>
        <v>4.6579623287671232</v>
      </c>
      <c r="BT27" s="523">
        <f t="shared" si="213"/>
        <v>4.3921232876712333</v>
      </c>
      <c r="BU27" s="523">
        <f t="shared" si="213"/>
        <v>4.5385273972602738</v>
      </c>
      <c r="BV27" s="523">
        <f t="shared" si="213"/>
        <v>4.3921232876712333</v>
      </c>
      <c r="BW27" s="523">
        <f t="shared" si="213"/>
        <v>4.4190924657534243</v>
      </c>
      <c r="BX27" s="523">
        <f t="shared" si="213"/>
        <v>4.4190924657534243</v>
      </c>
      <c r="BY27" s="523">
        <f t="shared" si="213"/>
        <v>4.2765410958904111</v>
      </c>
      <c r="BZ27" s="523">
        <f t="shared" si="213"/>
        <v>4.2996575342465757</v>
      </c>
      <c r="CA27" s="523">
        <f t="shared" si="213"/>
        <v>4.1609589041095889</v>
      </c>
      <c r="CB27" s="523">
        <f t="shared" si="213"/>
        <v>4.2996575342465757</v>
      </c>
      <c r="CC27" s="523">
        <f t="shared" si="213"/>
        <v>4.1802226027397262</v>
      </c>
      <c r="CD27" s="523">
        <f t="shared" si="213"/>
        <v>3.7756849315068495</v>
      </c>
      <c r="CE27" s="523">
        <f t="shared" si="213"/>
        <v>4.1802226027397262</v>
      </c>
      <c r="CF27" s="523">
        <f t="shared" si="213"/>
        <v>3.9297945205479454</v>
      </c>
      <c r="CG27" s="523">
        <f t="shared" si="213"/>
        <v>4.0607876712328768</v>
      </c>
      <c r="CH27" s="523">
        <f t="shared" si="213"/>
        <v>3.9297945205479454</v>
      </c>
      <c r="CI27" s="523">
        <f t="shared" si="213"/>
        <v>3.9413527397260273</v>
      </c>
      <c r="CJ27" s="523">
        <f t="shared" si="213"/>
        <v>3.9413527397260273</v>
      </c>
      <c r="CK27" s="523">
        <f t="shared" si="213"/>
        <v>3.8142123287671232</v>
      </c>
      <c r="CL27" s="523">
        <f t="shared" si="213"/>
        <v>3.8219178082191783</v>
      </c>
      <c r="CM27" s="523">
        <f t="shared" si="213"/>
        <v>3.6986301369863015</v>
      </c>
      <c r="CN27" s="523">
        <f t="shared" si="213"/>
        <v>3.8219178082191783</v>
      </c>
      <c r="CO27" s="523">
        <f t="shared" si="213"/>
        <v>3.7024828767123288</v>
      </c>
      <c r="CP27" s="523">
        <f t="shared" si="213"/>
        <v>3.3441780821917808</v>
      </c>
      <c r="CQ27" s="523">
        <f t="shared" si="213"/>
        <v>3.7024828767123288</v>
      </c>
      <c r="CR27" s="523">
        <f t="shared" si="213"/>
        <v>3.4674657534246576</v>
      </c>
      <c r="CS27" s="523">
        <f t="shared" si="213"/>
        <v>3.5830479452054793</v>
      </c>
      <c r="CT27" s="523">
        <f t="shared" si="213"/>
        <v>3.4674657534246576</v>
      </c>
      <c r="CU27" s="523">
        <f t="shared" si="213"/>
        <v>3.4636130136986303</v>
      </c>
      <c r="CV27" s="523">
        <f t="shared" si="213"/>
        <v>3.4636130136986303</v>
      </c>
      <c r="CW27" s="523">
        <f t="shared" si="213"/>
        <v>3.3518835616438358</v>
      </c>
      <c r="CX27" s="523">
        <f t="shared" si="213"/>
        <v>3.3441780821917808</v>
      </c>
      <c r="CY27" s="523">
        <f t="shared" si="213"/>
        <v>3.2363013698630136</v>
      </c>
      <c r="CZ27" s="523">
        <f t="shared" si="213"/>
        <v>3.3441780821917808</v>
      </c>
      <c r="DA27" s="523">
        <f t="shared" si="213"/>
        <v>3.2159323770491803</v>
      </c>
      <c r="DB27" s="523">
        <f t="shared" si="213"/>
        <v>3.008452868852459</v>
      </c>
      <c r="DC27" s="523">
        <f t="shared" si="213"/>
        <v>3.2159323770491803</v>
      </c>
      <c r="DD27" s="523">
        <f t="shared" si="213"/>
        <v>2.9969262295081966</v>
      </c>
      <c r="DE27" s="523">
        <f t="shared" si="213"/>
        <v>3.0968237704918034</v>
      </c>
      <c r="DF27" s="523">
        <f t="shared" si="213"/>
        <v>2.9969262295081966</v>
      </c>
      <c r="DG27" s="523">
        <f t="shared" si="213"/>
        <v>2.9777151639344264</v>
      </c>
      <c r="DH27" s="523">
        <f t="shared" si="213"/>
        <v>2.9777151639344264</v>
      </c>
      <c r="DI27" s="523">
        <f t="shared" si="213"/>
        <v>2.8816598360655736</v>
      </c>
      <c r="DJ27" s="523">
        <f t="shared" si="213"/>
        <v>2.8586065573770494</v>
      </c>
      <c r="DK27" s="523">
        <f t="shared" si="213"/>
        <v>2.7663934426229506</v>
      </c>
      <c r="DL27" s="523">
        <f t="shared" si="213"/>
        <v>2.8586065573770494</v>
      </c>
      <c r="DM27" s="523">
        <f t="shared" si="213"/>
        <v>2.7470034246575343</v>
      </c>
      <c r="DN27" s="523">
        <f t="shared" si="213"/>
        <v>2.4811643835616439</v>
      </c>
      <c r="DO27" s="523">
        <f t="shared" si="213"/>
        <v>2.7470034246575343</v>
      </c>
      <c r="DP27" s="523">
        <f t="shared" si="213"/>
        <v>2.5428082191780823</v>
      </c>
      <c r="DQ27" s="523">
        <f t="shared" si="213"/>
        <v>2.6275684931506849</v>
      </c>
      <c r="DR27" s="523">
        <f t="shared" si="213"/>
        <v>2.5428082191780823</v>
      </c>
      <c r="DS27" s="523">
        <f t="shared" si="213"/>
        <v>2.5081335616438358</v>
      </c>
      <c r="DT27" s="523">
        <f t="shared" si="213"/>
        <v>2.5081335616438358</v>
      </c>
      <c r="DU27" s="523">
        <f t="shared" si="213"/>
        <v>2.4272260273972601</v>
      </c>
      <c r="DV27" s="523">
        <f t="shared" si="213"/>
        <v>2.3886986301369864</v>
      </c>
      <c r="DW27" s="523">
        <f t="shared" si="213"/>
        <v>2.3116438356164384</v>
      </c>
      <c r="DX27" s="523">
        <f t="shared" si="213"/>
        <v>2.3886986301369864</v>
      </c>
      <c r="DY27" s="523">
        <f t="shared" si="213"/>
        <v>2.2692636986301369</v>
      </c>
      <c r="DZ27" s="523">
        <f t="shared" si="213"/>
        <v>2.0496575342465753</v>
      </c>
      <c r="EA27" s="523">
        <f t="shared" si="213"/>
        <v>2.2692636986301369</v>
      </c>
      <c r="EB27" s="523">
        <f t="shared" si="213"/>
        <v>2.0804794520547945</v>
      </c>
      <c r="EC27" s="523">
        <f t="shared" si="213"/>
        <v>2.1498287671232879</v>
      </c>
      <c r="ED27" s="523">
        <f t="shared" ref="ED27:GF27" si="214">ED28+ED29</f>
        <v>2.0804794520547945</v>
      </c>
      <c r="EE27" s="523">
        <f t="shared" si="214"/>
        <v>2.0303938356164384</v>
      </c>
      <c r="EF27" s="523">
        <f t="shared" si="214"/>
        <v>2.0303938356164384</v>
      </c>
      <c r="EG27" s="523">
        <f t="shared" si="214"/>
        <v>1.9648972602739727</v>
      </c>
      <c r="EH27" s="523">
        <f t="shared" si="214"/>
        <v>1.9109589041095891</v>
      </c>
      <c r="EI27" s="523">
        <f t="shared" si="214"/>
        <v>1.8493150684931507</v>
      </c>
      <c r="EJ27" s="523">
        <f t="shared" si="214"/>
        <v>1.9109589041095891</v>
      </c>
      <c r="EK27" s="523">
        <f t="shared" si="214"/>
        <v>1.7915239726027397</v>
      </c>
      <c r="EL27" s="523">
        <f t="shared" si="214"/>
        <v>1.6181506849315068</v>
      </c>
      <c r="EM27" s="523">
        <f t="shared" si="214"/>
        <v>1.7915239726027397</v>
      </c>
      <c r="EN27" s="523">
        <f t="shared" si="214"/>
        <v>1.6181506849315068</v>
      </c>
      <c r="EO27" s="523">
        <f t="shared" si="214"/>
        <v>1.6720890410958904</v>
      </c>
      <c r="EP27" s="523">
        <f t="shared" si="214"/>
        <v>1.6181506849315068</v>
      </c>
      <c r="EQ27" s="523">
        <f t="shared" si="214"/>
        <v>1.5526541095890412</v>
      </c>
      <c r="ER27" s="523">
        <f t="shared" si="214"/>
        <v>1.5526541095890412</v>
      </c>
      <c r="ES27" s="523">
        <f t="shared" si="214"/>
        <v>1.5025684931506849</v>
      </c>
      <c r="ET27" s="523">
        <f t="shared" si="214"/>
        <v>1.4332191780821917</v>
      </c>
      <c r="EU27" s="523">
        <f t="shared" si="214"/>
        <v>1.3869863013698631</v>
      </c>
      <c r="EV27" s="523">
        <f t="shared" si="214"/>
        <v>1.4332191780821917</v>
      </c>
      <c r="EW27" s="523">
        <f t="shared" si="214"/>
        <v>1.3101946721311475</v>
      </c>
      <c r="EX27" s="523">
        <f t="shared" si="214"/>
        <v>1.2256659836065573</v>
      </c>
      <c r="EY27" s="523">
        <f t="shared" si="214"/>
        <v>1.3101946721311475</v>
      </c>
      <c r="EZ27" s="523">
        <f t="shared" si="214"/>
        <v>1.1526639344262295</v>
      </c>
      <c r="FA27" s="523">
        <f t="shared" si="214"/>
        <v>1.1910860655737705</v>
      </c>
      <c r="FB27" s="523">
        <f t="shared" si="214"/>
        <v>1.1526639344262295</v>
      </c>
      <c r="FC27" s="523">
        <f t="shared" si="214"/>
        <v>1.0719774590163935</v>
      </c>
      <c r="FD27" s="523">
        <f t="shared" si="214"/>
        <v>1.0719774590163935</v>
      </c>
      <c r="FE27" s="523">
        <f t="shared" si="214"/>
        <v>1.0373975409836065</v>
      </c>
      <c r="FF27" s="523">
        <f t="shared" si="214"/>
        <v>0.95286885245901642</v>
      </c>
      <c r="FG27" s="523">
        <f t="shared" si="214"/>
        <v>0.92213114754098358</v>
      </c>
      <c r="FH27" s="523">
        <f t="shared" si="214"/>
        <v>0.95286885245901642</v>
      </c>
      <c r="FI27" s="523">
        <f t="shared" si="214"/>
        <v>0.8360445205479452</v>
      </c>
      <c r="FJ27" s="523">
        <f t="shared" si="214"/>
        <v>0.75513698630136983</v>
      </c>
      <c r="FK27" s="523">
        <f t="shared" si="214"/>
        <v>0.8360445205479452</v>
      </c>
      <c r="FL27" s="523">
        <f t="shared" si="214"/>
        <v>0.69349315068493156</v>
      </c>
      <c r="FM27" s="523">
        <f t="shared" si="214"/>
        <v>0.71660958904109584</v>
      </c>
      <c r="FN27" s="523">
        <f t="shared" si="214"/>
        <v>0.69349315068493156</v>
      </c>
      <c r="FO27" s="523">
        <f t="shared" si="214"/>
        <v>0.59717465753424659</v>
      </c>
      <c r="FP27" s="523">
        <f t="shared" si="214"/>
        <v>0.59717465753424659</v>
      </c>
      <c r="FQ27" s="523">
        <f t="shared" si="214"/>
        <v>0.5779109589041096</v>
      </c>
      <c r="FR27" s="523">
        <f t="shared" si="214"/>
        <v>0.47773972602739728</v>
      </c>
      <c r="FS27" s="523">
        <f t="shared" si="214"/>
        <v>0.46232876712328769</v>
      </c>
      <c r="FT27" s="523">
        <f t="shared" si="214"/>
        <v>0.47773972602739728</v>
      </c>
      <c r="FU27" s="523">
        <f t="shared" si="214"/>
        <v>0.35830479452054792</v>
      </c>
      <c r="FV27" s="523">
        <f t="shared" si="214"/>
        <v>0</v>
      </c>
      <c r="FW27" s="523">
        <f t="shared" si="214"/>
        <v>0</v>
      </c>
      <c r="FX27" s="523">
        <f t="shared" si="214"/>
        <v>0</v>
      </c>
      <c r="FY27" s="523">
        <f t="shared" si="214"/>
        <v>0</v>
      </c>
      <c r="FZ27" s="523">
        <f t="shared" si="214"/>
        <v>0</v>
      </c>
      <c r="GA27" s="523">
        <f t="shared" si="214"/>
        <v>0</v>
      </c>
      <c r="GB27" s="523">
        <f t="shared" si="214"/>
        <v>0</v>
      </c>
      <c r="GC27" s="523">
        <f t="shared" si="214"/>
        <v>0</v>
      </c>
      <c r="GD27" s="523">
        <f t="shared" si="214"/>
        <v>0</v>
      </c>
      <c r="GE27" s="523">
        <f t="shared" si="214"/>
        <v>0</v>
      </c>
      <c r="GF27" s="524">
        <f t="shared" si="214"/>
        <v>0</v>
      </c>
    </row>
    <row r="28" spans="3:188" x14ac:dyDescent="0.3">
      <c r="C28" s="104"/>
      <c r="D28" s="561">
        <f t="shared" ref="D28:D29" si="215">SUM(E28:GF28)</f>
        <v>0</v>
      </c>
      <c r="E28" s="519"/>
      <c r="F28" s="520">
        <f>Assumption!$C$98*_xlfn.DAYS(F5,E5)/(IF(MOD(F8,4)=0,366,365))</f>
        <v>0</v>
      </c>
      <c r="G28" s="520">
        <f>Assumption!$C$98*_xlfn.DAYS(G5,F5)/(IF(MOD(G8,4)=0,366,365))</f>
        <v>0</v>
      </c>
      <c r="H28" s="520">
        <f>Assumption!$C$98*_xlfn.DAYS(H5,G5)/(IF(MOD(H8,4)=0,366,365))</f>
        <v>0</v>
      </c>
      <c r="I28" s="520">
        <f>Assumption!$C$98*_xlfn.DAYS(I5,H5)/(IF(MOD(I8,4)=0,366,365))</f>
        <v>0</v>
      </c>
      <c r="J28" s="520">
        <f>Assumption!$C$98*_xlfn.DAYS(J5,I5)/(IF(MOD(J8,4)=0,366,365))</f>
        <v>0</v>
      </c>
      <c r="K28" s="520">
        <f>Assumption!$C$98*_xlfn.DAYS(K5,J5)/(IF(MOD(K8,4)=0,366,365))</f>
        <v>0</v>
      </c>
      <c r="L28" s="520">
        <f>Assumption!$C$98*_xlfn.DAYS(L5,K5)/(IF(MOD(L8,4)=0,366,365))</f>
        <v>0</v>
      </c>
      <c r="M28" s="520">
        <f>Assumption!$C$98*_xlfn.DAYS(M5,L5)/(IF(MOD(M8,4)=0,366,365))</f>
        <v>0</v>
      </c>
      <c r="N28" s="520">
        <f>Assumption!$C$98*_xlfn.DAYS(N5,M5)/(IF(MOD(N8,4)=0,366,365))</f>
        <v>0</v>
      </c>
      <c r="O28" s="520">
        <f>Assumption!$C$98*_xlfn.DAYS(O5,N5)/(IF(MOD(O8,4)=0,366,365))</f>
        <v>0</v>
      </c>
      <c r="P28" s="520">
        <f>Assumption!$C$98*_xlfn.DAYS(P5,O5)/(IF(MOD(P8,4)=0,366,365))</f>
        <v>0</v>
      </c>
      <c r="Q28" s="520">
        <f>Assumption!$C$98*_xlfn.DAYS(Q5,P5)/(IF(MOD(Q8,4)=0,366,365))</f>
        <v>0</v>
      </c>
      <c r="R28" s="520">
        <f>Assumption!$C$98*_xlfn.DAYS(R5,Q5)/(IF(MOD(R8,4)=0,366,365))</f>
        <v>0</v>
      </c>
      <c r="S28" s="520">
        <f>Assumption!$C$98*_xlfn.DAYS(S5,R5)/(IF(MOD(S8,4)=0,366,365))</f>
        <v>0</v>
      </c>
      <c r="T28" s="520">
        <f>Assumption!$C$98*_xlfn.DAYS(T5,S5)/(IF(MOD(T8,4)=0,366,365))</f>
        <v>0</v>
      </c>
      <c r="U28" s="520">
        <f>Assumption!$C$98*_xlfn.DAYS(U5,T5)/(IF(MOD(U8,4)=0,366,365))</f>
        <v>0</v>
      </c>
      <c r="V28" s="520">
        <f>Assumption!$C$98*_xlfn.DAYS(V5,U5)/(IF(MOD(V8,4)=0,366,365))</f>
        <v>0</v>
      </c>
      <c r="W28" s="520">
        <f>Assumption!$C$98*_xlfn.DAYS(W5,V5)/(IF(MOD(W8,4)=0,366,365))</f>
        <v>0</v>
      </c>
      <c r="X28" s="520">
        <f>Assumption!$C$98*_xlfn.DAYS(X5,W5)/(IF(MOD(X8,4)=0,366,365))</f>
        <v>0</v>
      </c>
      <c r="Y28" s="520">
        <f>Assumption!$C$98*_xlfn.DAYS(Y5,X5)/(IF(MOD(Y8,4)=0,366,365))</f>
        <v>0</v>
      </c>
      <c r="Z28" s="520">
        <f>Assumption!$C$98*_xlfn.DAYS(Z5,Y5)/(IF(MOD(Z8,4)=0,366,365))</f>
        <v>0</v>
      </c>
      <c r="AA28" s="520">
        <f>Assumption!$C$98*_xlfn.DAYS(AA5,Z5)/(IF(MOD(AA8,4)=0,366,365))</f>
        <v>0</v>
      </c>
      <c r="AB28" s="520">
        <f>Assumption!$C$98*_xlfn.DAYS(AB5,AA5)/(IF(MOD(AB8,4)=0,366,365))</f>
        <v>0</v>
      </c>
      <c r="AC28" s="520">
        <f>Assumption!$C$98*_xlfn.DAYS(AC5,AB5)/(IF(MOD(AC8,4)=0,366,365))</f>
        <v>0</v>
      </c>
      <c r="AD28" s="520">
        <f>Assumption!$C$98*_xlfn.DAYS(AD5,AC5)/(IF(MOD(AD8,4)=0,366,365))</f>
        <v>0</v>
      </c>
      <c r="AE28" s="520">
        <f>Assumption!$C$98*_xlfn.DAYS(AE5,AD5)/(IF(MOD(AE8,4)=0,366,365))</f>
        <v>0</v>
      </c>
      <c r="AF28" s="520">
        <f>Assumption!$C$98*_xlfn.DAYS(AF5,AE5)/(IF(MOD(AF8,4)=0,366,365))</f>
        <v>0</v>
      </c>
      <c r="AG28" s="520">
        <f>Assumption!$C$98*_xlfn.DAYS(AG5,AF5)/(IF(MOD(AG8,4)=0,366,365))</f>
        <v>0</v>
      </c>
      <c r="AH28" s="520">
        <f>Assumption!$C$98*_xlfn.DAYS(AH5,AG5)/(IF(MOD(AH8,4)=0,366,365))</f>
        <v>0</v>
      </c>
      <c r="AI28" s="520">
        <f>Assumption!$C$98*_xlfn.DAYS(AI5,AH5)/(IF(MOD(AI8,4)=0,366,365))</f>
        <v>0</v>
      </c>
      <c r="AJ28" s="520">
        <f>Assumption!$C$98*_xlfn.DAYS(AJ5,AI5)/(IF(MOD(AJ8,4)=0,366,365))</f>
        <v>0</v>
      </c>
      <c r="AK28" s="520">
        <f>Assumption!$C$98*_xlfn.DAYS(AK5,AJ5)/(IF(MOD(AK8,4)=0,366,365))</f>
        <v>0</v>
      </c>
      <c r="AL28" s="520">
        <f>Assumption!$C$98*_xlfn.DAYS(AL5,AK5)/(IF(MOD(AL8,4)=0,366,365))</f>
        <v>0</v>
      </c>
      <c r="AM28" s="520">
        <f>Assumption!$C$98*_xlfn.DAYS(AM5,AL5)/(IF(MOD(AM8,4)=0,366,365))</f>
        <v>0</v>
      </c>
      <c r="AN28" s="520">
        <f>Assumption!$C$98*_xlfn.DAYS(AN5,AM5)/(IF(MOD(AN8,4)=0,366,365))</f>
        <v>0</v>
      </c>
      <c r="AO28" s="520">
        <f>Assumption!$C$98*_xlfn.DAYS(AO5,AN5)/(IF(MOD(AO8,4)=0,366,365))</f>
        <v>0</v>
      </c>
      <c r="AP28" s="520">
        <f>Assumption!$C$98*_xlfn.DAYS(AP5,AO5)/(IF(MOD(AP8,4)=0,366,365))</f>
        <v>0</v>
      </c>
      <c r="AQ28" s="520">
        <f>Assumption!$C$98*_xlfn.DAYS(AQ5,AP5)/(IF(MOD(AQ8,4)=0,366,365))</f>
        <v>0</v>
      </c>
      <c r="AR28" s="520">
        <f>Assumption!$C$98*_xlfn.DAYS(AR5,AQ5)/(IF(MOD(AR8,4)=0,366,365))</f>
        <v>0</v>
      </c>
      <c r="AS28" s="520">
        <f>Assumption!$C$98*_xlfn.DAYS(AS5,AR5)/(IF(MOD(AS8,4)=0,366,365))</f>
        <v>0</v>
      </c>
      <c r="AT28" s="520">
        <f>Assumption!$C$98*_xlfn.DAYS(AT5,AS5)/(IF(MOD(AT8,4)=0,366,365))</f>
        <v>0</v>
      </c>
      <c r="AU28" s="520">
        <f>Assumption!$C$98*_xlfn.DAYS(AU5,AT5)/(IF(MOD(AU8,4)=0,366,365))</f>
        <v>0</v>
      </c>
      <c r="AV28" s="520">
        <f>Assumption!$C$98*_xlfn.DAYS(AV5,AU5)/(IF(MOD(AV8,4)=0,366,365))</f>
        <v>0</v>
      </c>
      <c r="AW28" s="520">
        <f>Assumption!$C$98*_xlfn.DAYS(AW5,AV5)/(IF(MOD(AW8,4)=0,366,365))</f>
        <v>0</v>
      </c>
      <c r="AX28" s="520">
        <f>Assumption!$C$98*_xlfn.DAYS(AX5,AW5)/(IF(MOD(AX8,4)=0,366,365))</f>
        <v>0</v>
      </c>
      <c r="AY28" s="520">
        <f>Assumption!$C$98*_xlfn.DAYS(AY5,AX5)/(IF(MOD(AY8,4)=0,366,365))</f>
        <v>0</v>
      </c>
      <c r="AZ28" s="520">
        <f>Assumption!$C$98*_xlfn.DAYS(AZ5,AY5)/(IF(MOD(AZ8,4)=0,366,365))</f>
        <v>0</v>
      </c>
      <c r="BA28" s="520">
        <f>Assumption!$C$98*_xlfn.DAYS(BA5,AZ5)/(IF(MOD(BA8,4)=0,366,365))</f>
        <v>0</v>
      </c>
      <c r="BB28" s="520">
        <f>Assumption!$C$98*_xlfn.DAYS(BB5,BA5)/(IF(MOD(BB8,4)=0,366,365))</f>
        <v>0</v>
      </c>
      <c r="BC28" s="520">
        <f>Assumption!$C$98*_xlfn.DAYS(BC5,BB5)/(IF(MOD(BC8,4)=0,366,365))</f>
        <v>0</v>
      </c>
      <c r="BD28" s="520">
        <f>Assumption!$C$98*_xlfn.DAYS(BD5,BC5)/(IF(MOD(BD8,4)=0,366,365))</f>
        <v>0</v>
      </c>
      <c r="BE28" s="520">
        <f>Assumption!$C$98*_xlfn.DAYS(BE5,BD5)/(IF(MOD(BE8,4)=0,366,365))</f>
        <v>0</v>
      </c>
      <c r="BF28" s="520">
        <f>Assumption!$C$98*_xlfn.DAYS(BF5,BE5)/(IF(MOD(BF8,4)=0,366,365))</f>
        <v>0</v>
      </c>
      <c r="BG28" s="520">
        <f>Assumption!$C$98*_xlfn.DAYS(BG5,BF5)/(IF(MOD(BG8,4)=0,366,365))</f>
        <v>0</v>
      </c>
      <c r="BH28" s="520">
        <f>Assumption!$C$98*_xlfn.DAYS(BH5,BG5)/(IF(MOD(BH8,4)=0,366,365))</f>
        <v>0</v>
      </c>
      <c r="BI28" s="520">
        <f>Assumption!$C$98*_xlfn.DAYS(BI5,BH5)/(IF(MOD(BI8,4)=0,366,365))</f>
        <v>0</v>
      </c>
      <c r="BJ28" s="520">
        <f>Assumption!$C$98*_xlfn.DAYS(BJ5,BI5)/(IF(MOD(BJ8,4)=0,366,365))</f>
        <v>0</v>
      </c>
      <c r="BK28" s="520">
        <f>Assumption!$C$98*_xlfn.DAYS(BK5,BJ5)/(IF(MOD(BK8,4)=0,366,365))</f>
        <v>0</v>
      </c>
      <c r="BL28" s="520">
        <f>Assumption!$C$98*_xlfn.DAYS(BL5,BK5)/(IF(MOD(BL8,4)=0,366,365))</f>
        <v>0</v>
      </c>
      <c r="BM28" s="520">
        <f>Assumption!$C$98*_xlfn.DAYS(BM5,BL5)/(IF(MOD(BM8,4)=0,366,365))</f>
        <v>0</v>
      </c>
      <c r="BN28" s="520">
        <f>Assumption!$C$98*_xlfn.DAYS(BN5,BM5)/(IF(MOD(BN8,4)=0,366,365))</f>
        <v>0</v>
      </c>
      <c r="BO28" s="520">
        <f>Assumption!$C$98*_xlfn.DAYS(BO5,BN5)/(IF(MOD(BO8,4)=0,366,365))</f>
        <v>0</v>
      </c>
      <c r="BP28" s="520">
        <f>Assumption!$C$98*_xlfn.DAYS(BP5,BO5)/(IF(MOD(BP8,4)=0,366,365))</f>
        <v>0</v>
      </c>
      <c r="BQ28" s="520">
        <f>Assumption!$C$98*_xlfn.DAYS(BQ5,BP5)/(IF(MOD(BQ8,4)=0,366,365))</f>
        <v>0</v>
      </c>
      <c r="BR28" s="520">
        <f>Assumption!$C$98*_xlfn.DAYS(BR5,BQ5)/(IF(MOD(BR8,4)=0,366,365))</f>
        <v>0</v>
      </c>
      <c r="BS28" s="520">
        <f>Assumption!$C$98*_xlfn.DAYS(BS5,BR5)/(IF(MOD(BS8,4)=0,366,365))</f>
        <v>0</v>
      </c>
      <c r="BT28" s="520">
        <f>Assumption!$C$98*_xlfn.DAYS(BT5,BS5)/(IF(MOD(BT8,4)=0,366,365))</f>
        <v>0</v>
      </c>
      <c r="BU28" s="520">
        <f>Assumption!$C$98*_xlfn.DAYS(BU5,BT5)/(IF(MOD(BU8,4)=0,366,365))</f>
        <v>0</v>
      </c>
      <c r="BV28" s="520">
        <f>Assumption!$C$98*_xlfn.DAYS(BV5,BU5)/(IF(MOD(BV8,4)=0,366,365))</f>
        <v>0</v>
      </c>
      <c r="BW28" s="520">
        <f>Assumption!$C$98*_xlfn.DAYS(BW5,BV5)/(IF(MOD(BW8,4)=0,366,365))</f>
        <v>0</v>
      </c>
      <c r="BX28" s="520">
        <f>Assumption!$C$98*_xlfn.DAYS(BX5,BW5)/(IF(MOD(BX8,4)=0,366,365))</f>
        <v>0</v>
      </c>
      <c r="BY28" s="520">
        <f>Assumption!$C$98*_xlfn.DAYS(BY5,BX5)/(IF(MOD(BY8,4)=0,366,365))</f>
        <v>0</v>
      </c>
      <c r="BZ28" s="520">
        <f>Assumption!$C$98*_xlfn.DAYS(BZ5,BY5)/(IF(MOD(BZ8,4)=0,366,365))</f>
        <v>0</v>
      </c>
      <c r="CA28" s="520">
        <f>Assumption!$C$98*_xlfn.DAYS(CA5,BZ5)/(IF(MOD(CA8,4)=0,366,365))</f>
        <v>0</v>
      </c>
      <c r="CB28" s="520">
        <f>Assumption!$C$98*_xlfn.DAYS(CB5,CA5)/(IF(MOD(CB8,4)=0,366,365))</f>
        <v>0</v>
      </c>
      <c r="CC28" s="520">
        <f>Assumption!$C$98*_xlfn.DAYS(CC5,CB5)/(IF(MOD(CC8,4)=0,366,365))</f>
        <v>0</v>
      </c>
      <c r="CD28" s="520">
        <f>Assumption!$C$98*_xlfn.DAYS(CD5,CC5)/(IF(MOD(CD8,4)=0,366,365))</f>
        <v>0</v>
      </c>
      <c r="CE28" s="520">
        <f>Assumption!$C$98*_xlfn.DAYS(CE5,CD5)/(IF(MOD(CE8,4)=0,366,365))</f>
        <v>0</v>
      </c>
      <c r="CF28" s="520">
        <f>Assumption!$C$98*_xlfn.DAYS(CF5,CE5)/(IF(MOD(CF8,4)=0,366,365))</f>
        <v>0</v>
      </c>
      <c r="CG28" s="520">
        <f>Assumption!$C$98*_xlfn.DAYS(CG5,CF5)/(IF(MOD(CG8,4)=0,366,365))</f>
        <v>0</v>
      </c>
      <c r="CH28" s="520">
        <f>Assumption!$C$98*_xlfn.DAYS(CH5,CG5)/(IF(MOD(CH8,4)=0,366,365))</f>
        <v>0</v>
      </c>
      <c r="CI28" s="520">
        <f>Assumption!$C$98*_xlfn.DAYS(CI5,CH5)/(IF(MOD(CI8,4)=0,366,365))</f>
        <v>0</v>
      </c>
      <c r="CJ28" s="520">
        <f>Assumption!$C$98*_xlfn.DAYS(CJ5,CI5)/(IF(MOD(CJ8,4)=0,366,365))</f>
        <v>0</v>
      </c>
      <c r="CK28" s="520">
        <f>Assumption!$C$98*_xlfn.DAYS(CK5,CJ5)/(IF(MOD(CK8,4)=0,366,365))</f>
        <v>0</v>
      </c>
      <c r="CL28" s="520">
        <f>Assumption!$C$98*_xlfn.DAYS(CL5,CK5)/(IF(MOD(CL8,4)=0,366,365))</f>
        <v>0</v>
      </c>
      <c r="CM28" s="520">
        <f>Assumption!$C$98*_xlfn.DAYS(CM5,CL5)/(IF(MOD(CM8,4)=0,366,365))</f>
        <v>0</v>
      </c>
      <c r="CN28" s="520">
        <f>Assumption!$C$98*_xlfn.DAYS(CN5,CM5)/(IF(MOD(CN8,4)=0,366,365))</f>
        <v>0</v>
      </c>
      <c r="CO28" s="520">
        <f>Assumption!$C$98*_xlfn.DAYS(CO5,CN5)/(IF(MOD(CO8,4)=0,366,365))</f>
        <v>0</v>
      </c>
      <c r="CP28" s="520">
        <f>Assumption!$C$98*_xlfn.DAYS(CP5,CO5)/(IF(MOD(CP8,4)=0,366,365))</f>
        <v>0</v>
      </c>
      <c r="CQ28" s="520">
        <f>Assumption!$C$98*_xlfn.DAYS(CQ5,CP5)/(IF(MOD(CQ8,4)=0,366,365))</f>
        <v>0</v>
      </c>
      <c r="CR28" s="520">
        <f>Assumption!$C$98*_xlfn.DAYS(CR5,CQ5)/(IF(MOD(CR8,4)=0,366,365))</f>
        <v>0</v>
      </c>
      <c r="CS28" s="520">
        <f>Assumption!$C$98*_xlfn.DAYS(CS5,CR5)/(IF(MOD(CS8,4)=0,366,365))</f>
        <v>0</v>
      </c>
      <c r="CT28" s="520">
        <f>Assumption!$C$98*_xlfn.DAYS(CT5,CS5)/(IF(MOD(CT8,4)=0,366,365))</f>
        <v>0</v>
      </c>
      <c r="CU28" s="520">
        <f>Assumption!$C$98*_xlfn.DAYS(CU5,CT5)/(IF(MOD(CU8,4)=0,366,365))</f>
        <v>0</v>
      </c>
      <c r="CV28" s="520">
        <f>Assumption!$C$98*_xlfn.DAYS(CV5,CU5)/(IF(MOD(CV8,4)=0,366,365))</f>
        <v>0</v>
      </c>
      <c r="CW28" s="520">
        <f>Assumption!$C$98*_xlfn.DAYS(CW5,CV5)/(IF(MOD(CW8,4)=0,366,365))</f>
        <v>0</v>
      </c>
      <c r="CX28" s="520">
        <f>Assumption!$C$98*_xlfn.DAYS(CX5,CW5)/(IF(MOD(CX8,4)=0,366,365))</f>
        <v>0</v>
      </c>
      <c r="CY28" s="520">
        <f>Assumption!$C$98*_xlfn.DAYS(CY5,CX5)/(IF(MOD(CY8,4)=0,366,365))</f>
        <v>0</v>
      </c>
      <c r="CZ28" s="520">
        <f>Assumption!$C$98*_xlfn.DAYS(CZ5,CY5)/(IF(MOD(CZ8,4)=0,366,365))</f>
        <v>0</v>
      </c>
      <c r="DA28" s="520">
        <f>Assumption!$C$98*_xlfn.DAYS(DA5,CZ5)/(IF(MOD(DA8,4)=0,366,365))</f>
        <v>0</v>
      </c>
      <c r="DB28" s="520">
        <f>Assumption!$C$98*_xlfn.DAYS(DB5,DA5)/(IF(MOD(DB8,4)=0,366,365))</f>
        <v>0</v>
      </c>
      <c r="DC28" s="520">
        <f>Assumption!$C$98*_xlfn.DAYS(DC5,DB5)/(IF(MOD(DC8,4)=0,366,365))</f>
        <v>0</v>
      </c>
      <c r="DD28" s="520">
        <f>Assumption!$C$98*_xlfn.DAYS(DD5,DC5)/(IF(MOD(DD8,4)=0,366,365))</f>
        <v>0</v>
      </c>
      <c r="DE28" s="520">
        <f>Assumption!$C$98*_xlfn.DAYS(DE5,DD5)/(IF(MOD(DE8,4)=0,366,365))</f>
        <v>0</v>
      </c>
      <c r="DF28" s="520">
        <f>Assumption!$C$98*_xlfn.DAYS(DF5,DE5)/(IF(MOD(DF8,4)=0,366,365))</f>
        <v>0</v>
      </c>
      <c r="DG28" s="520">
        <f>Assumption!$C$98*_xlfn.DAYS(DG5,DF5)/(IF(MOD(DG8,4)=0,366,365))</f>
        <v>0</v>
      </c>
      <c r="DH28" s="520">
        <f>Assumption!$C$98*_xlfn.DAYS(DH5,DG5)/(IF(MOD(DH8,4)=0,366,365))</f>
        <v>0</v>
      </c>
      <c r="DI28" s="520">
        <f>Assumption!$C$98*_xlfn.DAYS(DI5,DH5)/(IF(MOD(DI8,4)=0,366,365))</f>
        <v>0</v>
      </c>
      <c r="DJ28" s="520">
        <f>Assumption!$C$98*_xlfn.DAYS(DJ5,DI5)/(IF(MOD(DJ8,4)=0,366,365))</f>
        <v>0</v>
      </c>
      <c r="DK28" s="520">
        <f>Assumption!$C$98*_xlfn.DAYS(DK5,DJ5)/(IF(MOD(DK8,4)=0,366,365))</f>
        <v>0</v>
      </c>
      <c r="DL28" s="520">
        <f>Assumption!$C$98*_xlfn.DAYS(DL5,DK5)/(IF(MOD(DL8,4)=0,366,365))</f>
        <v>0</v>
      </c>
      <c r="DM28" s="520">
        <f>Assumption!$C$98*_xlfn.DAYS(DM5,DL5)/(IF(MOD(DM8,4)=0,366,365))</f>
        <v>0</v>
      </c>
      <c r="DN28" s="520">
        <f>Assumption!$C$98*_xlfn.DAYS(DN5,DM5)/(IF(MOD(DN8,4)=0,366,365))</f>
        <v>0</v>
      </c>
      <c r="DO28" s="520">
        <f>Assumption!$C$98*_xlfn.DAYS(DO5,DN5)/(IF(MOD(DO8,4)=0,366,365))</f>
        <v>0</v>
      </c>
      <c r="DP28" s="520">
        <f>Assumption!$C$98*_xlfn.DAYS(DP5,DO5)/(IF(MOD(DP8,4)=0,366,365))</f>
        <v>0</v>
      </c>
      <c r="DQ28" s="520">
        <f>Assumption!$C$98*_xlfn.DAYS(DQ5,DP5)/(IF(MOD(DQ8,4)=0,366,365))</f>
        <v>0</v>
      </c>
      <c r="DR28" s="520">
        <f>Assumption!$C$98*_xlfn.DAYS(DR5,DQ5)/(IF(MOD(DR8,4)=0,366,365))</f>
        <v>0</v>
      </c>
      <c r="DS28" s="520">
        <f>Assumption!$C$98*_xlfn.DAYS(DS5,DR5)/(IF(MOD(DS8,4)=0,366,365))</f>
        <v>0</v>
      </c>
      <c r="DT28" s="520">
        <f>Assumption!$C$98*_xlfn.DAYS(DT5,DS5)/(IF(MOD(DT8,4)=0,366,365))</f>
        <v>0</v>
      </c>
      <c r="DU28" s="520">
        <f>Assumption!$C$98*_xlfn.DAYS(DU5,DT5)/(IF(MOD(DU8,4)=0,366,365))</f>
        <v>0</v>
      </c>
      <c r="DV28" s="520">
        <f>Assumption!$C$98*_xlfn.DAYS(DV5,DU5)/(IF(MOD(DV8,4)=0,366,365))</f>
        <v>0</v>
      </c>
      <c r="DW28" s="520">
        <f>Assumption!$C$98*_xlfn.DAYS(DW5,DV5)/(IF(MOD(DW8,4)=0,366,365))</f>
        <v>0</v>
      </c>
      <c r="DX28" s="520">
        <f>Assumption!$C$98*_xlfn.DAYS(DX5,DW5)/(IF(MOD(DX8,4)=0,366,365))</f>
        <v>0</v>
      </c>
      <c r="DY28" s="520">
        <f>Assumption!$C$98*_xlfn.DAYS(DY5,DX5)/(IF(MOD(DY8,4)=0,366,365))</f>
        <v>0</v>
      </c>
      <c r="DZ28" s="520">
        <f>Assumption!$C$98*_xlfn.DAYS(DZ5,DY5)/(IF(MOD(DZ8,4)=0,366,365))</f>
        <v>0</v>
      </c>
      <c r="EA28" s="520">
        <f>Assumption!$C$98*_xlfn.DAYS(EA5,DZ5)/(IF(MOD(EA8,4)=0,366,365))</f>
        <v>0</v>
      </c>
      <c r="EB28" s="520">
        <f>Assumption!$C$98*_xlfn.DAYS(EB5,EA5)/(IF(MOD(EB8,4)=0,366,365))</f>
        <v>0</v>
      </c>
      <c r="EC28" s="520">
        <f>Assumption!$C$98*_xlfn.DAYS(EC5,EB5)/(IF(MOD(EC8,4)=0,366,365))</f>
        <v>0</v>
      </c>
      <c r="ED28" s="520">
        <f>Assumption!$C$98*_xlfn.DAYS(ED5,EC5)/(IF(MOD(ED8,4)=0,366,365))</f>
        <v>0</v>
      </c>
      <c r="EE28" s="520">
        <f>Assumption!$C$98*_xlfn.DAYS(EE5,ED5)/(IF(MOD(EE8,4)=0,366,365))</f>
        <v>0</v>
      </c>
      <c r="EF28" s="520">
        <f>Assumption!$C$98*_xlfn.DAYS(EF5,EE5)/(IF(MOD(EF8,4)=0,366,365))</f>
        <v>0</v>
      </c>
      <c r="EG28" s="520">
        <f>Assumption!$C$98*_xlfn.DAYS(EG5,EF5)/(IF(MOD(EG8,4)=0,366,365))</f>
        <v>0</v>
      </c>
      <c r="EH28" s="520">
        <f>Assumption!$C$98*_xlfn.DAYS(EH5,EG5)/(IF(MOD(EH8,4)=0,366,365))</f>
        <v>0</v>
      </c>
      <c r="EI28" s="520">
        <f>Assumption!$C$98*_xlfn.DAYS(EI5,EH5)/(IF(MOD(EI8,4)=0,366,365))</f>
        <v>0</v>
      </c>
      <c r="EJ28" s="520">
        <f>Assumption!$C$98*_xlfn.DAYS(EJ5,EI5)/(IF(MOD(EJ8,4)=0,366,365))</f>
        <v>0</v>
      </c>
      <c r="EK28" s="520">
        <f>Assumption!$C$98*_xlfn.DAYS(EK5,EJ5)/(IF(MOD(EK8,4)=0,366,365))</f>
        <v>0</v>
      </c>
      <c r="EL28" s="520">
        <f>Assumption!$C$98*_xlfn.DAYS(EL5,EK5)/(IF(MOD(EL8,4)=0,366,365))</f>
        <v>0</v>
      </c>
      <c r="EM28" s="520">
        <f>Assumption!$C$98*_xlfn.DAYS(EM5,EL5)/(IF(MOD(EM8,4)=0,366,365))</f>
        <v>0</v>
      </c>
      <c r="EN28" s="520">
        <f>Assumption!$C$98*_xlfn.DAYS(EN5,EM5)/(IF(MOD(EN8,4)=0,366,365))</f>
        <v>0</v>
      </c>
      <c r="EO28" s="520">
        <f>Assumption!$C$98*_xlfn.DAYS(EO5,EN5)/(IF(MOD(EO8,4)=0,366,365))</f>
        <v>0</v>
      </c>
      <c r="EP28" s="520">
        <f>Assumption!$C$98*_xlfn.DAYS(EP5,EO5)/(IF(MOD(EP8,4)=0,366,365))</f>
        <v>0</v>
      </c>
      <c r="EQ28" s="520">
        <f>Assumption!$C$98*_xlfn.DAYS(EQ5,EP5)/(IF(MOD(EQ8,4)=0,366,365))</f>
        <v>0</v>
      </c>
      <c r="ER28" s="520">
        <f>Assumption!$C$98*_xlfn.DAYS(ER5,EQ5)/(IF(MOD(ER8,4)=0,366,365))</f>
        <v>0</v>
      </c>
      <c r="ES28" s="520">
        <f>Assumption!$C$98*_xlfn.DAYS(ES5,ER5)/(IF(MOD(ES8,4)=0,366,365))</f>
        <v>0</v>
      </c>
      <c r="ET28" s="520">
        <f>Assumption!$C$98*_xlfn.DAYS(ET5,ES5)/(IF(MOD(ET8,4)=0,366,365))</f>
        <v>0</v>
      </c>
      <c r="EU28" s="520">
        <f>Assumption!$C$98*_xlfn.DAYS(EU5,ET5)/(IF(MOD(EU8,4)=0,366,365))</f>
        <v>0</v>
      </c>
      <c r="EV28" s="520">
        <f>Assumption!$C$98*_xlfn.DAYS(EV5,EU5)/(IF(MOD(EV8,4)=0,366,365))</f>
        <v>0</v>
      </c>
      <c r="EW28" s="520">
        <f>Assumption!$C$98*_xlfn.DAYS(EW5,EV5)/(IF(MOD(EW8,4)=0,366,365))</f>
        <v>0</v>
      </c>
      <c r="EX28" s="520">
        <f>Assumption!$C$98*_xlfn.DAYS(EX5,EW5)/(IF(MOD(EX8,4)=0,366,365))</f>
        <v>0</v>
      </c>
      <c r="EY28" s="520">
        <f>Assumption!$C$98*_xlfn.DAYS(EY5,EX5)/(IF(MOD(EY8,4)=0,366,365))</f>
        <v>0</v>
      </c>
      <c r="EZ28" s="520">
        <f>Assumption!$C$98*_xlfn.DAYS(EZ5,EY5)/(IF(MOD(EZ8,4)=0,366,365))</f>
        <v>0</v>
      </c>
      <c r="FA28" s="520">
        <f>Assumption!$C$98*_xlfn.DAYS(FA5,EZ5)/(IF(MOD(FA8,4)=0,366,365))</f>
        <v>0</v>
      </c>
      <c r="FB28" s="520">
        <f>Assumption!$C$98*_xlfn.DAYS(FB5,FA5)/(IF(MOD(FB8,4)=0,366,365))</f>
        <v>0</v>
      </c>
      <c r="FC28" s="520">
        <f>Assumption!$C$98*_xlfn.DAYS(FC5,FB5)/(IF(MOD(FC8,4)=0,366,365))</f>
        <v>0</v>
      </c>
      <c r="FD28" s="520">
        <f>Assumption!$C$98*_xlfn.DAYS(FD5,FC5)/(IF(MOD(FD8,4)=0,366,365))</f>
        <v>0</v>
      </c>
      <c r="FE28" s="520">
        <f>Assumption!$C$98*_xlfn.DAYS(FE5,FD5)/(IF(MOD(FE8,4)=0,366,365))</f>
        <v>0</v>
      </c>
      <c r="FF28" s="520">
        <f>Assumption!$C$98*_xlfn.DAYS(FF5,FE5)/(IF(MOD(FF8,4)=0,366,365))</f>
        <v>0</v>
      </c>
      <c r="FG28" s="520">
        <f>Assumption!$C$98*_xlfn.DAYS(FG5,FF5)/(IF(MOD(FG8,4)=0,366,365))</f>
        <v>0</v>
      </c>
      <c r="FH28" s="520">
        <f>Assumption!$C$98*_xlfn.DAYS(FH5,FG5)/(IF(MOD(FH8,4)=0,366,365))</f>
        <v>0</v>
      </c>
      <c r="FI28" s="520">
        <f>Assumption!$C$98*_xlfn.DAYS(FI5,FH5)/(IF(MOD(FI8,4)=0,366,365))</f>
        <v>0</v>
      </c>
      <c r="FJ28" s="520">
        <f>Assumption!$C$98*_xlfn.DAYS(FJ5,FI5)/(IF(MOD(FJ8,4)=0,366,365))</f>
        <v>0</v>
      </c>
      <c r="FK28" s="520">
        <f>Assumption!$C$98*_xlfn.DAYS(FK5,FJ5)/(IF(MOD(FK8,4)=0,366,365))</f>
        <v>0</v>
      </c>
      <c r="FL28" s="520">
        <f>Assumption!$C$98*_xlfn.DAYS(FL5,FK5)/(IF(MOD(FL8,4)=0,366,365))</f>
        <v>0</v>
      </c>
      <c r="FM28" s="520">
        <f>Assumption!$C$98*_xlfn.DAYS(FM5,FL5)/(IF(MOD(FM8,4)=0,366,365))</f>
        <v>0</v>
      </c>
      <c r="FN28" s="520">
        <f>Assumption!$C$98*_xlfn.DAYS(FN5,FM5)/(IF(MOD(FN8,4)=0,366,365))</f>
        <v>0</v>
      </c>
      <c r="FO28" s="520">
        <f>Assumption!$C$98*_xlfn.DAYS(FO5,FN5)/(IF(MOD(FO8,4)=0,366,365))</f>
        <v>0</v>
      </c>
      <c r="FP28" s="520">
        <f>Assumption!$C$98*_xlfn.DAYS(FP5,FO5)/(IF(MOD(FP8,4)=0,366,365))</f>
        <v>0</v>
      </c>
      <c r="FQ28" s="520">
        <f>Assumption!$C$98*_xlfn.DAYS(FQ5,FP5)/(IF(MOD(FQ8,4)=0,366,365))</f>
        <v>0</v>
      </c>
      <c r="FR28" s="520">
        <f>Assumption!$C$98*_xlfn.DAYS(FR5,FQ5)/(IF(MOD(FR8,4)=0,366,365))</f>
        <v>0</v>
      </c>
      <c r="FS28" s="520">
        <f>Assumption!$C$98*_xlfn.DAYS(FS5,FR5)/(IF(MOD(FS8,4)=0,366,365))</f>
        <v>0</v>
      </c>
      <c r="FT28" s="520">
        <f>Assumption!$C$98*_xlfn.DAYS(FT5,FS5)/(IF(MOD(FT8,4)=0,366,365))</f>
        <v>0</v>
      </c>
      <c r="FU28" s="520">
        <f>Assumption!$C$98*_xlfn.DAYS(FU5,FT5)/(IF(MOD(FU8,4)=0,366,365))</f>
        <v>0</v>
      </c>
      <c r="FV28" s="520"/>
      <c r="FW28" s="520"/>
      <c r="FX28" s="520"/>
      <c r="FY28" s="520"/>
      <c r="FZ28" s="520"/>
      <c r="GA28" s="520"/>
      <c r="GB28" s="520"/>
      <c r="GC28" s="520"/>
      <c r="GD28" s="520"/>
      <c r="GE28" s="520"/>
      <c r="GF28" s="521"/>
    </row>
    <row r="29" spans="3:188" x14ac:dyDescent="0.3">
      <c r="C29" s="105" t="s">
        <v>737</v>
      </c>
      <c r="D29" s="562">
        <f t="shared" si="215"/>
        <v>600.34495822104907</v>
      </c>
      <c r="E29" s="516"/>
      <c r="F29" s="517">
        <f>E26*Assumption!$C$97*_xlfn.DAYS(F5,E5)/(IF(MOD(F8,4)=0,366,365))</f>
        <v>2.7602739726027399</v>
      </c>
      <c r="G29" s="517">
        <f>F26*Assumption!$C$97*_xlfn.DAYS(G5,F5)/(IF(MOD(G8,4)=0,366,365))</f>
        <v>2.6712328767123288</v>
      </c>
      <c r="H29" s="517">
        <f>G26*Assumption!$C$97*_xlfn.DAYS(H5,G5)/(IF(MOD(H8,4)=0,366,365))</f>
        <v>2.7602739726027399</v>
      </c>
      <c r="I29" s="517">
        <f>H26*Assumption!$C$97*_xlfn.DAYS(I5,H5)/(IF(MOD(I8,4)=0,366,365))</f>
        <v>2.7527322404371586</v>
      </c>
      <c r="J29" s="517">
        <f>I26*Assumption!$C$97*_xlfn.DAYS(J5,I5)/(IF(MOD(J8,4)=0,366,365))</f>
        <v>4.9521857923497263</v>
      </c>
      <c r="K29" s="517">
        <f>J26*Assumption!$C$97*_xlfn.DAYS(K5,J5)/(IF(MOD(K8,4)=0,366,365))</f>
        <v>5.2937158469945356</v>
      </c>
      <c r="L29" s="517">
        <f>K26*Assumption!$C$97*_xlfn.DAYS(L5,K5)/(IF(MOD(L8,4)=0,366,365))</f>
        <v>5.1229508196721314</v>
      </c>
      <c r="M29" s="517">
        <f>L26*Assumption!$C$97*_xlfn.DAYS(M5,L5)/(IF(MOD(M8,4)=0,366,365))</f>
        <v>5.2937158469945356</v>
      </c>
      <c r="N29" s="517">
        <f>M26*Assumption!$C$97*_xlfn.DAYS(N5,M5)/(IF(MOD(N8,4)=0,366,365))</f>
        <v>5.1229508196721314</v>
      </c>
      <c r="O29" s="517">
        <f>N26*Assumption!$C$97*_xlfn.DAYS(O5,N5)/(IF(MOD(O8,4)=0,366,365))</f>
        <v>5.7172131147540988</v>
      </c>
      <c r="P29" s="517">
        <f>O26*Assumption!$C$97*_xlfn.DAYS(P5,O5)/(IF(MOD(P8,4)=0,366,365))</f>
        <v>5.7172131147540988</v>
      </c>
      <c r="Q29" s="517">
        <f>P26*Assumption!$C$97*_xlfn.DAYS(Q5,P5)/(IF(MOD(Q8,4)=0,366,365))</f>
        <v>5.5327868852459012</v>
      </c>
      <c r="R29" s="517">
        <f>Q26*Assumption!$C$97*_xlfn.DAYS(R5,Q5)/(IF(MOD(R8,4)=0,366,365))</f>
        <v>5.7172131147540988</v>
      </c>
      <c r="S29" s="517">
        <f>R26*Assumption!$C$97*_xlfn.DAYS(S5,R5)/(IF(MOD(S8,4)=0,366,365))</f>
        <v>5.5327868852459012</v>
      </c>
      <c r="T29" s="517">
        <f>S26*Assumption!$C$97*_xlfn.DAYS(T5,S5)/(IF(MOD(T8,4)=0,366,365))</f>
        <v>5.7172131147540988</v>
      </c>
      <c r="U29" s="517">
        <f>T26*Assumption!$C$97*_xlfn.DAYS(U5,T5)/(IF(MOD(U8,4)=0,366,365))</f>
        <v>5.7328767123287667</v>
      </c>
      <c r="V29" s="517">
        <f>U26*Assumption!$C$97*_xlfn.DAYS(V5,U5)/(IF(MOD(V8,4)=0,366,365))</f>
        <v>5.1780821917808222</v>
      </c>
      <c r="W29" s="517">
        <f>V26*Assumption!$C$97*_xlfn.DAYS(W5,V5)/(IF(MOD(W8,4)=0,366,365))</f>
        <v>5.7328767123287667</v>
      </c>
      <c r="X29" s="517">
        <f>W26*Assumption!$C$97*_xlfn.DAYS(X5,W5)/(IF(MOD(X8,4)=0,366,365))</f>
        <v>5.5479452054794525</v>
      </c>
      <c r="Y29" s="517">
        <f>X26*Assumption!$C$97*_xlfn.DAYS(Y5,X5)/(IF(MOD(Y8,4)=0,366,365))</f>
        <v>5.7328767123287667</v>
      </c>
      <c r="Z29" s="517">
        <f>Y26*Assumption!$C$97*_xlfn.DAYS(Z5,Y5)/(IF(MOD(Z8,4)=0,366,365))</f>
        <v>5.5479452054794525</v>
      </c>
      <c r="AA29" s="517">
        <f>Z26*Assumption!$C$97*_xlfn.DAYS(AA5,Z5)/(IF(MOD(AA8,4)=0,366,365))</f>
        <v>5.7328767123287667</v>
      </c>
      <c r="AB29" s="517">
        <f>AA26*Assumption!$C$97*_xlfn.DAYS(AB5,AA5)/(IF(MOD(AB8,4)=0,366,365))</f>
        <v>5.7328767123287667</v>
      </c>
      <c r="AC29" s="517">
        <f>AB26*Assumption!$C$97*_xlfn.DAYS(AC5,AB5)/(IF(MOD(AC8,4)=0,366,365))</f>
        <v>5.5479452054794525</v>
      </c>
      <c r="AD29" s="517">
        <f>AC26*Assumption!$C$97*_xlfn.DAYS(AD5,AC5)/(IF(MOD(AD8,4)=0,366,365))</f>
        <v>5.7328767123287667</v>
      </c>
      <c r="AE29" s="517">
        <f>AD26*Assumption!$C$97*_xlfn.DAYS(AE5,AD5)/(IF(MOD(AE8,4)=0,366,365))</f>
        <v>5.5479452054794525</v>
      </c>
      <c r="AF29" s="517">
        <f>AE26*Assumption!$C$97*_xlfn.DAYS(AF5,AE5)/(IF(MOD(AF8,4)=0,366,365))</f>
        <v>5.7328767123287667</v>
      </c>
      <c r="AG29" s="517">
        <f>AF26*Assumption!$C$97*_xlfn.DAYS(AG5,AF5)/(IF(MOD(AG8,4)=0,366,365))</f>
        <v>5.7328767123287667</v>
      </c>
      <c r="AH29" s="517">
        <f>AG26*Assumption!$C$97*_xlfn.DAYS(AH5,AG5)/(IF(MOD(AH8,4)=0,366,365))</f>
        <v>5.1780821917808222</v>
      </c>
      <c r="AI29" s="517">
        <f>AH26*Assumption!$C$97*_xlfn.DAYS(AI5,AH5)/(IF(MOD(AI8,4)=0,366,365))</f>
        <v>5.7328767123287667</v>
      </c>
      <c r="AJ29" s="517">
        <f>AI26*Assumption!$C$97*_xlfn.DAYS(AJ5,AI5)/(IF(MOD(AJ8,4)=0,366,365))</f>
        <v>5.5479452054794525</v>
      </c>
      <c r="AK29" s="517">
        <f>AJ26*Assumption!$C$97*_xlfn.DAYS(AK5,AJ5)/(IF(MOD(AK8,4)=0,366,365))</f>
        <v>5.7328767123287667</v>
      </c>
      <c r="AL29" s="517">
        <f>AK26*Assumption!$C$97*_xlfn.DAYS(AL5,AK5)/(IF(MOD(AL8,4)=0,366,365))</f>
        <v>5.5479452054794525</v>
      </c>
      <c r="AM29" s="517">
        <f>AL26*Assumption!$C$97*_xlfn.DAYS(AM5,AL5)/(IF(MOD(AM8,4)=0,366,365))</f>
        <v>5.7328767123287667</v>
      </c>
      <c r="AN29" s="517">
        <f>AM26*Assumption!$C$97*_xlfn.DAYS(AN5,AM5)/(IF(MOD(AN8,4)=0,366,365))</f>
        <v>5.7328767123287667</v>
      </c>
      <c r="AO29" s="517">
        <f>AN26*Assumption!$C$97*_xlfn.DAYS(AO5,AN5)/(IF(MOD(AO8,4)=0,366,365))</f>
        <v>5.5479452054794525</v>
      </c>
      <c r="AP29" s="517">
        <f>AO26*Assumption!$C$97*_xlfn.DAYS(AP5,AO5)/(IF(MOD(AP8,4)=0,366,365))</f>
        <v>5.7328767123287667</v>
      </c>
      <c r="AQ29" s="517">
        <f>AP26*Assumption!$C$97*_xlfn.DAYS(AQ5,AP5)/(IF(MOD(AQ8,4)=0,366,365))</f>
        <v>5.5479452054794525</v>
      </c>
      <c r="AR29" s="517">
        <f>AQ26*Assumption!$C$97*_xlfn.DAYS(AR5,AQ5)/(IF(MOD(AR8,4)=0,366,365))</f>
        <v>5.7328767123287667</v>
      </c>
      <c r="AS29" s="517">
        <f>AR26*Assumption!$C$97*_xlfn.DAYS(AS5,AR5)/(IF(MOD(AS8,4)=0,366,365))</f>
        <v>5.6134417808219181</v>
      </c>
      <c r="AT29" s="517">
        <f>AS26*Assumption!$C$97*_xlfn.DAYS(AT5,AS5)/(IF(MOD(AT8,4)=0,366,365))</f>
        <v>5.0702054794520546</v>
      </c>
      <c r="AU29" s="517">
        <f>AT26*Assumption!$C$97*_xlfn.DAYS(AU5,AT5)/(IF(MOD(AU8,4)=0,366,365))</f>
        <v>5.6134417808219181</v>
      </c>
      <c r="AV29" s="517">
        <f>AU26*Assumption!$C$97*_xlfn.DAYS(AV5,AU5)/(IF(MOD(AV8,4)=0,366,365))</f>
        <v>5.3167808219178081</v>
      </c>
      <c r="AW29" s="517">
        <f>AV26*Assumption!$C$97*_xlfn.DAYS(AW5,AV5)/(IF(MOD(AW8,4)=0,366,365))</f>
        <v>5.4940068493150687</v>
      </c>
      <c r="AX29" s="517">
        <f>AW26*Assumption!$C$97*_xlfn.DAYS(AX5,AW5)/(IF(MOD(AX8,4)=0,366,365))</f>
        <v>5.3167808219178081</v>
      </c>
      <c r="AY29" s="517">
        <f>AX26*Assumption!$C$97*_xlfn.DAYS(AY5,AX5)/(IF(MOD(AY8,4)=0,366,365))</f>
        <v>5.3745719178082192</v>
      </c>
      <c r="AZ29" s="517">
        <f>AY26*Assumption!$C$97*_xlfn.DAYS(AZ5,AY5)/(IF(MOD(AZ8,4)=0,366,365))</f>
        <v>5.3745719178082192</v>
      </c>
      <c r="BA29" s="517">
        <f>AZ26*Assumption!$C$97*_xlfn.DAYS(BA5,AZ5)/(IF(MOD(BA8,4)=0,366,365))</f>
        <v>5.2011986301369859</v>
      </c>
      <c r="BB29" s="517">
        <f>BA26*Assumption!$C$97*_xlfn.DAYS(BB5,BA5)/(IF(MOD(BB8,4)=0,366,365))</f>
        <v>5.2551369863013697</v>
      </c>
      <c r="BC29" s="517">
        <f>BB26*Assumption!$C$97*_xlfn.DAYS(BC5,BB5)/(IF(MOD(BC8,4)=0,366,365))</f>
        <v>5.0856164383561646</v>
      </c>
      <c r="BD29" s="517">
        <f>BC26*Assumption!$C$97*_xlfn.DAYS(BD5,BC5)/(IF(MOD(BD8,4)=0,366,365))</f>
        <v>5.2551369863013697</v>
      </c>
      <c r="BE29" s="517">
        <f>BD26*Assumption!$C$97*_xlfn.DAYS(BE5,BD5)/(IF(MOD(BE8,4)=0,366,365))</f>
        <v>5.1216700819672134</v>
      </c>
      <c r="BF29" s="517">
        <f>BE26*Assumption!$C$97*_xlfn.DAYS(BF5,BE5)/(IF(MOD(BF8,4)=0,366,365))</f>
        <v>4.7912397540983607</v>
      </c>
      <c r="BG29" s="517">
        <f>BF26*Assumption!$C$97*_xlfn.DAYS(BG5,BF5)/(IF(MOD(BG8,4)=0,366,365))</f>
        <v>5.1216700819672134</v>
      </c>
      <c r="BH29" s="517">
        <f>BG26*Assumption!$C$97*_xlfn.DAYS(BH5,BG5)/(IF(MOD(BH8,4)=0,366,365))</f>
        <v>4.841188524590164</v>
      </c>
      <c r="BI29" s="517">
        <f>BH26*Assumption!$C$97*_xlfn.DAYS(BI5,BH5)/(IF(MOD(BI8,4)=0,366,365))</f>
        <v>5.002561475409836</v>
      </c>
      <c r="BJ29" s="517">
        <f>BI26*Assumption!$C$97*_xlfn.DAYS(BJ5,BI5)/(IF(MOD(BJ8,4)=0,366,365))</f>
        <v>4.841188524590164</v>
      </c>
      <c r="BK29" s="517">
        <f>BJ26*Assumption!$C$97*_xlfn.DAYS(BK5,BJ5)/(IF(MOD(BK8,4)=0,366,365))</f>
        <v>4.8834528688524594</v>
      </c>
      <c r="BL29" s="517">
        <f>BK26*Assumption!$C$97*_xlfn.DAYS(BL5,BK5)/(IF(MOD(BL8,4)=0,366,365))</f>
        <v>4.8834528688524594</v>
      </c>
      <c r="BM29" s="517">
        <f>BL26*Assumption!$C$97*_xlfn.DAYS(BM5,BL5)/(IF(MOD(BM8,4)=0,366,365))</f>
        <v>4.7259221311475406</v>
      </c>
      <c r="BN29" s="517">
        <f>BM26*Assumption!$C$97*_xlfn.DAYS(BN5,BM5)/(IF(MOD(BN8,4)=0,366,365))</f>
        <v>4.764344262295082</v>
      </c>
      <c r="BO29" s="517">
        <f>BN26*Assumption!$C$97*_xlfn.DAYS(BO5,BN5)/(IF(MOD(BO8,4)=0,366,365))</f>
        <v>4.610655737704918</v>
      </c>
      <c r="BP29" s="517">
        <f>BO26*Assumption!$C$97*_xlfn.DAYS(BP5,BO5)/(IF(MOD(BP8,4)=0,366,365))</f>
        <v>4.764344262295082</v>
      </c>
      <c r="BQ29" s="517">
        <f>BP26*Assumption!$C$97*_xlfn.DAYS(BQ5,BP5)/(IF(MOD(BQ8,4)=0,366,365))</f>
        <v>4.6579623287671232</v>
      </c>
      <c r="BR29" s="517">
        <f>BQ26*Assumption!$C$97*_xlfn.DAYS(BR5,BQ5)/(IF(MOD(BR8,4)=0,366,365))</f>
        <v>4.2071917808219181</v>
      </c>
      <c r="BS29" s="517">
        <f>BR26*Assumption!$C$97*_xlfn.DAYS(BS5,BR5)/(IF(MOD(BS8,4)=0,366,365))</f>
        <v>4.6579623287671232</v>
      </c>
      <c r="BT29" s="517">
        <f>BS26*Assumption!$C$97*_xlfn.DAYS(BT5,BS5)/(IF(MOD(BT8,4)=0,366,365))</f>
        <v>4.3921232876712333</v>
      </c>
      <c r="BU29" s="517">
        <f>BT26*Assumption!$C$97*_xlfn.DAYS(BU5,BT5)/(IF(MOD(BU8,4)=0,366,365))</f>
        <v>4.5385273972602738</v>
      </c>
      <c r="BV29" s="517">
        <f>BU26*Assumption!$C$97*_xlfn.DAYS(BV5,BU5)/(IF(MOD(BV8,4)=0,366,365))</f>
        <v>4.3921232876712333</v>
      </c>
      <c r="BW29" s="517">
        <f>BV26*Assumption!$C$97*_xlfn.DAYS(BW5,BV5)/(IF(MOD(BW8,4)=0,366,365))</f>
        <v>4.4190924657534243</v>
      </c>
      <c r="BX29" s="517">
        <f>BW26*Assumption!$C$97*_xlfn.DAYS(BX5,BW5)/(IF(MOD(BX8,4)=0,366,365))</f>
        <v>4.4190924657534243</v>
      </c>
      <c r="BY29" s="517">
        <f>BX26*Assumption!$C$97*_xlfn.DAYS(BY5,BX5)/(IF(MOD(BY8,4)=0,366,365))</f>
        <v>4.2765410958904111</v>
      </c>
      <c r="BZ29" s="517">
        <f>BY26*Assumption!$C$97*_xlfn.DAYS(BZ5,BY5)/(IF(MOD(BZ8,4)=0,366,365))</f>
        <v>4.2996575342465757</v>
      </c>
      <c r="CA29" s="517">
        <f>BZ26*Assumption!$C$97*_xlfn.DAYS(CA5,BZ5)/(IF(MOD(CA8,4)=0,366,365))</f>
        <v>4.1609589041095889</v>
      </c>
      <c r="CB29" s="517">
        <f>CA26*Assumption!$C$97*_xlfn.DAYS(CB5,CA5)/(IF(MOD(CB8,4)=0,366,365))</f>
        <v>4.2996575342465757</v>
      </c>
      <c r="CC29" s="517">
        <f>CB26*Assumption!$C$97*_xlfn.DAYS(CC5,CB5)/(IF(MOD(CC8,4)=0,366,365))</f>
        <v>4.1802226027397262</v>
      </c>
      <c r="CD29" s="517">
        <f>CC26*Assumption!$C$97*_xlfn.DAYS(CD5,CC5)/(IF(MOD(CD8,4)=0,366,365))</f>
        <v>3.7756849315068495</v>
      </c>
      <c r="CE29" s="517">
        <f>CD26*Assumption!$C$97*_xlfn.DAYS(CE5,CD5)/(IF(MOD(CE8,4)=0,366,365))</f>
        <v>4.1802226027397262</v>
      </c>
      <c r="CF29" s="517">
        <f>CE26*Assumption!$C$97*_xlfn.DAYS(CF5,CE5)/(IF(MOD(CF8,4)=0,366,365))</f>
        <v>3.9297945205479454</v>
      </c>
      <c r="CG29" s="517">
        <f>CF26*Assumption!$C$97*_xlfn.DAYS(CG5,CF5)/(IF(MOD(CG8,4)=0,366,365))</f>
        <v>4.0607876712328768</v>
      </c>
      <c r="CH29" s="517">
        <f>CG26*Assumption!$C$97*_xlfn.DAYS(CH5,CG5)/(IF(MOD(CH8,4)=0,366,365))</f>
        <v>3.9297945205479454</v>
      </c>
      <c r="CI29" s="517">
        <f>CH26*Assumption!$C$97*_xlfn.DAYS(CI5,CH5)/(IF(MOD(CI8,4)=0,366,365))</f>
        <v>3.9413527397260273</v>
      </c>
      <c r="CJ29" s="517">
        <f>CI26*Assumption!$C$97*_xlfn.DAYS(CJ5,CI5)/(IF(MOD(CJ8,4)=0,366,365))</f>
        <v>3.9413527397260273</v>
      </c>
      <c r="CK29" s="517">
        <f>CJ26*Assumption!$C$97*_xlfn.DAYS(CK5,CJ5)/(IF(MOD(CK8,4)=0,366,365))</f>
        <v>3.8142123287671232</v>
      </c>
      <c r="CL29" s="517">
        <f>CK26*Assumption!$C$97*_xlfn.DAYS(CL5,CK5)/(IF(MOD(CL8,4)=0,366,365))</f>
        <v>3.8219178082191783</v>
      </c>
      <c r="CM29" s="517">
        <f>CL26*Assumption!$C$97*_xlfn.DAYS(CM5,CL5)/(IF(MOD(CM8,4)=0,366,365))</f>
        <v>3.6986301369863015</v>
      </c>
      <c r="CN29" s="517">
        <f>CM26*Assumption!$C$97*_xlfn.DAYS(CN5,CM5)/(IF(MOD(CN8,4)=0,366,365))</f>
        <v>3.8219178082191783</v>
      </c>
      <c r="CO29" s="517">
        <f>CN26*Assumption!$C$97*_xlfn.DAYS(CO5,CN5)/(IF(MOD(CO8,4)=0,366,365))</f>
        <v>3.7024828767123288</v>
      </c>
      <c r="CP29" s="517">
        <f>CO26*Assumption!$C$97*_xlfn.DAYS(CP5,CO5)/(IF(MOD(CP8,4)=0,366,365))</f>
        <v>3.3441780821917808</v>
      </c>
      <c r="CQ29" s="517">
        <f>CP26*Assumption!$C$97*_xlfn.DAYS(CQ5,CP5)/(IF(MOD(CQ8,4)=0,366,365))</f>
        <v>3.7024828767123288</v>
      </c>
      <c r="CR29" s="517">
        <f>CQ26*Assumption!$C$97*_xlfn.DAYS(CR5,CQ5)/(IF(MOD(CR8,4)=0,366,365))</f>
        <v>3.4674657534246576</v>
      </c>
      <c r="CS29" s="517">
        <f>CR26*Assumption!$C$97*_xlfn.DAYS(CS5,CR5)/(IF(MOD(CS8,4)=0,366,365))</f>
        <v>3.5830479452054793</v>
      </c>
      <c r="CT29" s="517">
        <f>CS26*Assumption!$C$97*_xlfn.DAYS(CT5,CS5)/(IF(MOD(CT8,4)=0,366,365))</f>
        <v>3.4674657534246576</v>
      </c>
      <c r="CU29" s="517">
        <f>CT26*Assumption!$C$97*_xlfn.DAYS(CU5,CT5)/(IF(MOD(CU8,4)=0,366,365))</f>
        <v>3.4636130136986303</v>
      </c>
      <c r="CV29" s="517">
        <f>CU26*Assumption!$C$97*_xlfn.DAYS(CV5,CU5)/(IF(MOD(CV8,4)=0,366,365))</f>
        <v>3.4636130136986303</v>
      </c>
      <c r="CW29" s="517">
        <f>CV26*Assumption!$C$97*_xlfn.DAYS(CW5,CV5)/(IF(MOD(CW8,4)=0,366,365))</f>
        <v>3.3518835616438358</v>
      </c>
      <c r="CX29" s="517">
        <f>CW26*Assumption!$C$97*_xlfn.DAYS(CX5,CW5)/(IF(MOD(CX8,4)=0,366,365))</f>
        <v>3.3441780821917808</v>
      </c>
      <c r="CY29" s="517">
        <f>CX26*Assumption!$C$97*_xlfn.DAYS(CY5,CX5)/(IF(MOD(CY8,4)=0,366,365))</f>
        <v>3.2363013698630136</v>
      </c>
      <c r="CZ29" s="517">
        <f>CY26*Assumption!$C$97*_xlfn.DAYS(CZ5,CY5)/(IF(MOD(CZ8,4)=0,366,365))</f>
        <v>3.3441780821917808</v>
      </c>
      <c r="DA29" s="517">
        <f>CZ26*Assumption!$C$97*_xlfn.DAYS(DA5,CZ5)/(IF(MOD(DA8,4)=0,366,365))</f>
        <v>3.2159323770491803</v>
      </c>
      <c r="DB29" s="517">
        <f>DA26*Assumption!$C$97*_xlfn.DAYS(DB5,DA5)/(IF(MOD(DB8,4)=0,366,365))</f>
        <v>3.008452868852459</v>
      </c>
      <c r="DC29" s="517">
        <f>DB26*Assumption!$C$97*_xlfn.DAYS(DC5,DB5)/(IF(MOD(DC8,4)=0,366,365))</f>
        <v>3.2159323770491803</v>
      </c>
      <c r="DD29" s="517">
        <f>DC26*Assumption!$C$97*_xlfn.DAYS(DD5,DC5)/(IF(MOD(DD8,4)=0,366,365))</f>
        <v>2.9969262295081966</v>
      </c>
      <c r="DE29" s="517">
        <f>DD26*Assumption!$C$97*_xlfn.DAYS(DE5,DD5)/(IF(MOD(DE8,4)=0,366,365))</f>
        <v>3.0968237704918034</v>
      </c>
      <c r="DF29" s="517">
        <f>DE26*Assumption!$C$97*_xlfn.DAYS(DF5,DE5)/(IF(MOD(DF8,4)=0,366,365))</f>
        <v>2.9969262295081966</v>
      </c>
      <c r="DG29" s="517">
        <f>DF26*Assumption!$C$97*_xlfn.DAYS(DG5,DF5)/(IF(MOD(DG8,4)=0,366,365))</f>
        <v>2.9777151639344264</v>
      </c>
      <c r="DH29" s="517">
        <f>DG26*Assumption!$C$97*_xlfn.DAYS(DH5,DG5)/(IF(MOD(DH8,4)=0,366,365))</f>
        <v>2.9777151639344264</v>
      </c>
      <c r="DI29" s="517">
        <f>DH26*Assumption!$C$97*_xlfn.DAYS(DI5,DH5)/(IF(MOD(DI8,4)=0,366,365))</f>
        <v>2.8816598360655736</v>
      </c>
      <c r="DJ29" s="517">
        <f>DI26*Assumption!$C$97*_xlfn.DAYS(DJ5,DI5)/(IF(MOD(DJ8,4)=0,366,365))</f>
        <v>2.8586065573770494</v>
      </c>
      <c r="DK29" s="517">
        <f>DJ26*Assumption!$C$97*_xlfn.DAYS(DK5,DJ5)/(IF(MOD(DK8,4)=0,366,365))</f>
        <v>2.7663934426229506</v>
      </c>
      <c r="DL29" s="517">
        <f>DK26*Assumption!$C$97*_xlfn.DAYS(DL5,DK5)/(IF(MOD(DL8,4)=0,366,365))</f>
        <v>2.8586065573770494</v>
      </c>
      <c r="DM29" s="517">
        <f>DL26*Assumption!$C$97*_xlfn.DAYS(DM5,DL5)/(IF(MOD(DM8,4)=0,366,365))</f>
        <v>2.7470034246575343</v>
      </c>
      <c r="DN29" s="517">
        <f>DM26*Assumption!$C$97*_xlfn.DAYS(DN5,DM5)/(IF(MOD(DN8,4)=0,366,365))</f>
        <v>2.4811643835616439</v>
      </c>
      <c r="DO29" s="517">
        <f>DN26*Assumption!$C$97*_xlfn.DAYS(DO5,DN5)/(IF(MOD(DO8,4)=0,366,365))</f>
        <v>2.7470034246575343</v>
      </c>
      <c r="DP29" s="517">
        <f>DO26*Assumption!$C$97*_xlfn.DAYS(DP5,DO5)/(IF(MOD(DP8,4)=0,366,365))</f>
        <v>2.5428082191780823</v>
      </c>
      <c r="DQ29" s="517">
        <f>DP26*Assumption!$C$97*_xlfn.DAYS(DQ5,DP5)/(IF(MOD(DQ8,4)=0,366,365))</f>
        <v>2.6275684931506849</v>
      </c>
      <c r="DR29" s="517">
        <f>DQ26*Assumption!$C$97*_xlfn.DAYS(DR5,DQ5)/(IF(MOD(DR8,4)=0,366,365))</f>
        <v>2.5428082191780823</v>
      </c>
      <c r="DS29" s="517">
        <f>DR26*Assumption!$C$97*_xlfn.DAYS(DS5,DR5)/(IF(MOD(DS8,4)=0,366,365))</f>
        <v>2.5081335616438358</v>
      </c>
      <c r="DT29" s="517">
        <f>DS26*Assumption!$C$97*_xlfn.DAYS(DT5,DS5)/(IF(MOD(DT8,4)=0,366,365))</f>
        <v>2.5081335616438358</v>
      </c>
      <c r="DU29" s="517">
        <f>DT26*Assumption!$C$97*_xlfn.DAYS(DU5,DT5)/(IF(MOD(DU8,4)=0,366,365))</f>
        <v>2.4272260273972601</v>
      </c>
      <c r="DV29" s="517">
        <f>DU26*Assumption!$C$97*_xlfn.DAYS(DV5,DU5)/(IF(MOD(DV8,4)=0,366,365))</f>
        <v>2.3886986301369864</v>
      </c>
      <c r="DW29" s="517">
        <f>DV26*Assumption!$C$97*_xlfn.DAYS(DW5,DV5)/(IF(MOD(DW8,4)=0,366,365))</f>
        <v>2.3116438356164384</v>
      </c>
      <c r="DX29" s="517">
        <f>DW26*Assumption!$C$97*_xlfn.DAYS(DX5,DW5)/(IF(MOD(DX8,4)=0,366,365))</f>
        <v>2.3886986301369864</v>
      </c>
      <c r="DY29" s="517">
        <f>DX26*Assumption!$C$97*_xlfn.DAYS(DY5,DX5)/(IF(MOD(DY8,4)=0,366,365))</f>
        <v>2.2692636986301369</v>
      </c>
      <c r="DZ29" s="517">
        <f>DY26*Assumption!$C$97*_xlfn.DAYS(DZ5,DY5)/(IF(MOD(DZ8,4)=0,366,365))</f>
        <v>2.0496575342465753</v>
      </c>
      <c r="EA29" s="517">
        <f>DZ26*Assumption!$C$97*_xlfn.DAYS(EA5,DZ5)/(IF(MOD(EA8,4)=0,366,365))</f>
        <v>2.2692636986301369</v>
      </c>
      <c r="EB29" s="517">
        <f>EA26*Assumption!$C$97*_xlfn.DAYS(EB5,EA5)/(IF(MOD(EB8,4)=0,366,365))</f>
        <v>2.0804794520547945</v>
      </c>
      <c r="EC29" s="517">
        <f>EB26*Assumption!$C$97*_xlfn.DAYS(EC5,EB5)/(IF(MOD(EC8,4)=0,366,365))</f>
        <v>2.1498287671232879</v>
      </c>
      <c r="ED29" s="517">
        <f>EC26*Assumption!$C$97*_xlfn.DAYS(ED5,EC5)/(IF(MOD(ED8,4)=0,366,365))</f>
        <v>2.0804794520547945</v>
      </c>
      <c r="EE29" s="517">
        <f>ED26*Assumption!$C$97*_xlfn.DAYS(EE5,ED5)/(IF(MOD(EE8,4)=0,366,365))</f>
        <v>2.0303938356164384</v>
      </c>
      <c r="EF29" s="517">
        <f>EE26*Assumption!$C$97*_xlfn.DAYS(EF5,EE5)/(IF(MOD(EF8,4)=0,366,365))</f>
        <v>2.0303938356164384</v>
      </c>
      <c r="EG29" s="517">
        <f>EF26*Assumption!$C$97*_xlfn.DAYS(EG5,EF5)/(IF(MOD(EG8,4)=0,366,365))</f>
        <v>1.9648972602739727</v>
      </c>
      <c r="EH29" s="517">
        <f>EG26*Assumption!$C$97*_xlfn.DAYS(EH5,EG5)/(IF(MOD(EH8,4)=0,366,365))</f>
        <v>1.9109589041095891</v>
      </c>
      <c r="EI29" s="517">
        <f>EH26*Assumption!$C$97*_xlfn.DAYS(EI5,EH5)/(IF(MOD(EI8,4)=0,366,365))</f>
        <v>1.8493150684931507</v>
      </c>
      <c r="EJ29" s="517">
        <f>EI26*Assumption!$C$97*_xlfn.DAYS(EJ5,EI5)/(IF(MOD(EJ8,4)=0,366,365))</f>
        <v>1.9109589041095891</v>
      </c>
      <c r="EK29" s="517">
        <f>EJ26*Assumption!$C$97*_xlfn.DAYS(EK5,EJ5)/(IF(MOD(EK8,4)=0,366,365))</f>
        <v>1.7915239726027397</v>
      </c>
      <c r="EL29" s="517">
        <f>EK26*Assumption!$C$97*_xlfn.DAYS(EL5,EK5)/(IF(MOD(EL8,4)=0,366,365))</f>
        <v>1.6181506849315068</v>
      </c>
      <c r="EM29" s="517">
        <f>EL26*Assumption!$C$97*_xlfn.DAYS(EM5,EL5)/(IF(MOD(EM8,4)=0,366,365))</f>
        <v>1.7915239726027397</v>
      </c>
      <c r="EN29" s="517">
        <f>EM26*Assumption!$C$97*_xlfn.DAYS(EN5,EM5)/(IF(MOD(EN8,4)=0,366,365))</f>
        <v>1.6181506849315068</v>
      </c>
      <c r="EO29" s="517">
        <f>EN26*Assumption!$C$97*_xlfn.DAYS(EO5,EN5)/(IF(MOD(EO8,4)=0,366,365))</f>
        <v>1.6720890410958904</v>
      </c>
      <c r="EP29" s="517">
        <f>EO26*Assumption!$C$97*_xlfn.DAYS(EP5,EO5)/(IF(MOD(EP8,4)=0,366,365))</f>
        <v>1.6181506849315068</v>
      </c>
      <c r="EQ29" s="517">
        <f>EP26*Assumption!$C$97*_xlfn.DAYS(EQ5,EP5)/(IF(MOD(EQ8,4)=0,366,365))</f>
        <v>1.5526541095890412</v>
      </c>
      <c r="ER29" s="517">
        <f>EQ26*Assumption!$C$97*_xlfn.DAYS(ER5,EQ5)/(IF(MOD(ER8,4)=0,366,365))</f>
        <v>1.5526541095890412</v>
      </c>
      <c r="ES29" s="517">
        <f>ER26*Assumption!$C$97*_xlfn.DAYS(ES5,ER5)/(IF(MOD(ES8,4)=0,366,365))</f>
        <v>1.5025684931506849</v>
      </c>
      <c r="ET29" s="517">
        <f>ES26*Assumption!$C$97*_xlfn.DAYS(ET5,ES5)/(IF(MOD(ET8,4)=0,366,365))</f>
        <v>1.4332191780821917</v>
      </c>
      <c r="EU29" s="517">
        <f>ET26*Assumption!$C$97*_xlfn.DAYS(EU5,ET5)/(IF(MOD(EU8,4)=0,366,365))</f>
        <v>1.3869863013698631</v>
      </c>
      <c r="EV29" s="517">
        <f>EU26*Assumption!$C$97*_xlfn.DAYS(EV5,EU5)/(IF(MOD(EV8,4)=0,366,365))</f>
        <v>1.4332191780821917</v>
      </c>
      <c r="EW29" s="517">
        <f>EV26*Assumption!$C$97*_xlfn.DAYS(EW5,EV5)/(IF(MOD(EW8,4)=0,366,365))</f>
        <v>1.3101946721311475</v>
      </c>
      <c r="EX29" s="517">
        <f>EW26*Assumption!$C$97*_xlfn.DAYS(EX5,EW5)/(IF(MOD(EX8,4)=0,366,365))</f>
        <v>1.2256659836065573</v>
      </c>
      <c r="EY29" s="517">
        <f>EX26*Assumption!$C$97*_xlfn.DAYS(EY5,EX5)/(IF(MOD(EY8,4)=0,366,365))</f>
        <v>1.3101946721311475</v>
      </c>
      <c r="EZ29" s="517">
        <f>EY26*Assumption!$C$97*_xlfn.DAYS(EZ5,EY5)/(IF(MOD(EZ8,4)=0,366,365))</f>
        <v>1.1526639344262295</v>
      </c>
      <c r="FA29" s="517">
        <f>EZ26*Assumption!$C$97*_xlfn.DAYS(FA5,EZ5)/(IF(MOD(FA8,4)=0,366,365))</f>
        <v>1.1910860655737705</v>
      </c>
      <c r="FB29" s="517">
        <f>FA26*Assumption!$C$97*_xlfn.DAYS(FB5,FA5)/(IF(MOD(FB8,4)=0,366,365))</f>
        <v>1.1526639344262295</v>
      </c>
      <c r="FC29" s="517">
        <f>FB26*Assumption!$C$97*_xlfn.DAYS(FC5,FB5)/(IF(MOD(FC8,4)=0,366,365))</f>
        <v>1.0719774590163935</v>
      </c>
      <c r="FD29" s="517">
        <f>FC26*Assumption!$C$97*_xlfn.DAYS(FD5,FC5)/(IF(MOD(FD8,4)=0,366,365))</f>
        <v>1.0719774590163935</v>
      </c>
      <c r="FE29" s="517">
        <f>FD26*Assumption!$C$97*_xlfn.DAYS(FE5,FD5)/(IF(MOD(FE8,4)=0,366,365))</f>
        <v>1.0373975409836065</v>
      </c>
      <c r="FF29" s="517">
        <f>FE26*Assumption!$C$97*_xlfn.DAYS(FF5,FE5)/(IF(MOD(FF8,4)=0,366,365))</f>
        <v>0.95286885245901642</v>
      </c>
      <c r="FG29" s="517">
        <f>FF26*Assumption!$C$97*_xlfn.DAYS(FG5,FF5)/(IF(MOD(FG8,4)=0,366,365))</f>
        <v>0.92213114754098358</v>
      </c>
      <c r="FH29" s="517">
        <f>FG26*Assumption!$C$97*_xlfn.DAYS(FH5,FG5)/(IF(MOD(FH8,4)=0,366,365))</f>
        <v>0.95286885245901642</v>
      </c>
      <c r="FI29" s="517">
        <f>FH26*Assumption!$C$97*_xlfn.DAYS(FI5,FH5)/(IF(MOD(FI8,4)=0,366,365))</f>
        <v>0.8360445205479452</v>
      </c>
      <c r="FJ29" s="517">
        <f>FI26*Assumption!$C$97*_xlfn.DAYS(FJ5,FI5)/(IF(MOD(FJ8,4)=0,366,365))</f>
        <v>0.75513698630136983</v>
      </c>
      <c r="FK29" s="517">
        <f>FJ26*Assumption!$C$97*_xlfn.DAYS(FK5,FJ5)/(IF(MOD(FK8,4)=0,366,365))</f>
        <v>0.8360445205479452</v>
      </c>
      <c r="FL29" s="517">
        <f>FK26*Assumption!$C$97*_xlfn.DAYS(FL5,FK5)/(IF(MOD(FL8,4)=0,366,365))</f>
        <v>0.69349315068493156</v>
      </c>
      <c r="FM29" s="517">
        <f>FL26*Assumption!$C$97*_xlfn.DAYS(FM5,FL5)/(IF(MOD(FM8,4)=0,366,365))</f>
        <v>0.71660958904109584</v>
      </c>
      <c r="FN29" s="517">
        <f>FM26*Assumption!$C$97*_xlfn.DAYS(FN5,FM5)/(IF(MOD(FN8,4)=0,366,365))</f>
        <v>0.69349315068493156</v>
      </c>
      <c r="FO29" s="517">
        <f>FN26*Assumption!$C$97*_xlfn.DAYS(FO5,FN5)/(IF(MOD(FO8,4)=0,366,365))</f>
        <v>0.59717465753424659</v>
      </c>
      <c r="FP29" s="517">
        <f>FO26*Assumption!$C$97*_xlfn.DAYS(FP5,FO5)/(IF(MOD(FP8,4)=0,366,365))</f>
        <v>0.59717465753424659</v>
      </c>
      <c r="FQ29" s="517">
        <f>FP26*Assumption!$C$97*_xlfn.DAYS(FQ5,FP5)/(IF(MOD(FQ8,4)=0,366,365))</f>
        <v>0.5779109589041096</v>
      </c>
      <c r="FR29" s="517">
        <f>FQ26*Assumption!$C$97*_xlfn.DAYS(FR5,FQ5)/(IF(MOD(FR8,4)=0,366,365))</f>
        <v>0.47773972602739728</v>
      </c>
      <c r="FS29" s="517">
        <f>FR26*Assumption!$C$97*_xlfn.DAYS(FS5,FR5)/(IF(MOD(FS8,4)=0,366,365))</f>
        <v>0.46232876712328769</v>
      </c>
      <c r="FT29" s="517">
        <f>FS26*Assumption!$C$97*_xlfn.DAYS(FT5,FS5)/(IF(MOD(FT8,4)=0,366,365))</f>
        <v>0.47773972602739728</v>
      </c>
      <c r="FU29" s="517">
        <f>FT26*Assumption!$C$97*_xlfn.DAYS(FU5,FT5)/(IF(MOD(FU8,4)=0,366,365))</f>
        <v>0.35830479452054792</v>
      </c>
      <c r="FV29" s="517"/>
      <c r="FW29" s="517"/>
      <c r="FX29" s="517"/>
      <c r="FY29" s="517"/>
      <c r="FZ29" s="517"/>
      <c r="GA29" s="517"/>
      <c r="GB29" s="517"/>
      <c r="GC29" s="517"/>
      <c r="GD29" s="517"/>
      <c r="GE29" s="517"/>
      <c r="GF29" s="518"/>
    </row>
    <row r="30" spans="3:188" x14ac:dyDescent="0.3">
      <c r="C30" s="68" t="s">
        <v>616</v>
      </c>
      <c r="D30" s="274"/>
      <c r="E30" s="236">
        <f>E55</f>
        <v>0</v>
      </c>
      <c r="F30" s="236">
        <f t="shared" ref="F30:BQ30" si="216">F55</f>
        <v>0</v>
      </c>
      <c r="G30" s="236">
        <f t="shared" si="216"/>
        <v>0</v>
      </c>
      <c r="H30" s="236">
        <f t="shared" si="216"/>
        <v>0</v>
      </c>
      <c r="I30" s="236">
        <f t="shared" si="216"/>
        <v>0</v>
      </c>
      <c r="J30" s="236">
        <f t="shared" si="216"/>
        <v>0</v>
      </c>
      <c r="K30" s="236">
        <f t="shared" si="216"/>
        <v>0</v>
      </c>
      <c r="L30" s="236">
        <f t="shared" si="216"/>
        <v>0</v>
      </c>
      <c r="M30" s="236">
        <f t="shared" si="216"/>
        <v>0</v>
      </c>
      <c r="N30" s="236">
        <f t="shared" si="216"/>
        <v>0</v>
      </c>
      <c r="O30" s="236">
        <f t="shared" si="216"/>
        <v>0</v>
      </c>
      <c r="P30" s="236">
        <f t="shared" si="216"/>
        <v>0</v>
      </c>
      <c r="Q30" s="236">
        <f t="shared" si="216"/>
        <v>0</v>
      </c>
      <c r="R30" s="236">
        <f t="shared" si="216"/>
        <v>0</v>
      </c>
      <c r="S30" s="236">
        <f t="shared" si="216"/>
        <v>0</v>
      </c>
      <c r="T30" s="236">
        <f t="shared" si="216"/>
        <v>0</v>
      </c>
      <c r="U30" s="236">
        <f t="shared" si="216"/>
        <v>0</v>
      </c>
      <c r="V30" s="236">
        <f t="shared" si="216"/>
        <v>0</v>
      </c>
      <c r="W30" s="236">
        <f t="shared" si="216"/>
        <v>0</v>
      </c>
      <c r="X30" s="236">
        <f t="shared" si="216"/>
        <v>0</v>
      </c>
      <c r="Y30" s="236">
        <f t="shared" si="216"/>
        <v>0</v>
      </c>
      <c r="Z30" s="236">
        <f t="shared" si="216"/>
        <v>0</v>
      </c>
      <c r="AA30" s="236">
        <f t="shared" si="216"/>
        <v>0</v>
      </c>
      <c r="AB30" s="236">
        <f t="shared" si="216"/>
        <v>0</v>
      </c>
      <c r="AC30" s="236">
        <f t="shared" si="216"/>
        <v>0</v>
      </c>
      <c r="AD30" s="236">
        <f t="shared" si="216"/>
        <v>0</v>
      </c>
      <c r="AE30" s="236">
        <f t="shared" si="216"/>
        <v>0</v>
      </c>
      <c r="AF30" s="236">
        <f t="shared" si="216"/>
        <v>0</v>
      </c>
      <c r="AG30" s="236">
        <f t="shared" si="216"/>
        <v>0</v>
      </c>
      <c r="AH30" s="236">
        <f t="shared" si="216"/>
        <v>0</v>
      </c>
      <c r="AI30" s="236">
        <f t="shared" si="216"/>
        <v>0</v>
      </c>
      <c r="AJ30" s="236">
        <f t="shared" si="216"/>
        <v>0</v>
      </c>
      <c r="AK30" s="236">
        <f t="shared" si="216"/>
        <v>0</v>
      </c>
      <c r="AL30" s="236">
        <f t="shared" si="216"/>
        <v>0</v>
      </c>
      <c r="AM30" s="236">
        <f t="shared" si="216"/>
        <v>0</v>
      </c>
      <c r="AN30" s="236">
        <f t="shared" si="216"/>
        <v>0</v>
      </c>
      <c r="AO30" s="236">
        <f t="shared" si="216"/>
        <v>0</v>
      </c>
      <c r="AP30" s="236">
        <f t="shared" si="216"/>
        <v>0</v>
      </c>
      <c r="AQ30" s="236">
        <f t="shared" si="216"/>
        <v>0</v>
      </c>
      <c r="AR30" s="236">
        <f t="shared" si="216"/>
        <v>0</v>
      </c>
      <c r="AS30" s="236">
        <f t="shared" si="216"/>
        <v>0</v>
      </c>
      <c r="AT30" s="236">
        <f t="shared" si="216"/>
        <v>0</v>
      </c>
      <c r="AU30" s="236">
        <f t="shared" si="216"/>
        <v>0</v>
      </c>
      <c r="AV30" s="236">
        <f t="shared" si="216"/>
        <v>0</v>
      </c>
      <c r="AW30" s="236">
        <f t="shared" si="216"/>
        <v>0</v>
      </c>
      <c r="AX30" s="236">
        <f t="shared" si="216"/>
        <v>0</v>
      </c>
      <c r="AY30" s="236">
        <f t="shared" si="216"/>
        <v>0</v>
      </c>
      <c r="AZ30" s="236">
        <f t="shared" si="216"/>
        <v>0</v>
      </c>
      <c r="BA30" s="236">
        <f t="shared" si="216"/>
        <v>0</v>
      </c>
      <c r="BB30" s="236">
        <f t="shared" si="216"/>
        <v>0</v>
      </c>
      <c r="BC30" s="236">
        <f t="shared" si="216"/>
        <v>0</v>
      </c>
      <c r="BD30" s="236">
        <f t="shared" si="216"/>
        <v>0</v>
      </c>
      <c r="BE30" s="236">
        <f t="shared" si="216"/>
        <v>0</v>
      </c>
      <c r="BF30" s="236">
        <f t="shared" si="216"/>
        <v>0</v>
      </c>
      <c r="BG30" s="236">
        <f t="shared" si="216"/>
        <v>0</v>
      </c>
      <c r="BH30" s="236">
        <f t="shared" si="216"/>
        <v>0</v>
      </c>
      <c r="BI30" s="236">
        <f t="shared" si="216"/>
        <v>0</v>
      </c>
      <c r="BJ30" s="236">
        <f t="shared" si="216"/>
        <v>0</v>
      </c>
      <c r="BK30" s="236">
        <f t="shared" si="216"/>
        <v>0</v>
      </c>
      <c r="BL30" s="236">
        <f t="shared" si="216"/>
        <v>0</v>
      </c>
      <c r="BM30" s="236">
        <f t="shared" si="216"/>
        <v>0</v>
      </c>
      <c r="BN30" s="236">
        <f t="shared" si="216"/>
        <v>0</v>
      </c>
      <c r="BO30" s="236">
        <f t="shared" si="216"/>
        <v>0</v>
      </c>
      <c r="BP30" s="236">
        <f t="shared" si="216"/>
        <v>0</v>
      </c>
      <c r="BQ30" s="236">
        <f t="shared" si="216"/>
        <v>0</v>
      </c>
      <c r="BR30" s="236">
        <f t="shared" ref="BR30:EC30" si="217">BR55</f>
        <v>0</v>
      </c>
      <c r="BS30" s="236">
        <f t="shared" si="217"/>
        <v>0</v>
      </c>
      <c r="BT30" s="236">
        <f t="shared" si="217"/>
        <v>0</v>
      </c>
      <c r="BU30" s="236">
        <f t="shared" si="217"/>
        <v>0</v>
      </c>
      <c r="BV30" s="236">
        <f t="shared" si="217"/>
        <v>0</v>
      </c>
      <c r="BW30" s="236">
        <f t="shared" si="217"/>
        <v>0</v>
      </c>
      <c r="BX30" s="236">
        <f t="shared" si="217"/>
        <v>0</v>
      </c>
      <c r="BY30" s="236">
        <f t="shared" si="217"/>
        <v>0</v>
      </c>
      <c r="BZ30" s="236">
        <f t="shared" si="217"/>
        <v>0</v>
      </c>
      <c r="CA30" s="236">
        <f t="shared" si="217"/>
        <v>0</v>
      </c>
      <c r="CB30" s="236">
        <f t="shared" si="217"/>
        <v>0</v>
      </c>
      <c r="CC30" s="236">
        <f t="shared" si="217"/>
        <v>0</v>
      </c>
      <c r="CD30" s="236">
        <f t="shared" si="217"/>
        <v>0</v>
      </c>
      <c r="CE30" s="236">
        <f t="shared" si="217"/>
        <v>0</v>
      </c>
      <c r="CF30" s="236">
        <f t="shared" si="217"/>
        <v>0</v>
      </c>
      <c r="CG30" s="236">
        <f t="shared" si="217"/>
        <v>0</v>
      </c>
      <c r="CH30" s="236">
        <f t="shared" si="217"/>
        <v>0</v>
      </c>
      <c r="CI30" s="236">
        <f t="shared" si="217"/>
        <v>0</v>
      </c>
      <c r="CJ30" s="236">
        <f t="shared" si="217"/>
        <v>0</v>
      </c>
      <c r="CK30" s="236">
        <f t="shared" si="217"/>
        <v>0</v>
      </c>
      <c r="CL30" s="236">
        <f t="shared" si="217"/>
        <v>0</v>
      </c>
      <c r="CM30" s="236">
        <f t="shared" si="217"/>
        <v>0</v>
      </c>
      <c r="CN30" s="236">
        <f t="shared" si="217"/>
        <v>0</v>
      </c>
      <c r="CO30" s="236">
        <f t="shared" si="217"/>
        <v>0</v>
      </c>
      <c r="CP30" s="236">
        <f t="shared" si="217"/>
        <v>0</v>
      </c>
      <c r="CQ30" s="236">
        <f t="shared" si="217"/>
        <v>0</v>
      </c>
      <c r="CR30" s="236">
        <f t="shared" si="217"/>
        <v>0</v>
      </c>
      <c r="CS30" s="236">
        <f t="shared" si="217"/>
        <v>0</v>
      </c>
      <c r="CT30" s="236">
        <f t="shared" si="217"/>
        <v>0</v>
      </c>
      <c r="CU30" s="236">
        <f t="shared" si="217"/>
        <v>0</v>
      </c>
      <c r="CV30" s="236">
        <f t="shared" si="217"/>
        <v>0</v>
      </c>
      <c r="CW30" s="236">
        <f t="shared" si="217"/>
        <v>0</v>
      </c>
      <c r="CX30" s="236">
        <f t="shared" si="217"/>
        <v>0</v>
      </c>
      <c r="CY30" s="236">
        <f t="shared" si="217"/>
        <v>0</v>
      </c>
      <c r="CZ30" s="236">
        <f t="shared" si="217"/>
        <v>0</v>
      </c>
      <c r="DA30" s="236">
        <f t="shared" si="217"/>
        <v>0</v>
      </c>
      <c r="DB30" s="236">
        <f t="shared" si="217"/>
        <v>0</v>
      </c>
      <c r="DC30" s="236">
        <f t="shared" si="217"/>
        <v>0</v>
      </c>
      <c r="DD30" s="236">
        <f t="shared" si="217"/>
        <v>0</v>
      </c>
      <c r="DE30" s="236">
        <f t="shared" si="217"/>
        <v>0</v>
      </c>
      <c r="DF30" s="236">
        <f t="shared" si="217"/>
        <v>0</v>
      </c>
      <c r="DG30" s="236">
        <f t="shared" si="217"/>
        <v>0</v>
      </c>
      <c r="DH30" s="236">
        <f t="shared" si="217"/>
        <v>0</v>
      </c>
      <c r="DI30" s="236">
        <f t="shared" si="217"/>
        <v>0</v>
      </c>
      <c r="DJ30" s="236">
        <f t="shared" si="217"/>
        <v>0</v>
      </c>
      <c r="DK30" s="236">
        <f t="shared" si="217"/>
        <v>0</v>
      </c>
      <c r="DL30" s="236">
        <f t="shared" si="217"/>
        <v>0</v>
      </c>
      <c r="DM30" s="236">
        <f t="shared" si="217"/>
        <v>0</v>
      </c>
      <c r="DN30" s="236">
        <f t="shared" si="217"/>
        <v>0</v>
      </c>
      <c r="DO30" s="236">
        <f t="shared" si="217"/>
        <v>0</v>
      </c>
      <c r="DP30" s="236">
        <f t="shared" si="217"/>
        <v>0</v>
      </c>
      <c r="DQ30" s="236">
        <f t="shared" si="217"/>
        <v>0</v>
      </c>
      <c r="DR30" s="236">
        <f t="shared" si="217"/>
        <v>0</v>
      </c>
      <c r="DS30" s="236">
        <f t="shared" si="217"/>
        <v>0</v>
      </c>
      <c r="DT30" s="236">
        <f t="shared" si="217"/>
        <v>0</v>
      </c>
      <c r="DU30" s="236">
        <f t="shared" si="217"/>
        <v>0</v>
      </c>
      <c r="DV30" s="236">
        <f t="shared" si="217"/>
        <v>0</v>
      </c>
      <c r="DW30" s="236">
        <f t="shared" si="217"/>
        <v>0</v>
      </c>
      <c r="DX30" s="236">
        <f t="shared" si="217"/>
        <v>0</v>
      </c>
      <c r="DY30" s="236">
        <f t="shared" si="217"/>
        <v>0</v>
      </c>
      <c r="DZ30" s="236">
        <f t="shared" si="217"/>
        <v>0</v>
      </c>
      <c r="EA30" s="236">
        <f t="shared" si="217"/>
        <v>0</v>
      </c>
      <c r="EB30" s="236">
        <f t="shared" si="217"/>
        <v>0</v>
      </c>
      <c r="EC30" s="236">
        <f t="shared" si="217"/>
        <v>0</v>
      </c>
      <c r="ED30" s="236">
        <f t="shared" ref="ED30:GF30" si="218">ED55</f>
        <v>0</v>
      </c>
      <c r="EE30" s="236">
        <f t="shared" si="218"/>
        <v>0</v>
      </c>
      <c r="EF30" s="236">
        <f t="shared" si="218"/>
        <v>0</v>
      </c>
      <c r="EG30" s="236">
        <f t="shared" si="218"/>
        <v>0</v>
      </c>
      <c r="EH30" s="236">
        <f t="shared" si="218"/>
        <v>0</v>
      </c>
      <c r="EI30" s="236">
        <f t="shared" si="218"/>
        <v>0</v>
      </c>
      <c r="EJ30" s="236">
        <f t="shared" si="218"/>
        <v>0</v>
      </c>
      <c r="EK30" s="236">
        <f t="shared" si="218"/>
        <v>0</v>
      </c>
      <c r="EL30" s="236">
        <f t="shared" si="218"/>
        <v>0</v>
      </c>
      <c r="EM30" s="236">
        <f t="shared" si="218"/>
        <v>0</v>
      </c>
      <c r="EN30" s="236">
        <f t="shared" si="218"/>
        <v>0</v>
      </c>
      <c r="EO30" s="236">
        <f t="shared" si="218"/>
        <v>0</v>
      </c>
      <c r="EP30" s="236">
        <f t="shared" si="218"/>
        <v>0</v>
      </c>
      <c r="EQ30" s="236">
        <f t="shared" si="218"/>
        <v>0</v>
      </c>
      <c r="ER30" s="236">
        <f t="shared" si="218"/>
        <v>0</v>
      </c>
      <c r="ES30" s="236">
        <f t="shared" si="218"/>
        <v>0</v>
      </c>
      <c r="ET30" s="236">
        <f t="shared" si="218"/>
        <v>0</v>
      </c>
      <c r="EU30" s="236">
        <f t="shared" si="218"/>
        <v>0</v>
      </c>
      <c r="EV30" s="236">
        <f t="shared" si="218"/>
        <v>0</v>
      </c>
      <c r="EW30" s="236">
        <f t="shared" si="218"/>
        <v>0</v>
      </c>
      <c r="EX30" s="236">
        <f t="shared" si="218"/>
        <v>0</v>
      </c>
      <c r="EY30" s="236">
        <f t="shared" si="218"/>
        <v>0</v>
      </c>
      <c r="EZ30" s="236">
        <f t="shared" si="218"/>
        <v>0</v>
      </c>
      <c r="FA30" s="236">
        <f t="shared" si="218"/>
        <v>0</v>
      </c>
      <c r="FB30" s="236">
        <f t="shared" si="218"/>
        <v>0</v>
      </c>
      <c r="FC30" s="236">
        <f t="shared" si="218"/>
        <v>0</v>
      </c>
      <c r="FD30" s="236">
        <f t="shared" si="218"/>
        <v>0</v>
      </c>
      <c r="FE30" s="236">
        <f t="shared" si="218"/>
        <v>0</v>
      </c>
      <c r="FF30" s="236">
        <f t="shared" si="218"/>
        <v>0</v>
      </c>
      <c r="FG30" s="236">
        <f t="shared" si="218"/>
        <v>0</v>
      </c>
      <c r="FH30" s="236">
        <f t="shared" si="218"/>
        <v>0</v>
      </c>
      <c r="FI30" s="236">
        <f t="shared" si="218"/>
        <v>0</v>
      </c>
      <c r="FJ30" s="236">
        <f t="shared" si="218"/>
        <v>0</v>
      </c>
      <c r="FK30" s="236">
        <f t="shared" si="218"/>
        <v>0</v>
      </c>
      <c r="FL30" s="236">
        <f t="shared" si="218"/>
        <v>0</v>
      </c>
      <c r="FM30" s="236">
        <f t="shared" si="218"/>
        <v>0</v>
      </c>
      <c r="FN30" s="236">
        <f t="shared" si="218"/>
        <v>0</v>
      </c>
      <c r="FO30" s="236">
        <f t="shared" si="218"/>
        <v>0</v>
      </c>
      <c r="FP30" s="236">
        <f t="shared" si="218"/>
        <v>0</v>
      </c>
      <c r="FQ30" s="236">
        <f t="shared" si="218"/>
        <v>0</v>
      </c>
      <c r="FR30" s="236">
        <f t="shared" si="218"/>
        <v>0</v>
      </c>
      <c r="FS30" s="236">
        <f t="shared" si="218"/>
        <v>0</v>
      </c>
      <c r="FT30" s="236">
        <f t="shared" si="218"/>
        <v>0</v>
      </c>
      <c r="FU30" s="236">
        <f t="shared" si="218"/>
        <v>0</v>
      </c>
      <c r="FV30" s="236">
        <f t="shared" si="218"/>
        <v>0</v>
      </c>
      <c r="FW30" s="236">
        <f t="shared" si="218"/>
        <v>0</v>
      </c>
      <c r="FX30" s="236">
        <f t="shared" si="218"/>
        <v>0</v>
      </c>
      <c r="FY30" s="236">
        <f t="shared" si="218"/>
        <v>0</v>
      </c>
      <c r="FZ30" s="236">
        <f t="shared" si="218"/>
        <v>0</v>
      </c>
      <c r="GA30" s="236">
        <f t="shared" si="218"/>
        <v>0</v>
      </c>
      <c r="GB30" s="236">
        <f t="shared" si="218"/>
        <v>0</v>
      </c>
      <c r="GC30" s="236">
        <f t="shared" si="218"/>
        <v>0</v>
      </c>
      <c r="GD30" s="236">
        <f t="shared" si="218"/>
        <v>0</v>
      </c>
      <c r="GE30" s="236">
        <f t="shared" si="218"/>
        <v>0</v>
      </c>
      <c r="GF30" s="238">
        <f t="shared" si="218"/>
        <v>0</v>
      </c>
    </row>
    <row r="31" spans="3:188" x14ac:dyDescent="0.3">
      <c r="C31" s="68" t="s">
        <v>678</v>
      </c>
      <c r="D31" s="274"/>
      <c r="E31" s="236">
        <f t="shared" ref="E31:AJ31" si="219">-E46-E44</f>
        <v>13000</v>
      </c>
      <c r="F31" s="236">
        <f t="shared" si="219"/>
        <v>0</v>
      </c>
      <c r="G31" s="236">
        <f t="shared" si="219"/>
        <v>0</v>
      </c>
      <c r="H31" s="236">
        <f t="shared" si="219"/>
        <v>0</v>
      </c>
      <c r="I31" s="236">
        <f t="shared" si="219"/>
        <v>12000</v>
      </c>
      <c r="J31" s="236">
        <f t="shared" si="219"/>
        <v>0</v>
      </c>
      <c r="K31" s="236">
        <f t="shared" si="219"/>
        <v>0</v>
      </c>
      <c r="L31" s="236">
        <f t="shared" si="219"/>
        <v>0</v>
      </c>
      <c r="M31" s="236">
        <f t="shared" si="219"/>
        <v>0</v>
      </c>
      <c r="N31" s="236">
        <f t="shared" si="219"/>
        <v>2000</v>
      </c>
      <c r="O31" s="236">
        <f t="shared" si="219"/>
        <v>0</v>
      </c>
      <c r="P31" s="236">
        <f t="shared" si="219"/>
        <v>0</v>
      </c>
      <c r="Q31" s="236">
        <f t="shared" si="219"/>
        <v>0</v>
      </c>
      <c r="R31" s="236">
        <f t="shared" si="219"/>
        <v>0</v>
      </c>
      <c r="S31" s="236">
        <f t="shared" si="219"/>
        <v>0</v>
      </c>
      <c r="T31" s="236">
        <f t="shared" si="219"/>
        <v>0</v>
      </c>
      <c r="U31" s="236">
        <f t="shared" si="219"/>
        <v>0</v>
      </c>
      <c r="V31" s="236">
        <f t="shared" si="219"/>
        <v>0</v>
      </c>
      <c r="W31" s="236">
        <f t="shared" si="219"/>
        <v>0</v>
      </c>
      <c r="X31" s="236">
        <f t="shared" si="219"/>
        <v>0</v>
      </c>
      <c r="Y31" s="236">
        <f t="shared" si="219"/>
        <v>0</v>
      </c>
      <c r="Z31" s="236">
        <f t="shared" si="219"/>
        <v>0</v>
      </c>
      <c r="AA31" s="236">
        <f t="shared" si="219"/>
        <v>0</v>
      </c>
      <c r="AB31" s="236">
        <f t="shared" si="219"/>
        <v>0</v>
      </c>
      <c r="AC31" s="236">
        <f t="shared" si="219"/>
        <v>0</v>
      </c>
      <c r="AD31" s="236">
        <f t="shared" si="219"/>
        <v>0</v>
      </c>
      <c r="AE31" s="236">
        <f t="shared" si="219"/>
        <v>0</v>
      </c>
      <c r="AF31" s="236">
        <f t="shared" si="219"/>
        <v>0</v>
      </c>
      <c r="AG31" s="236">
        <f t="shared" si="219"/>
        <v>0</v>
      </c>
      <c r="AH31" s="236">
        <f t="shared" si="219"/>
        <v>0</v>
      </c>
      <c r="AI31" s="236">
        <f t="shared" si="219"/>
        <v>0</v>
      </c>
      <c r="AJ31" s="236">
        <f t="shared" si="219"/>
        <v>0</v>
      </c>
      <c r="AK31" s="236">
        <f t="shared" ref="AK31:BP31" si="220">-AK46-AK44</f>
        <v>0</v>
      </c>
      <c r="AL31" s="236">
        <f t="shared" si="220"/>
        <v>0</v>
      </c>
      <c r="AM31" s="236">
        <f t="shared" si="220"/>
        <v>0</v>
      </c>
      <c r="AN31" s="236">
        <f t="shared" si="220"/>
        <v>0</v>
      </c>
      <c r="AO31" s="236">
        <f t="shared" si="220"/>
        <v>0</v>
      </c>
      <c r="AP31" s="236">
        <f t="shared" si="220"/>
        <v>0</v>
      </c>
      <c r="AQ31" s="236">
        <f t="shared" si="220"/>
        <v>0</v>
      </c>
      <c r="AR31" s="236">
        <f t="shared" si="220"/>
        <v>-562.5</v>
      </c>
      <c r="AS31" s="236">
        <f t="shared" si="220"/>
        <v>0</v>
      </c>
      <c r="AT31" s="236">
        <f t="shared" si="220"/>
        <v>0</v>
      </c>
      <c r="AU31" s="236">
        <f t="shared" si="220"/>
        <v>-562.5</v>
      </c>
      <c r="AV31" s="236">
        <f t="shared" si="220"/>
        <v>0</v>
      </c>
      <c r="AW31" s="236">
        <f t="shared" si="220"/>
        <v>0</v>
      </c>
      <c r="AX31" s="236">
        <f t="shared" si="220"/>
        <v>-562.5</v>
      </c>
      <c r="AY31" s="236">
        <f t="shared" si="220"/>
        <v>0</v>
      </c>
      <c r="AZ31" s="236">
        <f t="shared" si="220"/>
        <v>0</v>
      </c>
      <c r="BA31" s="236">
        <f t="shared" si="220"/>
        <v>-562.5</v>
      </c>
      <c r="BB31" s="236">
        <f t="shared" si="220"/>
        <v>0</v>
      </c>
      <c r="BC31" s="236">
        <f t="shared" si="220"/>
        <v>0</v>
      </c>
      <c r="BD31" s="236">
        <f t="shared" si="220"/>
        <v>-562.5</v>
      </c>
      <c r="BE31" s="236">
        <f t="shared" si="220"/>
        <v>0</v>
      </c>
      <c r="BF31" s="236">
        <f t="shared" si="220"/>
        <v>0</v>
      </c>
      <c r="BG31" s="236">
        <f t="shared" si="220"/>
        <v>-562.5</v>
      </c>
      <c r="BH31" s="236">
        <f t="shared" si="220"/>
        <v>0</v>
      </c>
      <c r="BI31" s="236">
        <f t="shared" si="220"/>
        <v>0</v>
      </c>
      <c r="BJ31" s="236">
        <f t="shared" si="220"/>
        <v>-562.5</v>
      </c>
      <c r="BK31" s="236">
        <f t="shared" si="220"/>
        <v>0</v>
      </c>
      <c r="BL31" s="236">
        <f t="shared" si="220"/>
        <v>0</v>
      </c>
      <c r="BM31" s="236">
        <f t="shared" si="220"/>
        <v>-562.5</v>
      </c>
      <c r="BN31" s="236">
        <f t="shared" si="220"/>
        <v>0</v>
      </c>
      <c r="BO31" s="236">
        <f t="shared" si="220"/>
        <v>0</v>
      </c>
      <c r="BP31" s="236">
        <f t="shared" si="220"/>
        <v>-562.5</v>
      </c>
      <c r="BQ31" s="236">
        <f t="shared" ref="BQ31:CV31" si="221">-BQ46-BQ44</f>
        <v>0</v>
      </c>
      <c r="BR31" s="236">
        <f t="shared" si="221"/>
        <v>0</v>
      </c>
      <c r="BS31" s="236">
        <f t="shared" si="221"/>
        <v>-562.5</v>
      </c>
      <c r="BT31" s="236">
        <f t="shared" si="221"/>
        <v>0</v>
      </c>
      <c r="BU31" s="236">
        <f t="shared" si="221"/>
        <v>0</v>
      </c>
      <c r="BV31" s="236">
        <f t="shared" si="221"/>
        <v>-562.5</v>
      </c>
      <c r="BW31" s="236">
        <f t="shared" si="221"/>
        <v>0</v>
      </c>
      <c r="BX31" s="236">
        <f t="shared" si="221"/>
        <v>0</v>
      </c>
      <c r="BY31" s="236">
        <f t="shared" si="221"/>
        <v>-562.5</v>
      </c>
      <c r="BZ31" s="236">
        <f t="shared" si="221"/>
        <v>0</v>
      </c>
      <c r="CA31" s="236">
        <f t="shared" si="221"/>
        <v>0</v>
      </c>
      <c r="CB31" s="236">
        <f t="shared" si="221"/>
        <v>-562.5</v>
      </c>
      <c r="CC31" s="236">
        <f t="shared" si="221"/>
        <v>0</v>
      </c>
      <c r="CD31" s="236">
        <f t="shared" si="221"/>
        <v>0</v>
      </c>
      <c r="CE31" s="236">
        <f t="shared" si="221"/>
        <v>-562.5</v>
      </c>
      <c r="CF31" s="236">
        <f t="shared" si="221"/>
        <v>0</v>
      </c>
      <c r="CG31" s="236">
        <f t="shared" si="221"/>
        <v>0</v>
      </c>
      <c r="CH31" s="236">
        <f t="shared" si="221"/>
        <v>-562.5</v>
      </c>
      <c r="CI31" s="236">
        <f t="shared" si="221"/>
        <v>0</v>
      </c>
      <c r="CJ31" s="236">
        <f t="shared" si="221"/>
        <v>0</v>
      </c>
      <c r="CK31" s="236">
        <f t="shared" si="221"/>
        <v>-562.5</v>
      </c>
      <c r="CL31" s="236">
        <f t="shared" si="221"/>
        <v>0</v>
      </c>
      <c r="CM31" s="236">
        <f t="shared" si="221"/>
        <v>0</v>
      </c>
      <c r="CN31" s="236">
        <f t="shared" si="221"/>
        <v>-562.5</v>
      </c>
      <c r="CO31" s="236">
        <f t="shared" si="221"/>
        <v>0</v>
      </c>
      <c r="CP31" s="236">
        <f t="shared" si="221"/>
        <v>0</v>
      </c>
      <c r="CQ31" s="236">
        <f t="shared" si="221"/>
        <v>-562.5</v>
      </c>
      <c r="CR31" s="236">
        <f t="shared" si="221"/>
        <v>0</v>
      </c>
      <c r="CS31" s="236">
        <f t="shared" si="221"/>
        <v>0</v>
      </c>
      <c r="CT31" s="236">
        <f t="shared" si="221"/>
        <v>-562.5</v>
      </c>
      <c r="CU31" s="236">
        <f t="shared" si="221"/>
        <v>0</v>
      </c>
      <c r="CV31" s="236">
        <f t="shared" si="221"/>
        <v>0</v>
      </c>
      <c r="CW31" s="236">
        <f t="shared" ref="CW31:EB31" si="222">-CW46-CW44</f>
        <v>-562.5</v>
      </c>
      <c r="CX31" s="236">
        <f t="shared" si="222"/>
        <v>0</v>
      </c>
      <c r="CY31" s="236">
        <f t="shared" si="222"/>
        <v>0</v>
      </c>
      <c r="CZ31" s="236">
        <f t="shared" si="222"/>
        <v>-562.5</v>
      </c>
      <c r="DA31" s="236">
        <f t="shared" si="222"/>
        <v>0</v>
      </c>
      <c r="DB31" s="236">
        <f t="shared" si="222"/>
        <v>0</v>
      </c>
      <c r="DC31" s="236">
        <f t="shared" si="222"/>
        <v>-562.5</v>
      </c>
      <c r="DD31" s="236">
        <f t="shared" si="222"/>
        <v>0</v>
      </c>
      <c r="DE31" s="236">
        <f t="shared" si="222"/>
        <v>0</v>
      </c>
      <c r="DF31" s="236">
        <f t="shared" si="222"/>
        <v>-562.5</v>
      </c>
      <c r="DG31" s="236">
        <f t="shared" si="222"/>
        <v>0</v>
      </c>
      <c r="DH31" s="236">
        <f t="shared" si="222"/>
        <v>0</v>
      </c>
      <c r="DI31" s="236">
        <f t="shared" si="222"/>
        <v>-562.5</v>
      </c>
      <c r="DJ31" s="236">
        <f t="shared" si="222"/>
        <v>0</v>
      </c>
      <c r="DK31" s="236">
        <f t="shared" si="222"/>
        <v>0</v>
      </c>
      <c r="DL31" s="236">
        <f t="shared" si="222"/>
        <v>-562.5</v>
      </c>
      <c r="DM31" s="236">
        <f t="shared" si="222"/>
        <v>0</v>
      </c>
      <c r="DN31" s="236">
        <f t="shared" si="222"/>
        <v>0</v>
      </c>
      <c r="DO31" s="236">
        <f t="shared" si="222"/>
        <v>-562.5</v>
      </c>
      <c r="DP31" s="236">
        <f t="shared" si="222"/>
        <v>0</v>
      </c>
      <c r="DQ31" s="236">
        <f t="shared" si="222"/>
        <v>0</v>
      </c>
      <c r="DR31" s="236">
        <f t="shared" si="222"/>
        <v>-562.5</v>
      </c>
      <c r="DS31" s="236">
        <f t="shared" si="222"/>
        <v>0</v>
      </c>
      <c r="DT31" s="236">
        <f t="shared" si="222"/>
        <v>0</v>
      </c>
      <c r="DU31" s="236">
        <f t="shared" si="222"/>
        <v>-562.5</v>
      </c>
      <c r="DV31" s="236">
        <f t="shared" si="222"/>
        <v>0</v>
      </c>
      <c r="DW31" s="236">
        <f t="shared" si="222"/>
        <v>0</v>
      </c>
      <c r="DX31" s="236">
        <f t="shared" si="222"/>
        <v>-562.5</v>
      </c>
      <c r="DY31" s="236">
        <f t="shared" si="222"/>
        <v>0</v>
      </c>
      <c r="DZ31" s="236">
        <f t="shared" si="222"/>
        <v>0</v>
      </c>
      <c r="EA31" s="236">
        <f t="shared" si="222"/>
        <v>-562.5</v>
      </c>
      <c r="EB31" s="236">
        <f t="shared" si="222"/>
        <v>0</v>
      </c>
      <c r="EC31" s="236">
        <f t="shared" ref="EC31:FH31" si="223">-EC46-EC44</f>
        <v>0</v>
      </c>
      <c r="ED31" s="236">
        <f t="shared" si="223"/>
        <v>-562.5</v>
      </c>
      <c r="EE31" s="236">
        <f t="shared" si="223"/>
        <v>0</v>
      </c>
      <c r="EF31" s="236">
        <f t="shared" si="223"/>
        <v>0</v>
      </c>
      <c r="EG31" s="236">
        <f t="shared" si="223"/>
        <v>-562.5</v>
      </c>
      <c r="EH31" s="236">
        <f t="shared" si="223"/>
        <v>0</v>
      </c>
      <c r="EI31" s="236">
        <f t="shared" si="223"/>
        <v>0</v>
      </c>
      <c r="EJ31" s="236">
        <f t="shared" si="223"/>
        <v>-562.5</v>
      </c>
      <c r="EK31" s="236">
        <f t="shared" si="223"/>
        <v>0</v>
      </c>
      <c r="EL31" s="236">
        <f t="shared" si="223"/>
        <v>0</v>
      </c>
      <c r="EM31" s="236">
        <f t="shared" si="223"/>
        <v>-562.5</v>
      </c>
      <c r="EN31" s="236">
        <f t="shared" si="223"/>
        <v>0</v>
      </c>
      <c r="EO31" s="236">
        <f t="shared" si="223"/>
        <v>0</v>
      </c>
      <c r="EP31" s="236">
        <f t="shared" si="223"/>
        <v>-562.5</v>
      </c>
      <c r="EQ31" s="236">
        <f t="shared" si="223"/>
        <v>0</v>
      </c>
      <c r="ER31" s="236">
        <f t="shared" si="223"/>
        <v>0</v>
      </c>
      <c r="ES31" s="236">
        <f t="shared" si="223"/>
        <v>-562.5</v>
      </c>
      <c r="ET31" s="236">
        <f t="shared" si="223"/>
        <v>0</v>
      </c>
      <c r="EU31" s="236">
        <f t="shared" si="223"/>
        <v>0</v>
      </c>
      <c r="EV31" s="236">
        <f t="shared" si="223"/>
        <v>-562.5</v>
      </c>
      <c r="EW31" s="236">
        <f t="shared" si="223"/>
        <v>0</v>
      </c>
      <c r="EX31" s="236">
        <f t="shared" si="223"/>
        <v>0</v>
      </c>
      <c r="EY31" s="236">
        <f t="shared" si="223"/>
        <v>-562.5</v>
      </c>
      <c r="EZ31" s="236">
        <f t="shared" si="223"/>
        <v>0</v>
      </c>
      <c r="FA31" s="236">
        <f t="shared" si="223"/>
        <v>0</v>
      </c>
      <c r="FB31" s="236">
        <f t="shared" si="223"/>
        <v>-562.5</v>
      </c>
      <c r="FC31" s="236">
        <f t="shared" si="223"/>
        <v>0</v>
      </c>
      <c r="FD31" s="236">
        <f t="shared" si="223"/>
        <v>0</v>
      </c>
      <c r="FE31" s="236">
        <f t="shared" si="223"/>
        <v>-562.5</v>
      </c>
      <c r="FF31" s="236">
        <f t="shared" si="223"/>
        <v>0</v>
      </c>
      <c r="FG31" s="236">
        <f t="shared" si="223"/>
        <v>0</v>
      </c>
      <c r="FH31" s="236">
        <f t="shared" si="223"/>
        <v>-562.5</v>
      </c>
      <c r="FI31" s="236">
        <f t="shared" ref="FI31:GF31" si="224">-FI46-FI44</f>
        <v>0</v>
      </c>
      <c r="FJ31" s="236">
        <f t="shared" si="224"/>
        <v>0</v>
      </c>
      <c r="FK31" s="236">
        <f t="shared" si="224"/>
        <v>-562.5</v>
      </c>
      <c r="FL31" s="236">
        <f t="shared" si="224"/>
        <v>0</v>
      </c>
      <c r="FM31" s="236">
        <f t="shared" si="224"/>
        <v>0</v>
      </c>
      <c r="FN31" s="236">
        <f t="shared" si="224"/>
        <v>-562.5</v>
      </c>
      <c r="FO31" s="236">
        <f t="shared" si="224"/>
        <v>0</v>
      </c>
      <c r="FP31" s="236">
        <f t="shared" si="224"/>
        <v>0</v>
      </c>
      <c r="FQ31" s="236">
        <f t="shared" si="224"/>
        <v>-562.5</v>
      </c>
      <c r="FR31" s="236">
        <f t="shared" si="224"/>
        <v>0</v>
      </c>
      <c r="FS31" s="236">
        <f t="shared" si="224"/>
        <v>0</v>
      </c>
      <c r="FT31" s="236">
        <f t="shared" si="224"/>
        <v>-562.5</v>
      </c>
      <c r="FU31" s="236">
        <f t="shared" si="224"/>
        <v>0</v>
      </c>
      <c r="FV31" s="236">
        <f t="shared" si="224"/>
        <v>0</v>
      </c>
      <c r="FW31" s="236">
        <f t="shared" si="224"/>
        <v>-562.5</v>
      </c>
      <c r="FX31" s="236">
        <f t="shared" si="224"/>
        <v>0</v>
      </c>
      <c r="FY31" s="236">
        <f t="shared" si="224"/>
        <v>0</v>
      </c>
      <c r="FZ31" s="236">
        <f t="shared" si="224"/>
        <v>-562.5</v>
      </c>
      <c r="GA31" s="236">
        <f t="shared" si="224"/>
        <v>0</v>
      </c>
      <c r="GB31" s="236">
        <f t="shared" si="224"/>
        <v>0</v>
      </c>
      <c r="GC31" s="236">
        <f t="shared" si="224"/>
        <v>-562.5</v>
      </c>
      <c r="GD31" s="236">
        <f t="shared" si="224"/>
        <v>0</v>
      </c>
      <c r="GE31" s="236">
        <f t="shared" si="224"/>
        <v>0</v>
      </c>
      <c r="GF31" s="238">
        <f t="shared" si="224"/>
        <v>0</v>
      </c>
    </row>
    <row r="32" spans="3:188" x14ac:dyDescent="0.3">
      <c r="C32" s="1"/>
      <c r="E32" s="249"/>
      <c r="F32" s="249"/>
      <c r="G32" s="249"/>
      <c r="H32" s="249"/>
      <c r="I32" s="249"/>
      <c r="J32" s="249"/>
      <c r="K32" s="249"/>
      <c r="L32" s="249"/>
      <c r="M32" s="249"/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49"/>
      <c r="AA32" s="249"/>
      <c r="AB32" s="249"/>
      <c r="AC32" s="249"/>
      <c r="AD32" s="249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49"/>
      <c r="AQ32" s="249"/>
      <c r="AR32" s="249"/>
      <c r="AS32" s="249"/>
      <c r="AT32" s="249"/>
      <c r="AU32" s="249"/>
      <c r="AV32" s="249"/>
      <c r="AW32" s="249"/>
      <c r="AX32" s="249"/>
      <c r="AY32" s="249"/>
      <c r="AZ32" s="249"/>
      <c r="BA32" s="249"/>
      <c r="BB32" s="249"/>
      <c r="BC32" s="249"/>
      <c r="BD32" s="249"/>
      <c r="BE32" s="249"/>
      <c r="BF32" s="249"/>
      <c r="BG32" s="249"/>
      <c r="BH32" s="249"/>
      <c r="BI32" s="249"/>
      <c r="BJ32" s="249"/>
      <c r="BK32" s="249"/>
      <c r="BL32" s="249"/>
      <c r="BM32" s="249"/>
      <c r="BN32" s="249"/>
      <c r="BO32" s="249"/>
      <c r="BP32" s="249"/>
      <c r="BQ32" s="249"/>
      <c r="BR32" s="249"/>
      <c r="BS32" s="249"/>
      <c r="BT32" s="249"/>
      <c r="BU32" s="249"/>
      <c r="BV32" s="249"/>
      <c r="BW32" s="249"/>
      <c r="BX32" s="249"/>
      <c r="BY32" s="249"/>
      <c r="BZ32" s="249"/>
      <c r="CA32" s="249"/>
      <c r="CB32" s="249"/>
      <c r="CC32" s="249"/>
      <c r="CD32" s="249"/>
      <c r="CE32" s="249"/>
      <c r="CF32" s="249"/>
      <c r="CG32" s="249"/>
      <c r="CH32" s="249"/>
      <c r="CI32" s="249"/>
      <c r="CJ32" s="249"/>
      <c r="CK32" s="249"/>
      <c r="CL32" s="249"/>
      <c r="CM32" s="249"/>
      <c r="CN32" s="249"/>
      <c r="CO32" s="249"/>
      <c r="CP32" s="249"/>
      <c r="CQ32" s="249"/>
      <c r="CR32" s="249"/>
      <c r="CS32" s="249"/>
      <c r="CT32" s="249"/>
      <c r="CU32" s="249"/>
      <c r="CV32" s="249"/>
      <c r="CW32" s="249"/>
      <c r="CX32" s="249"/>
      <c r="CY32" s="249"/>
      <c r="CZ32" s="249"/>
      <c r="DA32" s="249"/>
      <c r="DB32" s="249"/>
      <c r="DC32" s="249"/>
      <c r="DD32" s="249"/>
      <c r="DE32" s="249"/>
      <c r="DF32" s="249"/>
      <c r="DG32" s="249"/>
      <c r="DH32" s="249"/>
      <c r="DI32" s="249"/>
      <c r="DJ32" s="249"/>
      <c r="DK32" s="249"/>
      <c r="DL32" s="249"/>
      <c r="DM32" s="249"/>
      <c r="DN32" s="249"/>
      <c r="DO32" s="249"/>
      <c r="DP32" s="249"/>
      <c r="DQ32" s="249"/>
      <c r="DR32" s="249"/>
      <c r="DS32" s="249"/>
      <c r="DT32" s="249"/>
      <c r="DU32" s="249"/>
      <c r="DV32" s="249"/>
      <c r="DW32" s="249"/>
      <c r="DX32" s="249"/>
      <c r="DY32" s="249"/>
      <c r="DZ32" s="249"/>
      <c r="EA32" s="249"/>
      <c r="EB32" s="249"/>
      <c r="EC32" s="249"/>
      <c r="ED32" s="249"/>
      <c r="EE32" s="249"/>
      <c r="EF32" s="249"/>
      <c r="EG32" s="249"/>
      <c r="EH32" s="249"/>
      <c r="EI32" s="249"/>
      <c r="EJ32" s="249"/>
      <c r="EK32" s="249"/>
      <c r="EL32" s="249"/>
      <c r="EM32" s="249"/>
      <c r="EN32" s="249"/>
      <c r="EO32" s="249"/>
      <c r="EP32" s="249"/>
      <c r="EQ32" s="249"/>
      <c r="ER32" s="249"/>
      <c r="ES32" s="249"/>
      <c r="ET32" s="249"/>
      <c r="EU32" s="249"/>
      <c r="EV32" s="249"/>
      <c r="EW32" s="249"/>
      <c r="EX32" s="249"/>
      <c r="EY32" s="249"/>
      <c r="EZ32" s="249"/>
      <c r="FA32" s="249"/>
      <c r="FB32" s="249"/>
      <c r="FC32" s="249"/>
      <c r="FD32" s="249"/>
      <c r="FE32" s="249"/>
      <c r="FF32" s="249"/>
      <c r="FG32" s="249"/>
      <c r="FH32" s="249"/>
      <c r="FI32" s="249"/>
      <c r="FJ32" s="249"/>
      <c r="FK32" s="249"/>
      <c r="FL32" s="249"/>
      <c r="FM32" s="249"/>
      <c r="FN32" s="249"/>
      <c r="FO32" s="249"/>
      <c r="FP32" s="249"/>
      <c r="FQ32" s="249"/>
      <c r="FR32" s="249"/>
      <c r="FS32" s="249"/>
      <c r="FT32" s="249"/>
      <c r="FU32" s="249"/>
      <c r="FV32" s="249"/>
      <c r="FW32" s="249"/>
      <c r="FX32" s="249"/>
      <c r="FY32" s="249"/>
      <c r="FZ32" s="249"/>
      <c r="GA32" s="249"/>
      <c r="GB32" s="249"/>
      <c r="GC32" s="249"/>
      <c r="GD32" s="249"/>
      <c r="GE32" s="249"/>
      <c r="GF32" s="249"/>
    </row>
    <row r="33" spans="2:188" x14ac:dyDescent="0.3">
      <c r="I33">
        <v>1</v>
      </c>
      <c r="J33">
        <f>IF(I33=12,1,I33+1)</f>
        <v>2</v>
      </c>
      <c r="K33">
        <f>IF(J33=12,1,J33+1)</f>
        <v>3</v>
      </c>
      <c r="L33">
        <f t="shared" ref="L33:BW33" si="225">IF(K33=12,1,K33+1)</f>
        <v>4</v>
      </c>
      <c r="M33">
        <f t="shared" si="225"/>
        <v>5</v>
      </c>
      <c r="N33">
        <f t="shared" si="225"/>
        <v>6</v>
      </c>
      <c r="O33">
        <f t="shared" si="225"/>
        <v>7</v>
      </c>
      <c r="P33">
        <f t="shared" si="225"/>
        <v>8</v>
      </c>
      <c r="Q33">
        <f t="shared" si="225"/>
        <v>9</v>
      </c>
      <c r="R33">
        <f t="shared" si="225"/>
        <v>10</v>
      </c>
      <c r="S33">
        <f t="shared" si="225"/>
        <v>11</v>
      </c>
      <c r="T33">
        <f t="shared" si="225"/>
        <v>12</v>
      </c>
      <c r="U33">
        <f t="shared" si="225"/>
        <v>1</v>
      </c>
      <c r="V33">
        <f t="shared" si="225"/>
        <v>2</v>
      </c>
      <c r="W33">
        <f t="shared" si="225"/>
        <v>3</v>
      </c>
      <c r="X33">
        <f t="shared" si="225"/>
        <v>4</v>
      </c>
      <c r="Y33">
        <f t="shared" si="225"/>
        <v>5</v>
      </c>
      <c r="Z33">
        <f t="shared" si="225"/>
        <v>6</v>
      </c>
      <c r="AA33">
        <f t="shared" si="225"/>
        <v>7</v>
      </c>
      <c r="AB33">
        <f t="shared" si="225"/>
        <v>8</v>
      </c>
      <c r="AC33">
        <f t="shared" si="225"/>
        <v>9</v>
      </c>
      <c r="AD33">
        <f t="shared" si="225"/>
        <v>10</v>
      </c>
      <c r="AE33">
        <f t="shared" si="225"/>
        <v>11</v>
      </c>
      <c r="AF33">
        <f t="shared" si="225"/>
        <v>12</v>
      </c>
      <c r="AG33">
        <f t="shared" si="225"/>
        <v>1</v>
      </c>
      <c r="AH33">
        <f t="shared" si="225"/>
        <v>2</v>
      </c>
      <c r="AI33">
        <f t="shared" si="225"/>
        <v>3</v>
      </c>
      <c r="AJ33">
        <f t="shared" si="225"/>
        <v>4</v>
      </c>
      <c r="AK33">
        <f t="shared" si="225"/>
        <v>5</v>
      </c>
      <c r="AL33">
        <f t="shared" si="225"/>
        <v>6</v>
      </c>
      <c r="AM33">
        <f t="shared" si="225"/>
        <v>7</v>
      </c>
      <c r="AN33">
        <f t="shared" si="225"/>
        <v>8</v>
      </c>
      <c r="AO33">
        <f t="shared" si="225"/>
        <v>9</v>
      </c>
      <c r="AP33">
        <f t="shared" si="225"/>
        <v>10</v>
      </c>
      <c r="AQ33">
        <f t="shared" si="225"/>
        <v>11</v>
      </c>
      <c r="AR33">
        <f t="shared" si="225"/>
        <v>12</v>
      </c>
      <c r="AS33">
        <f t="shared" si="225"/>
        <v>1</v>
      </c>
      <c r="AT33">
        <f t="shared" si="225"/>
        <v>2</v>
      </c>
      <c r="AU33">
        <f t="shared" si="225"/>
        <v>3</v>
      </c>
      <c r="AV33">
        <f t="shared" si="225"/>
        <v>4</v>
      </c>
      <c r="AW33">
        <f t="shared" si="225"/>
        <v>5</v>
      </c>
      <c r="AX33">
        <f t="shared" si="225"/>
        <v>6</v>
      </c>
      <c r="AY33">
        <f t="shared" si="225"/>
        <v>7</v>
      </c>
      <c r="AZ33">
        <f t="shared" si="225"/>
        <v>8</v>
      </c>
      <c r="BA33">
        <f t="shared" si="225"/>
        <v>9</v>
      </c>
      <c r="BB33">
        <f t="shared" si="225"/>
        <v>10</v>
      </c>
      <c r="BC33">
        <f t="shared" si="225"/>
        <v>11</v>
      </c>
      <c r="BD33">
        <f t="shared" si="225"/>
        <v>12</v>
      </c>
      <c r="BE33">
        <f t="shared" si="225"/>
        <v>1</v>
      </c>
      <c r="BF33">
        <f t="shared" si="225"/>
        <v>2</v>
      </c>
      <c r="BG33">
        <f t="shared" si="225"/>
        <v>3</v>
      </c>
      <c r="BH33">
        <f t="shared" si="225"/>
        <v>4</v>
      </c>
      <c r="BI33">
        <f t="shared" si="225"/>
        <v>5</v>
      </c>
      <c r="BJ33">
        <f t="shared" si="225"/>
        <v>6</v>
      </c>
      <c r="BK33">
        <f t="shared" si="225"/>
        <v>7</v>
      </c>
      <c r="BL33">
        <f t="shared" si="225"/>
        <v>8</v>
      </c>
      <c r="BM33">
        <f t="shared" si="225"/>
        <v>9</v>
      </c>
      <c r="BN33">
        <f t="shared" si="225"/>
        <v>10</v>
      </c>
      <c r="BO33">
        <f t="shared" si="225"/>
        <v>11</v>
      </c>
      <c r="BP33">
        <f t="shared" si="225"/>
        <v>12</v>
      </c>
      <c r="BQ33">
        <f t="shared" si="225"/>
        <v>1</v>
      </c>
      <c r="BR33">
        <f t="shared" si="225"/>
        <v>2</v>
      </c>
      <c r="BS33">
        <f t="shared" si="225"/>
        <v>3</v>
      </c>
      <c r="BT33">
        <f t="shared" si="225"/>
        <v>4</v>
      </c>
      <c r="BU33">
        <f t="shared" si="225"/>
        <v>5</v>
      </c>
      <c r="BV33">
        <f t="shared" si="225"/>
        <v>6</v>
      </c>
      <c r="BW33">
        <f t="shared" si="225"/>
        <v>7</v>
      </c>
      <c r="BX33">
        <f t="shared" ref="BX33:EI33" si="226">IF(BW33=12,1,BW33+1)</f>
        <v>8</v>
      </c>
      <c r="BY33">
        <f t="shared" si="226"/>
        <v>9</v>
      </c>
      <c r="BZ33">
        <f t="shared" si="226"/>
        <v>10</v>
      </c>
      <c r="CA33">
        <f t="shared" si="226"/>
        <v>11</v>
      </c>
      <c r="CB33">
        <f t="shared" si="226"/>
        <v>12</v>
      </c>
      <c r="CC33">
        <f t="shared" si="226"/>
        <v>1</v>
      </c>
      <c r="CD33">
        <f t="shared" si="226"/>
        <v>2</v>
      </c>
      <c r="CE33">
        <f t="shared" si="226"/>
        <v>3</v>
      </c>
      <c r="CF33">
        <f t="shared" si="226"/>
        <v>4</v>
      </c>
      <c r="CG33">
        <f t="shared" si="226"/>
        <v>5</v>
      </c>
      <c r="CH33">
        <f t="shared" si="226"/>
        <v>6</v>
      </c>
      <c r="CI33">
        <f t="shared" si="226"/>
        <v>7</v>
      </c>
      <c r="CJ33">
        <f t="shared" si="226"/>
        <v>8</v>
      </c>
      <c r="CK33">
        <f t="shared" si="226"/>
        <v>9</v>
      </c>
      <c r="CL33">
        <f t="shared" si="226"/>
        <v>10</v>
      </c>
      <c r="CM33">
        <f t="shared" si="226"/>
        <v>11</v>
      </c>
      <c r="CN33">
        <f t="shared" si="226"/>
        <v>12</v>
      </c>
      <c r="CO33">
        <f t="shared" si="226"/>
        <v>1</v>
      </c>
      <c r="CP33">
        <f t="shared" si="226"/>
        <v>2</v>
      </c>
      <c r="CQ33">
        <f t="shared" si="226"/>
        <v>3</v>
      </c>
      <c r="CR33">
        <f t="shared" si="226"/>
        <v>4</v>
      </c>
      <c r="CS33">
        <f t="shared" si="226"/>
        <v>5</v>
      </c>
      <c r="CT33">
        <f t="shared" si="226"/>
        <v>6</v>
      </c>
      <c r="CU33">
        <f t="shared" si="226"/>
        <v>7</v>
      </c>
      <c r="CV33">
        <f t="shared" si="226"/>
        <v>8</v>
      </c>
      <c r="CW33">
        <f t="shared" si="226"/>
        <v>9</v>
      </c>
      <c r="CX33">
        <f t="shared" si="226"/>
        <v>10</v>
      </c>
      <c r="CY33">
        <f t="shared" si="226"/>
        <v>11</v>
      </c>
      <c r="CZ33">
        <f t="shared" si="226"/>
        <v>12</v>
      </c>
      <c r="DA33">
        <f t="shared" si="226"/>
        <v>1</v>
      </c>
      <c r="DB33">
        <f t="shared" si="226"/>
        <v>2</v>
      </c>
      <c r="DC33">
        <f t="shared" si="226"/>
        <v>3</v>
      </c>
      <c r="DD33">
        <f t="shared" si="226"/>
        <v>4</v>
      </c>
      <c r="DE33">
        <f t="shared" si="226"/>
        <v>5</v>
      </c>
      <c r="DF33">
        <f t="shared" si="226"/>
        <v>6</v>
      </c>
      <c r="DG33">
        <f t="shared" si="226"/>
        <v>7</v>
      </c>
      <c r="DH33">
        <f t="shared" si="226"/>
        <v>8</v>
      </c>
      <c r="DI33">
        <f t="shared" si="226"/>
        <v>9</v>
      </c>
      <c r="DJ33">
        <f t="shared" si="226"/>
        <v>10</v>
      </c>
      <c r="DK33">
        <f t="shared" si="226"/>
        <v>11</v>
      </c>
      <c r="DL33">
        <f t="shared" si="226"/>
        <v>12</v>
      </c>
      <c r="DM33">
        <f t="shared" si="226"/>
        <v>1</v>
      </c>
      <c r="DN33">
        <f t="shared" si="226"/>
        <v>2</v>
      </c>
      <c r="DO33">
        <f t="shared" si="226"/>
        <v>3</v>
      </c>
      <c r="DP33">
        <f t="shared" si="226"/>
        <v>4</v>
      </c>
      <c r="DQ33">
        <f t="shared" si="226"/>
        <v>5</v>
      </c>
      <c r="DR33">
        <f t="shared" si="226"/>
        <v>6</v>
      </c>
      <c r="DS33">
        <f t="shared" si="226"/>
        <v>7</v>
      </c>
      <c r="DT33">
        <f t="shared" si="226"/>
        <v>8</v>
      </c>
      <c r="DU33">
        <f t="shared" si="226"/>
        <v>9</v>
      </c>
      <c r="DV33">
        <f t="shared" si="226"/>
        <v>10</v>
      </c>
      <c r="DW33">
        <f t="shared" si="226"/>
        <v>11</v>
      </c>
      <c r="DX33">
        <f t="shared" si="226"/>
        <v>12</v>
      </c>
      <c r="DY33">
        <f t="shared" si="226"/>
        <v>1</v>
      </c>
      <c r="DZ33">
        <f t="shared" si="226"/>
        <v>2</v>
      </c>
      <c r="EA33">
        <f t="shared" si="226"/>
        <v>3</v>
      </c>
      <c r="EB33">
        <f t="shared" si="226"/>
        <v>4</v>
      </c>
      <c r="EC33">
        <f t="shared" si="226"/>
        <v>5</v>
      </c>
      <c r="ED33">
        <f t="shared" si="226"/>
        <v>6</v>
      </c>
      <c r="EE33">
        <f t="shared" si="226"/>
        <v>7</v>
      </c>
      <c r="EF33">
        <f t="shared" si="226"/>
        <v>8</v>
      </c>
      <c r="EG33">
        <f t="shared" si="226"/>
        <v>9</v>
      </c>
      <c r="EH33">
        <f t="shared" si="226"/>
        <v>10</v>
      </c>
      <c r="EI33">
        <f t="shared" si="226"/>
        <v>11</v>
      </c>
      <c r="EJ33">
        <f t="shared" ref="EJ33:GF33" si="227">IF(EI33=12,1,EI33+1)</f>
        <v>12</v>
      </c>
      <c r="EK33">
        <f t="shared" si="227"/>
        <v>1</v>
      </c>
      <c r="EL33">
        <f t="shared" si="227"/>
        <v>2</v>
      </c>
      <c r="EM33">
        <f t="shared" si="227"/>
        <v>3</v>
      </c>
      <c r="EN33">
        <f t="shared" si="227"/>
        <v>4</v>
      </c>
      <c r="EO33">
        <f t="shared" si="227"/>
        <v>5</v>
      </c>
      <c r="EP33">
        <f t="shared" si="227"/>
        <v>6</v>
      </c>
      <c r="EQ33">
        <f t="shared" si="227"/>
        <v>7</v>
      </c>
      <c r="ER33">
        <f t="shared" si="227"/>
        <v>8</v>
      </c>
      <c r="ES33">
        <f t="shared" si="227"/>
        <v>9</v>
      </c>
      <c r="ET33">
        <f t="shared" si="227"/>
        <v>10</v>
      </c>
      <c r="EU33">
        <f t="shared" si="227"/>
        <v>11</v>
      </c>
      <c r="EV33">
        <f t="shared" si="227"/>
        <v>12</v>
      </c>
      <c r="EW33">
        <f t="shared" si="227"/>
        <v>1</v>
      </c>
      <c r="EX33">
        <f t="shared" si="227"/>
        <v>2</v>
      </c>
      <c r="EY33">
        <f t="shared" si="227"/>
        <v>3</v>
      </c>
      <c r="EZ33">
        <f t="shared" si="227"/>
        <v>4</v>
      </c>
      <c r="FA33">
        <f t="shared" si="227"/>
        <v>5</v>
      </c>
      <c r="FB33">
        <f t="shared" si="227"/>
        <v>6</v>
      </c>
      <c r="FC33">
        <f t="shared" si="227"/>
        <v>7</v>
      </c>
      <c r="FD33">
        <f t="shared" si="227"/>
        <v>8</v>
      </c>
      <c r="FE33">
        <f t="shared" si="227"/>
        <v>9</v>
      </c>
      <c r="FF33">
        <f t="shared" si="227"/>
        <v>10</v>
      </c>
      <c r="FG33">
        <f t="shared" si="227"/>
        <v>11</v>
      </c>
      <c r="FH33">
        <f t="shared" si="227"/>
        <v>12</v>
      </c>
      <c r="FI33">
        <f t="shared" si="227"/>
        <v>1</v>
      </c>
      <c r="FJ33">
        <f t="shared" si="227"/>
        <v>2</v>
      </c>
      <c r="FK33">
        <f t="shared" si="227"/>
        <v>3</v>
      </c>
      <c r="FL33">
        <f t="shared" si="227"/>
        <v>4</v>
      </c>
      <c r="FM33">
        <f t="shared" si="227"/>
        <v>5</v>
      </c>
      <c r="FN33">
        <f t="shared" si="227"/>
        <v>6</v>
      </c>
      <c r="FO33">
        <f t="shared" si="227"/>
        <v>7</v>
      </c>
      <c r="FP33">
        <f t="shared" si="227"/>
        <v>8</v>
      </c>
      <c r="FQ33">
        <f t="shared" si="227"/>
        <v>9</v>
      </c>
      <c r="FR33">
        <f t="shared" si="227"/>
        <v>10</v>
      </c>
      <c r="FS33">
        <f t="shared" si="227"/>
        <v>11</v>
      </c>
      <c r="FT33">
        <f t="shared" si="227"/>
        <v>12</v>
      </c>
      <c r="FU33">
        <f t="shared" si="227"/>
        <v>1</v>
      </c>
      <c r="FV33">
        <f t="shared" si="227"/>
        <v>2</v>
      </c>
      <c r="FW33">
        <f t="shared" si="227"/>
        <v>3</v>
      </c>
      <c r="FX33">
        <f t="shared" si="227"/>
        <v>4</v>
      </c>
      <c r="FY33">
        <f t="shared" si="227"/>
        <v>5</v>
      </c>
      <c r="FZ33">
        <f t="shared" si="227"/>
        <v>6</v>
      </c>
      <c r="GA33">
        <f t="shared" si="227"/>
        <v>7</v>
      </c>
      <c r="GB33">
        <f t="shared" si="227"/>
        <v>8</v>
      </c>
      <c r="GC33">
        <f t="shared" si="227"/>
        <v>9</v>
      </c>
      <c r="GD33">
        <f t="shared" si="227"/>
        <v>10</v>
      </c>
      <c r="GE33">
        <f t="shared" si="227"/>
        <v>11</v>
      </c>
      <c r="GF33">
        <f t="shared" si="227"/>
        <v>12</v>
      </c>
    </row>
    <row r="34" spans="2:188" x14ac:dyDescent="0.3">
      <c r="C34" s="56" t="s">
        <v>709</v>
      </c>
      <c r="D34" s="513"/>
      <c r="E34" s="514">
        <v>45199</v>
      </c>
      <c r="F34" s="514">
        <v>45230</v>
      </c>
      <c r="G34" s="514">
        <v>45260</v>
      </c>
      <c r="H34" s="514">
        <v>45291</v>
      </c>
      <c r="I34" s="514">
        <v>45322</v>
      </c>
      <c r="J34" s="514">
        <v>45351</v>
      </c>
      <c r="K34" s="514">
        <v>45382</v>
      </c>
      <c r="L34" s="514">
        <v>45412</v>
      </c>
      <c r="M34" s="514">
        <v>45443</v>
      </c>
      <c r="N34" s="514">
        <v>45473</v>
      </c>
      <c r="O34" s="514">
        <v>45504</v>
      </c>
      <c r="P34" s="514">
        <v>45535</v>
      </c>
      <c r="Q34" s="514">
        <v>45565</v>
      </c>
      <c r="R34" s="514">
        <v>45596</v>
      </c>
      <c r="S34" s="514">
        <v>45626</v>
      </c>
      <c r="T34" s="514">
        <v>45657</v>
      </c>
      <c r="U34" s="514">
        <v>45688</v>
      </c>
      <c r="V34" s="514">
        <v>45716</v>
      </c>
      <c r="W34" s="514">
        <v>45747</v>
      </c>
      <c r="X34" s="514">
        <v>45777</v>
      </c>
      <c r="Y34" s="514">
        <v>45808</v>
      </c>
      <c r="Z34" s="514">
        <v>45838</v>
      </c>
      <c r="AA34" s="514">
        <v>45869</v>
      </c>
      <c r="AB34" s="514">
        <v>45900</v>
      </c>
      <c r="AC34" s="514">
        <v>45930</v>
      </c>
      <c r="AD34" s="514">
        <v>45961</v>
      </c>
      <c r="AE34" s="514">
        <v>45991</v>
      </c>
      <c r="AF34" s="514">
        <v>46022</v>
      </c>
      <c r="AG34" s="514">
        <v>46053</v>
      </c>
      <c r="AH34" s="514">
        <v>46081</v>
      </c>
      <c r="AI34" s="514">
        <v>46112</v>
      </c>
      <c r="AJ34" s="514">
        <v>46142</v>
      </c>
      <c r="AK34" s="514">
        <v>46173</v>
      </c>
      <c r="AL34" s="514">
        <v>46203</v>
      </c>
      <c r="AM34" s="514">
        <v>46234</v>
      </c>
      <c r="AN34" s="514">
        <v>46265</v>
      </c>
      <c r="AO34" s="514">
        <v>46295</v>
      </c>
      <c r="AP34" s="514">
        <v>46326</v>
      </c>
      <c r="AQ34" s="514">
        <v>46356</v>
      </c>
      <c r="AR34" s="514">
        <v>46387</v>
      </c>
      <c r="AS34" s="514">
        <v>46418</v>
      </c>
      <c r="AT34" s="514">
        <v>46446</v>
      </c>
      <c r="AU34" s="514">
        <v>46477</v>
      </c>
      <c r="AV34" s="514">
        <v>46507</v>
      </c>
      <c r="AW34" s="514">
        <v>46538</v>
      </c>
      <c r="AX34" s="514">
        <v>46568</v>
      </c>
      <c r="AY34" s="514">
        <v>46599</v>
      </c>
      <c r="AZ34" s="514">
        <v>46630</v>
      </c>
      <c r="BA34" s="514">
        <v>46660</v>
      </c>
      <c r="BB34" s="514">
        <v>46691</v>
      </c>
      <c r="BC34" s="514">
        <v>46721</v>
      </c>
      <c r="BD34" s="514">
        <v>46752</v>
      </c>
      <c r="BE34" s="514">
        <v>46783</v>
      </c>
      <c r="BF34" s="514">
        <v>46812</v>
      </c>
      <c r="BG34" s="514">
        <v>46843</v>
      </c>
      <c r="BH34" s="514">
        <v>46873</v>
      </c>
      <c r="BI34" s="514">
        <v>46904</v>
      </c>
      <c r="BJ34" s="514">
        <v>46934</v>
      </c>
      <c r="BK34" s="514">
        <v>46965</v>
      </c>
      <c r="BL34" s="514">
        <v>46996</v>
      </c>
      <c r="BM34" s="514">
        <v>47026</v>
      </c>
      <c r="BN34" s="514">
        <v>47057</v>
      </c>
      <c r="BO34" s="514">
        <v>47087</v>
      </c>
      <c r="BP34" s="514">
        <v>47118</v>
      </c>
      <c r="BQ34" s="514">
        <v>47149</v>
      </c>
      <c r="BR34" s="514">
        <v>47177</v>
      </c>
      <c r="BS34" s="514">
        <v>47208</v>
      </c>
      <c r="BT34" s="514">
        <v>47238</v>
      </c>
      <c r="BU34" s="514">
        <v>47269</v>
      </c>
      <c r="BV34" s="514">
        <v>47299</v>
      </c>
      <c r="BW34" s="514">
        <v>47330</v>
      </c>
      <c r="BX34" s="514">
        <v>47361</v>
      </c>
      <c r="BY34" s="514">
        <v>47391</v>
      </c>
      <c r="BZ34" s="514">
        <v>47422</v>
      </c>
      <c r="CA34" s="514">
        <v>47452</v>
      </c>
      <c r="CB34" s="514">
        <v>47483</v>
      </c>
      <c r="CC34" s="514">
        <v>47514</v>
      </c>
      <c r="CD34" s="514">
        <v>47542</v>
      </c>
      <c r="CE34" s="514">
        <v>47573</v>
      </c>
      <c r="CF34" s="514">
        <v>47603</v>
      </c>
      <c r="CG34" s="514">
        <v>47634</v>
      </c>
      <c r="CH34" s="514">
        <v>47664</v>
      </c>
      <c r="CI34" s="514">
        <v>47695</v>
      </c>
      <c r="CJ34" s="514">
        <v>47726</v>
      </c>
      <c r="CK34" s="514">
        <v>47756</v>
      </c>
      <c r="CL34" s="514">
        <v>47787</v>
      </c>
      <c r="CM34" s="514">
        <v>47817</v>
      </c>
      <c r="CN34" s="514">
        <v>47848</v>
      </c>
      <c r="CO34" s="514">
        <v>47879</v>
      </c>
      <c r="CP34" s="514">
        <v>47907</v>
      </c>
      <c r="CQ34" s="514">
        <v>47938</v>
      </c>
      <c r="CR34" s="514">
        <v>47968</v>
      </c>
      <c r="CS34" s="514">
        <v>47999</v>
      </c>
      <c r="CT34" s="514">
        <v>48029</v>
      </c>
      <c r="CU34" s="514">
        <v>48060</v>
      </c>
      <c r="CV34" s="514">
        <v>48091</v>
      </c>
      <c r="CW34" s="514">
        <v>48121</v>
      </c>
      <c r="CX34" s="514">
        <v>48152</v>
      </c>
      <c r="CY34" s="514">
        <v>48182</v>
      </c>
      <c r="CZ34" s="514">
        <v>48213</v>
      </c>
      <c r="DA34" s="514">
        <v>48244</v>
      </c>
      <c r="DB34" s="514">
        <v>48273</v>
      </c>
      <c r="DC34" s="514">
        <v>48304</v>
      </c>
      <c r="DD34" s="514">
        <v>48334</v>
      </c>
      <c r="DE34" s="514">
        <v>48365</v>
      </c>
      <c r="DF34" s="514">
        <v>48395</v>
      </c>
      <c r="DG34" s="514">
        <v>48426</v>
      </c>
      <c r="DH34" s="514">
        <v>48457</v>
      </c>
      <c r="DI34" s="514">
        <v>48487</v>
      </c>
      <c r="DJ34" s="514">
        <v>48518</v>
      </c>
      <c r="DK34" s="514">
        <v>48548</v>
      </c>
      <c r="DL34" s="514">
        <v>48579</v>
      </c>
      <c r="DM34" s="514">
        <v>48610</v>
      </c>
      <c r="DN34" s="514">
        <v>48638</v>
      </c>
      <c r="DO34" s="514">
        <v>48669</v>
      </c>
      <c r="DP34" s="514">
        <v>48699</v>
      </c>
      <c r="DQ34" s="514">
        <v>48730</v>
      </c>
      <c r="DR34" s="514">
        <v>48760</v>
      </c>
      <c r="DS34" s="514">
        <v>48791</v>
      </c>
      <c r="DT34" s="514">
        <v>48822</v>
      </c>
      <c r="DU34" s="514">
        <v>48852</v>
      </c>
      <c r="DV34" s="514">
        <v>48883</v>
      </c>
      <c r="DW34" s="514">
        <v>48913</v>
      </c>
      <c r="DX34" s="514">
        <v>48944</v>
      </c>
      <c r="DY34" s="514">
        <v>48975</v>
      </c>
      <c r="DZ34" s="514">
        <v>49003</v>
      </c>
      <c r="EA34" s="514">
        <v>49034</v>
      </c>
      <c r="EB34" s="514">
        <v>49064</v>
      </c>
      <c r="EC34" s="514">
        <v>49095</v>
      </c>
      <c r="ED34" s="514">
        <v>49125</v>
      </c>
      <c r="EE34" s="514">
        <v>49156</v>
      </c>
      <c r="EF34" s="514">
        <v>49187</v>
      </c>
      <c r="EG34" s="514">
        <v>49217</v>
      </c>
      <c r="EH34" s="514">
        <v>49248</v>
      </c>
      <c r="EI34" s="514">
        <v>49278</v>
      </c>
      <c r="EJ34" s="514">
        <v>49309</v>
      </c>
      <c r="EK34" s="514">
        <v>49340</v>
      </c>
      <c r="EL34" s="514">
        <v>49368</v>
      </c>
      <c r="EM34" s="514">
        <v>49399</v>
      </c>
      <c r="EN34" s="514">
        <v>49429</v>
      </c>
      <c r="EO34" s="514">
        <v>49460</v>
      </c>
      <c r="EP34" s="514">
        <v>49490</v>
      </c>
      <c r="EQ34" s="514">
        <v>49521</v>
      </c>
      <c r="ER34" s="514">
        <v>49552</v>
      </c>
      <c r="ES34" s="514">
        <v>49582</v>
      </c>
      <c r="ET34" s="514">
        <v>49613</v>
      </c>
      <c r="EU34" s="514">
        <v>49643</v>
      </c>
      <c r="EV34" s="514">
        <v>49674</v>
      </c>
      <c r="EW34" s="514">
        <v>49705</v>
      </c>
      <c r="EX34" s="514">
        <v>49734</v>
      </c>
      <c r="EY34" s="514">
        <v>49765</v>
      </c>
      <c r="EZ34" s="514">
        <v>49795</v>
      </c>
      <c r="FA34" s="514">
        <v>49826</v>
      </c>
      <c r="FB34" s="514">
        <v>49856</v>
      </c>
      <c r="FC34" s="514">
        <v>49887</v>
      </c>
      <c r="FD34" s="514">
        <v>49918</v>
      </c>
      <c r="FE34" s="514">
        <v>49948</v>
      </c>
      <c r="FF34" s="514">
        <v>49979</v>
      </c>
      <c r="FG34" s="514">
        <v>50009</v>
      </c>
      <c r="FH34" s="514">
        <v>50040</v>
      </c>
      <c r="FI34" s="514">
        <v>50071</v>
      </c>
      <c r="FJ34" s="514">
        <v>50099</v>
      </c>
      <c r="FK34" s="514">
        <v>50130</v>
      </c>
      <c r="FL34" s="514">
        <v>50160</v>
      </c>
      <c r="FM34" s="514">
        <v>50191</v>
      </c>
      <c r="FN34" s="514">
        <v>50221</v>
      </c>
      <c r="FO34" s="514">
        <v>50252</v>
      </c>
      <c r="FP34" s="514">
        <v>50283</v>
      </c>
      <c r="FQ34" s="514">
        <v>50313</v>
      </c>
      <c r="FR34" s="514">
        <v>50344</v>
      </c>
      <c r="FS34" s="514">
        <v>50374</v>
      </c>
      <c r="FT34" s="514">
        <v>50405</v>
      </c>
      <c r="FU34" s="514">
        <v>50436</v>
      </c>
      <c r="FV34" s="514">
        <v>50464</v>
      </c>
      <c r="FW34" s="514">
        <v>50495</v>
      </c>
      <c r="FX34" s="514">
        <v>50525</v>
      </c>
      <c r="FY34" s="514">
        <v>50556</v>
      </c>
      <c r="FZ34" s="514">
        <v>50586</v>
      </c>
      <c r="GA34" s="514">
        <v>50617</v>
      </c>
      <c r="GB34" s="514">
        <v>50648</v>
      </c>
      <c r="GC34" s="514">
        <v>50678</v>
      </c>
      <c r="GD34" s="514">
        <v>50709</v>
      </c>
      <c r="GE34" s="514">
        <v>50739</v>
      </c>
      <c r="GF34" s="515">
        <v>50770</v>
      </c>
    </row>
    <row r="35" spans="2:188" x14ac:dyDescent="0.3">
      <c r="C35" s="611" t="s">
        <v>102</v>
      </c>
      <c r="D35" s="612" t="s">
        <v>107</v>
      </c>
      <c r="E35" s="61">
        <v>2023</v>
      </c>
      <c r="F35" s="61">
        <f>E35</f>
        <v>2023</v>
      </c>
      <c r="G35" s="61">
        <f t="shared" ref="G35:H35" si="228">F35</f>
        <v>2023</v>
      </c>
      <c r="H35" s="61">
        <f t="shared" si="228"/>
        <v>2023</v>
      </c>
      <c r="I35" s="61">
        <f>IF(AND(I33=1,H35&lt;2039),H35+1,IF(H35&lt;2039,H35,""))</f>
        <v>2024</v>
      </c>
      <c r="J35" s="61">
        <f t="shared" ref="J35" si="229">IF(AND(J33=1,I35&lt;2039),I35+1,IF(I35&lt;2039,I35,""))</f>
        <v>2024</v>
      </c>
      <c r="K35" s="61">
        <f t="shared" ref="K35" si="230">IF(AND(K33=1,J35&lt;2039),J35+1,IF(J35&lt;2039,J35,""))</f>
        <v>2024</v>
      </c>
      <c r="L35" s="61">
        <f t="shared" ref="L35" si="231">IF(AND(L33=1,K35&lt;2039),K35+1,IF(K35&lt;2039,K35,""))</f>
        <v>2024</v>
      </c>
      <c r="M35" s="61">
        <f t="shared" ref="M35" si="232">IF(AND(M33=1,L35&lt;2039),L35+1,IF(L35&lt;2039,L35,""))</f>
        <v>2024</v>
      </c>
      <c r="N35" s="61">
        <f t="shared" ref="N35" si="233">IF(AND(N33=1,M35&lt;2039),M35+1,IF(M35&lt;2039,M35,""))</f>
        <v>2024</v>
      </c>
      <c r="O35" s="61">
        <f t="shared" ref="O35" si="234">IF(AND(O33=1,N35&lt;2039),N35+1,IF(N35&lt;2039,N35,""))</f>
        <v>2024</v>
      </c>
      <c r="P35" s="61">
        <f t="shared" ref="P35" si="235">IF(AND(P33=1,O35&lt;2039),O35+1,IF(O35&lt;2039,O35,""))</f>
        <v>2024</v>
      </c>
      <c r="Q35" s="61">
        <f t="shared" ref="Q35" si="236">IF(AND(Q33=1,P35&lt;2039),P35+1,IF(P35&lt;2039,P35,""))</f>
        <v>2024</v>
      </c>
      <c r="R35" s="61">
        <f t="shared" ref="R35" si="237">IF(AND(R33=1,Q35&lt;2039),Q35+1,IF(Q35&lt;2039,Q35,""))</f>
        <v>2024</v>
      </c>
      <c r="S35" s="61">
        <f t="shared" ref="S35" si="238">IF(AND(S33=1,R35&lt;2039),R35+1,IF(R35&lt;2039,R35,""))</f>
        <v>2024</v>
      </c>
      <c r="T35" s="61">
        <f t="shared" ref="T35" si="239">IF(AND(T33=1,S35&lt;2039),S35+1,IF(S35&lt;2039,S35,""))</f>
        <v>2024</v>
      </c>
      <c r="U35" s="61">
        <f t="shared" ref="U35" si="240">IF(AND(U33=1,T35&lt;2039),T35+1,IF(T35&lt;2039,T35,""))</f>
        <v>2025</v>
      </c>
      <c r="V35" s="61">
        <f t="shared" ref="V35" si="241">IF(AND(V33=1,U35&lt;2039),U35+1,IF(U35&lt;2039,U35,""))</f>
        <v>2025</v>
      </c>
      <c r="W35" s="61">
        <f t="shared" ref="W35" si="242">IF(AND(W33=1,V35&lt;2039),V35+1,IF(V35&lt;2039,V35,""))</f>
        <v>2025</v>
      </c>
      <c r="X35" s="61">
        <f t="shared" ref="X35" si="243">IF(AND(X33=1,W35&lt;2039),W35+1,IF(W35&lt;2039,W35,""))</f>
        <v>2025</v>
      </c>
      <c r="Y35" s="61">
        <f t="shared" ref="Y35" si="244">IF(AND(Y33=1,X35&lt;2039),X35+1,IF(X35&lt;2039,X35,""))</f>
        <v>2025</v>
      </c>
      <c r="Z35" s="61">
        <f t="shared" ref="Z35" si="245">IF(AND(Z33=1,Y35&lt;2039),Y35+1,IF(Y35&lt;2039,Y35,""))</f>
        <v>2025</v>
      </c>
      <c r="AA35" s="61">
        <f t="shared" ref="AA35" si="246">IF(AND(AA33=1,Z35&lt;2039),Z35+1,IF(Z35&lt;2039,Z35,""))</f>
        <v>2025</v>
      </c>
      <c r="AB35" s="61">
        <f t="shared" ref="AB35" si="247">IF(AND(AB33=1,AA35&lt;2039),AA35+1,IF(AA35&lt;2039,AA35,""))</f>
        <v>2025</v>
      </c>
      <c r="AC35" s="61">
        <f t="shared" ref="AC35" si="248">IF(AND(AC33=1,AB35&lt;2039),AB35+1,IF(AB35&lt;2039,AB35,""))</f>
        <v>2025</v>
      </c>
      <c r="AD35" s="61">
        <f t="shared" ref="AD35" si="249">IF(AND(AD33=1,AC35&lt;2039),AC35+1,IF(AC35&lt;2039,AC35,""))</f>
        <v>2025</v>
      </c>
      <c r="AE35" s="61">
        <f t="shared" ref="AE35" si="250">IF(AND(AE33=1,AD35&lt;2039),AD35+1,IF(AD35&lt;2039,AD35,""))</f>
        <v>2025</v>
      </c>
      <c r="AF35" s="61">
        <f t="shared" ref="AF35" si="251">IF(AND(AF33=1,AE35&lt;2039),AE35+1,IF(AE35&lt;2039,AE35,""))</f>
        <v>2025</v>
      </c>
      <c r="AG35" s="61">
        <f t="shared" ref="AG35" si="252">IF(AND(AG33=1,AF35&lt;2039),AF35+1,IF(AF35&lt;2039,AF35,""))</f>
        <v>2026</v>
      </c>
      <c r="AH35" s="61">
        <f t="shared" ref="AH35" si="253">IF(AND(AH33=1,AG35&lt;2039),AG35+1,IF(AG35&lt;2039,AG35,""))</f>
        <v>2026</v>
      </c>
      <c r="AI35" s="61">
        <f t="shared" ref="AI35" si="254">IF(AND(AI33=1,AH35&lt;2039),AH35+1,IF(AH35&lt;2039,AH35,""))</f>
        <v>2026</v>
      </c>
      <c r="AJ35" s="61">
        <f t="shared" ref="AJ35" si="255">IF(AND(AJ33=1,AI35&lt;2039),AI35+1,IF(AI35&lt;2039,AI35,""))</f>
        <v>2026</v>
      </c>
      <c r="AK35" s="61">
        <f t="shared" ref="AK35" si="256">IF(AND(AK33=1,AJ35&lt;2039),AJ35+1,IF(AJ35&lt;2039,AJ35,""))</f>
        <v>2026</v>
      </c>
      <c r="AL35" s="61">
        <f t="shared" ref="AL35" si="257">IF(AND(AL33=1,AK35&lt;2039),AK35+1,IF(AK35&lt;2039,AK35,""))</f>
        <v>2026</v>
      </c>
      <c r="AM35" s="61">
        <f t="shared" ref="AM35" si="258">IF(AND(AM33=1,AL35&lt;2039),AL35+1,IF(AL35&lt;2039,AL35,""))</f>
        <v>2026</v>
      </c>
      <c r="AN35" s="61">
        <f t="shared" ref="AN35" si="259">IF(AND(AN33=1,AM35&lt;2039),AM35+1,IF(AM35&lt;2039,AM35,""))</f>
        <v>2026</v>
      </c>
      <c r="AO35" s="61">
        <f t="shared" ref="AO35" si="260">IF(AND(AO33=1,AN35&lt;2039),AN35+1,IF(AN35&lt;2039,AN35,""))</f>
        <v>2026</v>
      </c>
      <c r="AP35" s="61">
        <f t="shared" ref="AP35" si="261">IF(AND(AP33=1,AO35&lt;2039),AO35+1,IF(AO35&lt;2039,AO35,""))</f>
        <v>2026</v>
      </c>
      <c r="AQ35" s="61">
        <f t="shared" ref="AQ35" si="262">IF(AND(AQ33=1,AP35&lt;2039),AP35+1,IF(AP35&lt;2039,AP35,""))</f>
        <v>2026</v>
      </c>
      <c r="AR35" s="61">
        <f t="shared" ref="AR35" si="263">IF(AND(AR33=1,AQ35&lt;2039),AQ35+1,IF(AQ35&lt;2039,AQ35,""))</f>
        <v>2026</v>
      </c>
      <c r="AS35" s="61">
        <f t="shared" ref="AS35" si="264">IF(AND(AS33=1,AR35&lt;2039),AR35+1,IF(AR35&lt;2039,AR35,""))</f>
        <v>2027</v>
      </c>
      <c r="AT35" s="61">
        <f t="shared" ref="AT35" si="265">IF(AND(AT33=1,AS35&lt;2039),AS35+1,IF(AS35&lt;2039,AS35,""))</f>
        <v>2027</v>
      </c>
      <c r="AU35" s="61">
        <f t="shared" ref="AU35" si="266">IF(AND(AU33=1,AT35&lt;2039),AT35+1,IF(AT35&lt;2039,AT35,""))</f>
        <v>2027</v>
      </c>
      <c r="AV35" s="61">
        <f t="shared" ref="AV35" si="267">IF(AND(AV33=1,AU35&lt;2039),AU35+1,IF(AU35&lt;2039,AU35,""))</f>
        <v>2027</v>
      </c>
      <c r="AW35" s="61">
        <f t="shared" ref="AW35" si="268">IF(AND(AW33=1,AV35&lt;2039),AV35+1,IF(AV35&lt;2039,AV35,""))</f>
        <v>2027</v>
      </c>
      <c r="AX35" s="61">
        <f t="shared" ref="AX35" si="269">IF(AND(AX33=1,AW35&lt;2039),AW35+1,IF(AW35&lt;2039,AW35,""))</f>
        <v>2027</v>
      </c>
      <c r="AY35" s="61">
        <f t="shared" ref="AY35" si="270">IF(AND(AY33=1,AX35&lt;2039),AX35+1,IF(AX35&lt;2039,AX35,""))</f>
        <v>2027</v>
      </c>
      <c r="AZ35" s="61">
        <f t="shared" ref="AZ35" si="271">IF(AND(AZ33=1,AY35&lt;2039),AY35+1,IF(AY35&lt;2039,AY35,""))</f>
        <v>2027</v>
      </c>
      <c r="BA35" s="61">
        <f t="shared" ref="BA35" si="272">IF(AND(BA33=1,AZ35&lt;2039),AZ35+1,IF(AZ35&lt;2039,AZ35,""))</f>
        <v>2027</v>
      </c>
      <c r="BB35" s="61">
        <f t="shared" ref="BB35" si="273">IF(AND(BB33=1,BA35&lt;2039),BA35+1,IF(BA35&lt;2039,BA35,""))</f>
        <v>2027</v>
      </c>
      <c r="BC35" s="61">
        <f t="shared" ref="BC35" si="274">IF(AND(BC33=1,BB35&lt;2039),BB35+1,IF(BB35&lt;2039,BB35,""))</f>
        <v>2027</v>
      </c>
      <c r="BD35" s="61">
        <f t="shared" ref="BD35" si="275">IF(AND(BD33=1,BC35&lt;2039),BC35+1,IF(BC35&lt;2039,BC35,""))</f>
        <v>2027</v>
      </c>
      <c r="BE35" s="61">
        <f t="shared" ref="BE35" si="276">IF(AND(BE33=1,BD35&lt;2039),BD35+1,IF(BD35&lt;2039,BD35,""))</f>
        <v>2028</v>
      </c>
      <c r="BF35" s="61">
        <f t="shared" ref="BF35" si="277">IF(AND(BF33=1,BE35&lt;2039),BE35+1,IF(BE35&lt;2039,BE35,""))</f>
        <v>2028</v>
      </c>
      <c r="BG35" s="61">
        <f t="shared" ref="BG35" si="278">IF(AND(BG33=1,BF35&lt;2039),BF35+1,IF(BF35&lt;2039,BF35,""))</f>
        <v>2028</v>
      </c>
      <c r="BH35" s="61">
        <f t="shared" ref="BH35" si="279">IF(AND(BH33=1,BG35&lt;2039),BG35+1,IF(BG35&lt;2039,BG35,""))</f>
        <v>2028</v>
      </c>
      <c r="BI35" s="61">
        <f t="shared" ref="BI35" si="280">IF(AND(BI33=1,BH35&lt;2039),BH35+1,IF(BH35&lt;2039,BH35,""))</f>
        <v>2028</v>
      </c>
      <c r="BJ35" s="61">
        <f t="shared" ref="BJ35" si="281">IF(AND(BJ33=1,BI35&lt;2039),BI35+1,IF(BI35&lt;2039,BI35,""))</f>
        <v>2028</v>
      </c>
      <c r="BK35" s="61">
        <f t="shared" ref="BK35" si="282">IF(AND(BK33=1,BJ35&lt;2039),BJ35+1,IF(BJ35&lt;2039,BJ35,""))</f>
        <v>2028</v>
      </c>
      <c r="BL35" s="61">
        <f t="shared" ref="BL35" si="283">IF(AND(BL33=1,BK35&lt;2039),BK35+1,IF(BK35&lt;2039,BK35,""))</f>
        <v>2028</v>
      </c>
      <c r="BM35" s="61">
        <f t="shared" ref="BM35" si="284">IF(AND(BM33=1,BL35&lt;2039),BL35+1,IF(BL35&lt;2039,BL35,""))</f>
        <v>2028</v>
      </c>
      <c r="BN35" s="61">
        <f t="shared" ref="BN35" si="285">IF(AND(BN33=1,BM35&lt;2039),BM35+1,IF(BM35&lt;2039,BM35,""))</f>
        <v>2028</v>
      </c>
      <c r="BO35" s="61">
        <f t="shared" ref="BO35" si="286">IF(AND(BO33=1,BN35&lt;2039),BN35+1,IF(BN35&lt;2039,BN35,""))</f>
        <v>2028</v>
      </c>
      <c r="BP35" s="61">
        <f t="shared" ref="BP35" si="287">IF(AND(BP33=1,BO35&lt;2039),BO35+1,IF(BO35&lt;2039,BO35,""))</f>
        <v>2028</v>
      </c>
      <c r="BQ35" s="61">
        <f t="shared" ref="BQ35" si="288">IF(AND(BQ33=1,BP35&lt;2039),BP35+1,IF(BP35&lt;2039,BP35,""))</f>
        <v>2029</v>
      </c>
      <c r="BR35" s="61">
        <f t="shared" ref="BR35" si="289">IF(AND(BR33=1,BQ35&lt;2039),BQ35+1,IF(BQ35&lt;2039,BQ35,""))</f>
        <v>2029</v>
      </c>
      <c r="BS35" s="61">
        <f t="shared" ref="BS35" si="290">IF(AND(BS33=1,BR35&lt;2039),BR35+1,IF(BR35&lt;2039,BR35,""))</f>
        <v>2029</v>
      </c>
      <c r="BT35" s="61">
        <f t="shared" ref="BT35" si="291">IF(AND(BT33=1,BS35&lt;2039),BS35+1,IF(BS35&lt;2039,BS35,""))</f>
        <v>2029</v>
      </c>
      <c r="BU35" s="61">
        <f t="shared" ref="BU35" si="292">IF(AND(BU33=1,BT35&lt;2039),BT35+1,IF(BT35&lt;2039,BT35,""))</f>
        <v>2029</v>
      </c>
      <c r="BV35" s="61">
        <f t="shared" ref="BV35" si="293">IF(AND(BV33=1,BU35&lt;2039),BU35+1,IF(BU35&lt;2039,BU35,""))</f>
        <v>2029</v>
      </c>
      <c r="BW35" s="61">
        <f t="shared" ref="BW35" si="294">IF(AND(BW33=1,BV35&lt;2039),BV35+1,IF(BV35&lt;2039,BV35,""))</f>
        <v>2029</v>
      </c>
      <c r="BX35" s="61">
        <f t="shared" ref="BX35" si="295">IF(AND(BX33=1,BW35&lt;2039),BW35+1,IF(BW35&lt;2039,BW35,""))</f>
        <v>2029</v>
      </c>
      <c r="BY35" s="61">
        <f t="shared" ref="BY35" si="296">IF(AND(BY33=1,BX35&lt;2039),BX35+1,IF(BX35&lt;2039,BX35,""))</f>
        <v>2029</v>
      </c>
      <c r="BZ35" s="61">
        <f t="shared" ref="BZ35" si="297">IF(AND(BZ33=1,BY35&lt;2039),BY35+1,IF(BY35&lt;2039,BY35,""))</f>
        <v>2029</v>
      </c>
      <c r="CA35" s="61">
        <f t="shared" ref="CA35" si="298">IF(AND(CA33=1,BZ35&lt;2039),BZ35+1,IF(BZ35&lt;2039,BZ35,""))</f>
        <v>2029</v>
      </c>
      <c r="CB35" s="61">
        <f t="shared" ref="CB35" si="299">IF(AND(CB33=1,CA35&lt;2039),CA35+1,IF(CA35&lt;2039,CA35,""))</f>
        <v>2029</v>
      </c>
      <c r="CC35" s="61">
        <f t="shared" ref="CC35" si="300">IF(AND(CC33=1,CB35&lt;2039),CB35+1,IF(CB35&lt;2039,CB35,""))</f>
        <v>2030</v>
      </c>
      <c r="CD35" s="61">
        <f t="shared" ref="CD35" si="301">IF(AND(CD33=1,CC35&lt;2039),CC35+1,IF(CC35&lt;2039,CC35,""))</f>
        <v>2030</v>
      </c>
      <c r="CE35" s="61">
        <f t="shared" ref="CE35" si="302">IF(AND(CE33=1,CD35&lt;2039),CD35+1,IF(CD35&lt;2039,CD35,""))</f>
        <v>2030</v>
      </c>
      <c r="CF35" s="61">
        <f t="shared" ref="CF35" si="303">IF(AND(CF33=1,CE35&lt;2039),CE35+1,IF(CE35&lt;2039,CE35,""))</f>
        <v>2030</v>
      </c>
      <c r="CG35" s="61">
        <f t="shared" ref="CG35" si="304">IF(AND(CG33=1,CF35&lt;2039),CF35+1,IF(CF35&lt;2039,CF35,""))</f>
        <v>2030</v>
      </c>
      <c r="CH35" s="61">
        <f t="shared" ref="CH35" si="305">IF(AND(CH33=1,CG35&lt;2039),CG35+1,IF(CG35&lt;2039,CG35,""))</f>
        <v>2030</v>
      </c>
      <c r="CI35" s="61">
        <f t="shared" ref="CI35" si="306">IF(AND(CI33=1,CH35&lt;2039),CH35+1,IF(CH35&lt;2039,CH35,""))</f>
        <v>2030</v>
      </c>
      <c r="CJ35" s="61">
        <f t="shared" ref="CJ35" si="307">IF(AND(CJ33=1,CI35&lt;2039),CI35+1,IF(CI35&lt;2039,CI35,""))</f>
        <v>2030</v>
      </c>
      <c r="CK35" s="61">
        <f t="shared" ref="CK35" si="308">IF(AND(CK33=1,CJ35&lt;2039),CJ35+1,IF(CJ35&lt;2039,CJ35,""))</f>
        <v>2030</v>
      </c>
      <c r="CL35" s="61">
        <f t="shared" ref="CL35" si="309">IF(AND(CL33=1,CK35&lt;2039),CK35+1,IF(CK35&lt;2039,CK35,""))</f>
        <v>2030</v>
      </c>
      <c r="CM35" s="61">
        <f t="shared" ref="CM35" si="310">IF(AND(CM33=1,CL35&lt;2039),CL35+1,IF(CL35&lt;2039,CL35,""))</f>
        <v>2030</v>
      </c>
      <c r="CN35" s="61">
        <f t="shared" ref="CN35" si="311">IF(AND(CN33=1,CM35&lt;2039),CM35+1,IF(CM35&lt;2039,CM35,""))</f>
        <v>2030</v>
      </c>
      <c r="CO35" s="61">
        <f t="shared" ref="CO35" si="312">IF(AND(CO33=1,CN35&lt;2039),CN35+1,IF(CN35&lt;2039,CN35,""))</f>
        <v>2031</v>
      </c>
      <c r="CP35" s="61">
        <f t="shared" ref="CP35" si="313">IF(AND(CP33=1,CO35&lt;2039),CO35+1,IF(CO35&lt;2039,CO35,""))</f>
        <v>2031</v>
      </c>
      <c r="CQ35" s="61">
        <f t="shared" ref="CQ35" si="314">IF(AND(CQ33=1,CP35&lt;2039),CP35+1,IF(CP35&lt;2039,CP35,""))</f>
        <v>2031</v>
      </c>
      <c r="CR35" s="61">
        <f t="shared" ref="CR35" si="315">IF(AND(CR33=1,CQ35&lt;2039),CQ35+1,IF(CQ35&lt;2039,CQ35,""))</f>
        <v>2031</v>
      </c>
      <c r="CS35" s="61">
        <f t="shared" ref="CS35" si="316">IF(AND(CS33=1,CR35&lt;2039),CR35+1,IF(CR35&lt;2039,CR35,""))</f>
        <v>2031</v>
      </c>
      <c r="CT35" s="61">
        <f t="shared" ref="CT35" si="317">IF(AND(CT33=1,CS35&lt;2039),CS35+1,IF(CS35&lt;2039,CS35,""))</f>
        <v>2031</v>
      </c>
      <c r="CU35" s="61">
        <f t="shared" ref="CU35" si="318">IF(AND(CU33=1,CT35&lt;2039),CT35+1,IF(CT35&lt;2039,CT35,""))</f>
        <v>2031</v>
      </c>
      <c r="CV35" s="61">
        <f t="shared" ref="CV35" si="319">IF(AND(CV33=1,CU35&lt;2039),CU35+1,IF(CU35&lt;2039,CU35,""))</f>
        <v>2031</v>
      </c>
      <c r="CW35" s="61">
        <f t="shared" ref="CW35" si="320">IF(AND(CW33=1,CV35&lt;2039),CV35+1,IF(CV35&lt;2039,CV35,""))</f>
        <v>2031</v>
      </c>
      <c r="CX35" s="61">
        <f t="shared" ref="CX35" si="321">IF(AND(CX33=1,CW35&lt;2039),CW35+1,IF(CW35&lt;2039,CW35,""))</f>
        <v>2031</v>
      </c>
      <c r="CY35" s="61">
        <f t="shared" ref="CY35" si="322">IF(AND(CY33=1,CX35&lt;2039),CX35+1,IF(CX35&lt;2039,CX35,""))</f>
        <v>2031</v>
      </c>
      <c r="CZ35" s="61">
        <f t="shared" ref="CZ35" si="323">IF(AND(CZ33=1,CY35&lt;2039),CY35+1,IF(CY35&lt;2039,CY35,""))</f>
        <v>2031</v>
      </c>
      <c r="DA35" s="61">
        <f t="shared" ref="DA35" si="324">IF(AND(DA33=1,CZ35&lt;2039),CZ35+1,IF(CZ35&lt;2039,CZ35,""))</f>
        <v>2032</v>
      </c>
      <c r="DB35" s="61">
        <f t="shared" ref="DB35" si="325">IF(AND(DB33=1,DA35&lt;2039),DA35+1,IF(DA35&lt;2039,DA35,""))</f>
        <v>2032</v>
      </c>
      <c r="DC35" s="61">
        <f t="shared" ref="DC35" si="326">IF(AND(DC33=1,DB35&lt;2039),DB35+1,IF(DB35&lt;2039,DB35,""))</f>
        <v>2032</v>
      </c>
      <c r="DD35" s="61">
        <f t="shared" ref="DD35" si="327">IF(AND(DD33=1,DC35&lt;2039),DC35+1,IF(DC35&lt;2039,DC35,""))</f>
        <v>2032</v>
      </c>
      <c r="DE35" s="61">
        <f t="shared" ref="DE35" si="328">IF(AND(DE33=1,DD35&lt;2039),DD35+1,IF(DD35&lt;2039,DD35,""))</f>
        <v>2032</v>
      </c>
      <c r="DF35" s="61">
        <f t="shared" ref="DF35" si="329">IF(AND(DF33=1,DE35&lt;2039),DE35+1,IF(DE35&lt;2039,DE35,""))</f>
        <v>2032</v>
      </c>
      <c r="DG35" s="61">
        <f t="shared" ref="DG35" si="330">IF(AND(DG33=1,DF35&lt;2039),DF35+1,IF(DF35&lt;2039,DF35,""))</f>
        <v>2032</v>
      </c>
      <c r="DH35" s="61">
        <f t="shared" ref="DH35" si="331">IF(AND(DH33=1,DG35&lt;2039),DG35+1,IF(DG35&lt;2039,DG35,""))</f>
        <v>2032</v>
      </c>
      <c r="DI35" s="61">
        <f t="shared" ref="DI35" si="332">IF(AND(DI33=1,DH35&lt;2039),DH35+1,IF(DH35&lt;2039,DH35,""))</f>
        <v>2032</v>
      </c>
      <c r="DJ35" s="61">
        <f t="shared" ref="DJ35" si="333">IF(AND(DJ33=1,DI35&lt;2039),DI35+1,IF(DI35&lt;2039,DI35,""))</f>
        <v>2032</v>
      </c>
      <c r="DK35" s="61">
        <f t="shared" ref="DK35" si="334">IF(AND(DK33=1,DJ35&lt;2039),DJ35+1,IF(DJ35&lt;2039,DJ35,""))</f>
        <v>2032</v>
      </c>
      <c r="DL35" s="61">
        <f t="shared" ref="DL35" si="335">IF(AND(DL33=1,DK35&lt;2039),DK35+1,IF(DK35&lt;2039,DK35,""))</f>
        <v>2032</v>
      </c>
      <c r="DM35" s="61">
        <f t="shared" ref="DM35" si="336">IF(AND(DM33=1,DL35&lt;2039),DL35+1,IF(DL35&lt;2039,DL35,""))</f>
        <v>2033</v>
      </c>
      <c r="DN35" s="61">
        <f t="shared" ref="DN35" si="337">IF(AND(DN33=1,DM35&lt;2039),DM35+1,IF(DM35&lt;2039,DM35,""))</f>
        <v>2033</v>
      </c>
      <c r="DO35" s="61">
        <f t="shared" ref="DO35" si="338">IF(AND(DO33=1,DN35&lt;2039),DN35+1,IF(DN35&lt;2039,DN35,""))</f>
        <v>2033</v>
      </c>
      <c r="DP35" s="61">
        <f t="shared" ref="DP35" si="339">IF(AND(DP33=1,DO35&lt;2039),DO35+1,IF(DO35&lt;2039,DO35,""))</f>
        <v>2033</v>
      </c>
      <c r="DQ35" s="61">
        <f t="shared" ref="DQ35" si="340">IF(AND(DQ33=1,DP35&lt;2039),DP35+1,IF(DP35&lt;2039,DP35,""))</f>
        <v>2033</v>
      </c>
      <c r="DR35" s="61">
        <f t="shared" ref="DR35" si="341">IF(AND(DR33=1,DQ35&lt;2039),DQ35+1,IF(DQ35&lt;2039,DQ35,""))</f>
        <v>2033</v>
      </c>
      <c r="DS35" s="61">
        <f t="shared" ref="DS35" si="342">IF(AND(DS33=1,DR35&lt;2039),DR35+1,IF(DR35&lt;2039,DR35,""))</f>
        <v>2033</v>
      </c>
      <c r="DT35" s="61">
        <f t="shared" ref="DT35" si="343">IF(AND(DT33=1,DS35&lt;2039),DS35+1,IF(DS35&lt;2039,DS35,""))</f>
        <v>2033</v>
      </c>
      <c r="DU35" s="61">
        <f t="shared" ref="DU35" si="344">IF(AND(DU33=1,DT35&lt;2039),DT35+1,IF(DT35&lt;2039,DT35,""))</f>
        <v>2033</v>
      </c>
      <c r="DV35" s="61">
        <f t="shared" ref="DV35" si="345">IF(AND(DV33=1,DU35&lt;2039),DU35+1,IF(DU35&lt;2039,DU35,""))</f>
        <v>2033</v>
      </c>
      <c r="DW35" s="61">
        <f t="shared" ref="DW35" si="346">IF(AND(DW33=1,DV35&lt;2039),DV35+1,IF(DV35&lt;2039,DV35,""))</f>
        <v>2033</v>
      </c>
      <c r="DX35" s="61">
        <f t="shared" ref="DX35" si="347">IF(AND(DX33=1,DW35&lt;2039),DW35+1,IF(DW35&lt;2039,DW35,""))</f>
        <v>2033</v>
      </c>
      <c r="DY35" s="61">
        <f t="shared" ref="DY35" si="348">IF(AND(DY33=1,DX35&lt;2039),DX35+1,IF(DX35&lt;2039,DX35,""))</f>
        <v>2034</v>
      </c>
      <c r="DZ35" s="61">
        <f t="shared" ref="DZ35" si="349">IF(AND(DZ33=1,DY35&lt;2039),DY35+1,IF(DY35&lt;2039,DY35,""))</f>
        <v>2034</v>
      </c>
      <c r="EA35" s="61">
        <f t="shared" ref="EA35" si="350">IF(AND(EA33=1,DZ35&lt;2039),DZ35+1,IF(DZ35&lt;2039,DZ35,""))</f>
        <v>2034</v>
      </c>
      <c r="EB35" s="61">
        <f t="shared" ref="EB35" si="351">IF(AND(EB33=1,EA35&lt;2039),EA35+1,IF(EA35&lt;2039,EA35,""))</f>
        <v>2034</v>
      </c>
      <c r="EC35" s="61">
        <f t="shared" ref="EC35" si="352">IF(AND(EC33=1,EB35&lt;2039),EB35+1,IF(EB35&lt;2039,EB35,""))</f>
        <v>2034</v>
      </c>
      <c r="ED35" s="61">
        <f t="shared" ref="ED35" si="353">IF(AND(ED33=1,EC35&lt;2039),EC35+1,IF(EC35&lt;2039,EC35,""))</f>
        <v>2034</v>
      </c>
      <c r="EE35" s="61">
        <f t="shared" ref="EE35" si="354">IF(AND(EE33=1,ED35&lt;2039),ED35+1,IF(ED35&lt;2039,ED35,""))</f>
        <v>2034</v>
      </c>
      <c r="EF35" s="61">
        <f t="shared" ref="EF35" si="355">IF(AND(EF33=1,EE35&lt;2039),EE35+1,IF(EE35&lt;2039,EE35,""))</f>
        <v>2034</v>
      </c>
      <c r="EG35" s="61">
        <f t="shared" ref="EG35" si="356">IF(AND(EG33=1,EF35&lt;2039),EF35+1,IF(EF35&lt;2039,EF35,""))</f>
        <v>2034</v>
      </c>
      <c r="EH35" s="61">
        <f t="shared" ref="EH35" si="357">IF(AND(EH33=1,EG35&lt;2039),EG35+1,IF(EG35&lt;2039,EG35,""))</f>
        <v>2034</v>
      </c>
      <c r="EI35" s="61">
        <f t="shared" ref="EI35" si="358">IF(AND(EI33=1,EH35&lt;2039),EH35+1,IF(EH35&lt;2039,EH35,""))</f>
        <v>2034</v>
      </c>
      <c r="EJ35" s="61">
        <f t="shared" ref="EJ35" si="359">IF(AND(EJ33=1,EI35&lt;2039),EI35+1,IF(EI35&lt;2039,EI35,""))</f>
        <v>2034</v>
      </c>
      <c r="EK35" s="61">
        <f t="shared" ref="EK35" si="360">IF(AND(EK33=1,EJ35&lt;2039),EJ35+1,IF(EJ35&lt;2039,EJ35,""))</f>
        <v>2035</v>
      </c>
      <c r="EL35" s="61">
        <f t="shared" ref="EL35" si="361">IF(AND(EL33=1,EK35&lt;2039),EK35+1,IF(EK35&lt;2039,EK35,""))</f>
        <v>2035</v>
      </c>
      <c r="EM35" s="61">
        <f t="shared" ref="EM35" si="362">IF(AND(EM33=1,EL35&lt;2039),EL35+1,IF(EL35&lt;2039,EL35,""))</f>
        <v>2035</v>
      </c>
      <c r="EN35" s="61">
        <f t="shared" ref="EN35" si="363">IF(AND(EN33=1,EM35&lt;2039),EM35+1,IF(EM35&lt;2039,EM35,""))</f>
        <v>2035</v>
      </c>
      <c r="EO35" s="61">
        <f t="shared" ref="EO35" si="364">IF(AND(EO33=1,EN35&lt;2039),EN35+1,IF(EN35&lt;2039,EN35,""))</f>
        <v>2035</v>
      </c>
      <c r="EP35" s="61">
        <f t="shared" ref="EP35" si="365">IF(AND(EP33=1,EO35&lt;2039),EO35+1,IF(EO35&lt;2039,EO35,""))</f>
        <v>2035</v>
      </c>
      <c r="EQ35" s="61">
        <f t="shared" ref="EQ35" si="366">IF(AND(EQ33=1,EP35&lt;2039),EP35+1,IF(EP35&lt;2039,EP35,""))</f>
        <v>2035</v>
      </c>
      <c r="ER35" s="61">
        <f t="shared" ref="ER35" si="367">IF(AND(ER33=1,EQ35&lt;2039),EQ35+1,IF(EQ35&lt;2039,EQ35,""))</f>
        <v>2035</v>
      </c>
      <c r="ES35" s="61">
        <f t="shared" ref="ES35" si="368">IF(AND(ES33=1,ER35&lt;2039),ER35+1,IF(ER35&lt;2039,ER35,""))</f>
        <v>2035</v>
      </c>
      <c r="ET35" s="61">
        <f t="shared" ref="ET35" si="369">IF(AND(ET33=1,ES35&lt;2039),ES35+1,IF(ES35&lt;2039,ES35,""))</f>
        <v>2035</v>
      </c>
      <c r="EU35" s="61">
        <f t="shared" ref="EU35" si="370">IF(AND(EU33=1,ET35&lt;2039),ET35+1,IF(ET35&lt;2039,ET35,""))</f>
        <v>2035</v>
      </c>
      <c r="EV35" s="61">
        <f t="shared" ref="EV35" si="371">IF(AND(EV33=1,EU35&lt;2039),EU35+1,IF(EU35&lt;2039,EU35,""))</f>
        <v>2035</v>
      </c>
      <c r="EW35" s="61">
        <f t="shared" ref="EW35" si="372">IF(AND(EW33=1,EV35&lt;2039),EV35+1,IF(EV35&lt;2039,EV35,""))</f>
        <v>2036</v>
      </c>
      <c r="EX35" s="61">
        <f t="shared" ref="EX35" si="373">IF(AND(EX33=1,EW35&lt;2039),EW35+1,IF(EW35&lt;2039,EW35,""))</f>
        <v>2036</v>
      </c>
      <c r="EY35" s="61">
        <f t="shared" ref="EY35" si="374">IF(AND(EY33=1,EX35&lt;2039),EX35+1,IF(EX35&lt;2039,EX35,""))</f>
        <v>2036</v>
      </c>
      <c r="EZ35" s="61">
        <f t="shared" ref="EZ35" si="375">IF(AND(EZ33=1,EY35&lt;2039),EY35+1,IF(EY35&lt;2039,EY35,""))</f>
        <v>2036</v>
      </c>
      <c r="FA35" s="61">
        <f t="shared" ref="FA35" si="376">IF(AND(FA33=1,EZ35&lt;2039),EZ35+1,IF(EZ35&lt;2039,EZ35,""))</f>
        <v>2036</v>
      </c>
      <c r="FB35" s="61">
        <f t="shared" ref="FB35" si="377">IF(AND(FB33=1,FA35&lt;2039),FA35+1,IF(FA35&lt;2039,FA35,""))</f>
        <v>2036</v>
      </c>
      <c r="FC35" s="61">
        <f t="shared" ref="FC35" si="378">IF(AND(FC33=1,FB35&lt;2039),FB35+1,IF(FB35&lt;2039,FB35,""))</f>
        <v>2036</v>
      </c>
      <c r="FD35" s="61">
        <f t="shared" ref="FD35" si="379">IF(AND(FD33=1,FC35&lt;2039),FC35+1,IF(FC35&lt;2039,FC35,""))</f>
        <v>2036</v>
      </c>
      <c r="FE35" s="61">
        <f t="shared" ref="FE35" si="380">IF(AND(FE33=1,FD35&lt;2039),FD35+1,IF(FD35&lt;2039,FD35,""))</f>
        <v>2036</v>
      </c>
      <c r="FF35" s="61">
        <f t="shared" ref="FF35" si="381">IF(AND(FF33=1,FE35&lt;2039),FE35+1,IF(FE35&lt;2039,FE35,""))</f>
        <v>2036</v>
      </c>
      <c r="FG35" s="61">
        <f t="shared" ref="FG35" si="382">IF(AND(FG33=1,FF35&lt;2039),FF35+1,IF(FF35&lt;2039,FF35,""))</f>
        <v>2036</v>
      </c>
      <c r="FH35" s="61">
        <f t="shared" ref="FH35" si="383">IF(AND(FH33=1,FG35&lt;2039),FG35+1,IF(FG35&lt;2039,FG35,""))</f>
        <v>2036</v>
      </c>
      <c r="FI35" s="61">
        <f t="shared" ref="FI35" si="384">IF(AND(FI33=1,FH35&lt;2039),FH35+1,IF(FH35&lt;2039,FH35,""))</f>
        <v>2037</v>
      </c>
      <c r="FJ35" s="61">
        <f t="shared" ref="FJ35" si="385">IF(AND(FJ33=1,FI35&lt;2039),FI35+1,IF(FI35&lt;2039,FI35,""))</f>
        <v>2037</v>
      </c>
      <c r="FK35" s="61">
        <f t="shared" ref="FK35" si="386">IF(AND(FK33=1,FJ35&lt;2039),FJ35+1,IF(FJ35&lt;2039,FJ35,""))</f>
        <v>2037</v>
      </c>
      <c r="FL35" s="61">
        <f t="shared" ref="FL35" si="387">IF(AND(FL33=1,FK35&lt;2039),FK35+1,IF(FK35&lt;2039,FK35,""))</f>
        <v>2037</v>
      </c>
      <c r="FM35" s="61">
        <f t="shared" ref="FM35" si="388">IF(AND(FM33=1,FL35&lt;2039),FL35+1,IF(FL35&lt;2039,FL35,""))</f>
        <v>2037</v>
      </c>
      <c r="FN35" s="61">
        <f t="shared" ref="FN35" si="389">IF(AND(FN33=1,FM35&lt;2039),FM35+1,IF(FM35&lt;2039,FM35,""))</f>
        <v>2037</v>
      </c>
      <c r="FO35" s="61">
        <f t="shared" ref="FO35" si="390">IF(AND(FO33=1,FN35&lt;2039),FN35+1,IF(FN35&lt;2039,FN35,""))</f>
        <v>2037</v>
      </c>
      <c r="FP35" s="61">
        <f t="shared" ref="FP35" si="391">IF(AND(FP33=1,FO35&lt;2039),FO35+1,IF(FO35&lt;2039,FO35,""))</f>
        <v>2037</v>
      </c>
      <c r="FQ35" s="61">
        <f t="shared" ref="FQ35" si="392">IF(AND(FQ33=1,FP35&lt;2039),FP35+1,IF(FP35&lt;2039,FP35,""))</f>
        <v>2037</v>
      </c>
      <c r="FR35" s="61">
        <f t="shared" ref="FR35" si="393">IF(AND(FR33=1,FQ35&lt;2039),FQ35+1,IF(FQ35&lt;2039,FQ35,""))</f>
        <v>2037</v>
      </c>
      <c r="FS35" s="61">
        <f t="shared" ref="FS35" si="394">IF(AND(FS33=1,FR35&lt;2039),FR35+1,IF(FR35&lt;2039,FR35,""))</f>
        <v>2037</v>
      </c>
      <c r="FT35" s="61">
        <f t="shared" ref="FT35" si="395">IF(AND(FT33=1,FS35&lt;2039),FS35+1,IF(FS35&lt;2039,FS35,""))</f>
        <v>2037</v>
      </c>
      <c r="FU35" s="61">
        <f t="shared" ref="FU35" si="396">IF(AND(FU33=1,FT35&lt;2039),FT35+1,IF(FT35&lt;2039,FT35,""))</f>
        <v>2038</v>
      </c>
      <c r="FV35" s="61">
        <f t="shared" ref="FV35" si="397">IF(AND(FV33=1,FU35&lt;2039),FU35+1,IF(FU35&lt;2039,FU35,""))</f>
        <v>2038</v>
      </c>
      <c r="FW35" s="61">
        <f t="shared" ref="FW35" si="398">IF(AND(FW33=1,FV35&lt;2039),FV35+1,IF(FV35&lt;2039,FV35,""))</f>
        <v>2038</v>
      </c>
      <c r="FX35" s="61">
        <f t="shared" ref="FX35" si="399">IF(AND(FX33=1,FW35&lt;2039),FW35+1,IF(FW35&lt;2039,FW35,""))</f>
        <v>2038</v>
      </c>
      <c r="FY35" s="61">
        <f t="shared" ref="FY35" si="400">IF(AND(FY33=1,FX35&lt;2039),FX35+1,IF(FX35&lt;2039,FX35,""))</f>
        <v>2038</v>
      </c>
      <c r="FZ35" s="61">
        <f t="shared" ref="FZ35" si="401">IF(AND(FZ33=1,FY35&lt;2039),FY35+1,IF(FY35&lt;2039,FY35,""))</f>
        <v>2038</v>
      </c>
      <c r="GA35" s="61">
        <f t="shared" ref="GA35" si="402">IF(AND(GA33=1,FZ35&lt;2039),FZ35+1,IF(FZ35&lt;2039,FZ35,""))</f>
        <v>2038</v>
      </c>
      <c r="GB35" s="61">
        <f t="shared" ref="GB35" si="403">IF(AND(GB33=1,GA35&lt;2039),GA35+1,IF(GA35&lt;2039,GA35,""))</f>
        <v>2038</v>
      </c>
      <c r="GC35" s="61">
        <f t="shared" ref="GC35" si="404">IF(AND(GC33=1,GB35&lt;2039),GB35+1,IF(GB35&lt;2039,GB35,""))</f>
        <v>2038</v>
      </c>
      <c r="GD35" s="61">
        <f t="shared" ref="GD35" si="405">IF(AND(GD33=1,GC35&lt;2039),GC35+1,IF(GC35&lt;2039,GC35,""))</f>
        <v>2038</v>
      </c>
      <c r="GE35" s="61">
        <f t="shared" ref="GE35" si="406">IF(AND(GE33=1,GD35&lt;2039),GD35+1,IF(GD35&lt;2039,GD35,""))</f>
        <v>2038</v>
      </c>
      <c r="GF35" s="62">
        <f t="shared" ref="GF35" si="407">IF(AND(GF33=1,GE35&lt;2039),GE35+1,IF(GE35&lt;2039,GE35,""))</f>
        <v>2038</v>
      </c>
    </row>
    <row r="36" spans="2:188" x14ac:dyDescent="0.3">
      <c r="C36" s="611"/>
      <c r="D36" s="612"/>
      <c r="E36" s="61">
        <v>1</v>
      </c>
      <c r="F36" s="61">
        <f>E36+1</f>
        <v>2</v>
      </c>
      <c r="G36" s="61">
        <f t="shared" ref="G36:BR36" si="408">F36+1</f>
        <v>3</v>
      </c>
      <c r="H36" s="61">
        <f t="shared" si="408"/>
        <v>4</v>
      </c>
      <c r="I36" s="61">
        <f t="shared" si="408"/>
        <v>5</v>
      </c>
      <c r="J36" s="61">
        <f t="shared" si="408"/>
        <v>6</v>
      </c>
      <c r="K36" s="61">
        <f t="shared" si="408"/>
        <v>7</v>
      </c>
      <c r="L36" s="61">
        <f t="shared" si="408"/>
        <v>8</v>
      </c>
      <c r="M36" s="61">
        <f t="shared" si="408"/>
        <v>9</v>
      </c>
      <c r="N36" s="61">
        <f t="shared" si="408"/>
        <v>10</v>
      </c>
      <c r="O36" s="61">
        <f t="shared" si="408"/>
        <v>11</v>
      </c>
      <c r="P36" s="61">
        <f t="shared" si="408"/>
        <v>12</v>
      </c>
      <c r="Q36" s="61">
        <f t="shared" si="408"/>
        <v>13</v>
      </c>
      <c r="R36" s="61">
        <f t="shared" si="408"/>
        <v>14</v>
      </c>
      <c r="S36" s="61">
        <f t="shared" si="408"/>
        <v>15</v>
      </c>
      <c r="T36" s="61">
        <f t="shared" si="408"/>
        <v>16</v>
      </c>
      <c r="U36" s="61">
        <f t="shared" si="408"/>
        <v>17</v>
      </c>
      <c r="V36" s="61">
        <f t="shared" si="408"/>
        <v>18</v>
      </c>
      <c r="W36" s="61">
        <f t="shared" si="408"/>
        <v>19</v>
      </c>
      <c r="X36" s="61">
        <f t="shared" si="408"/>
        <v>20</v>
      </c>
      <c r="Y36" s="61">
        <f t="shared" si="408"/>
        <v>21</v>
      </c>
      <c r="Z36" s="61">
        <f t="shared" si="408"/>
        <v>22</v>
      </c>
      <c r="AA36" s="61">
        <f t="shared" si="408"/>
        <v>23</v>
      </c>
      <c r="AB36" s="61">
        <f t="shared" si="408"/>
        <v>24</v>
      </c>
      <c r="AC36" s="61">
        <f t="shared" si="408"/>
        <v>25</v>
      </c>
      <c r="AD36" s="61">
        <f t="shared" si="408"/>
        <v>26</v>
      </c>
      <c r="AE36" s="61">
        <f t="shared" si="408"/>
        <v>27</v>
      </c>
      <c r="AF36" s="61">
        <f t="shared" si="408"/>
        <v>28</v>
      </c>
      <c r="AG36" s="61">
        <f t="shared" si="408"/>
        <v>29</v>
      </c>
      <c r="AH36" s="61">
        <f t="shared" si="408"/>
        <v>30</v>
      </c>
      <c r="AI36" s="61">
        <f t="shared" si="408"/>
        <v>31</v>
      </c>
      <c r="AJ36" s="61">
        <f t="shared" si="408"/>
        <v>32</v>
      </c>
      <c r="AK36" s="61">
        <f t="shared" si="408"/>
        <v>33</v>
      </c>
      <c r="AL36" s="61">
        <f t="shared" si="408"/>
        <v>34</v>
      </c>
      <c r="AM36" s="61">
        <f t="shared" si="408"/>
        <v>35</v>
      </c>
      <c r="AN36" s="61">
        <f t="shared" si="408"/>
        <v>36</v>
      </c>
      <c r="AO36" s="61">
        <f t="shared" si="408"/>
        <v>37</v>
      </c>
      <c r="AP36" s="61">
        <f t="shared" si="408"/>
        <v>38</v>
      </c>
      <c r="AQ36" s="61">
        <f t="shared" si="408"/>
        <v>39</v>
      </c>
      <c r="AR36" s="61">
        <f t="shared" si="408"/>
        <v>40</v>
      </c>
      <c r="AS36" s="61">
        <f t="shared" si="408"/>
        <v>41</v>
      </c>
      <c r="AT36" s="61">
        <f t="shared" si="408"/>
        <v>42</v>
      </c>
      <c r="AU36" s="61">
        <f t="shared" si="408"/>
        <v>43</v>
      </c>
      <c r="AV36" s="61">
        <f t="shared" si="408"/>
        <v>44</v>
      </c>
      <c r="AW36" s="61">
        <f t="shared" si="408"/>
        <v>45</v>
      </c>
      <c r="AX36" s="61">
        <f t="shared" si="408"/>
        <v>46</v>
      </c>
      <c r="AY36" s="61">
        <f t="shared" si="408"/>
        <v>47</v>
      </c>
      <c r="AZ36" s="61">
        <f t="shared" si="408"/>
        <v>48</v>
      </c>
      <c r="BA36" s="61">
        <f t="shared" si="408"/>
        <v>49</v>
      </c>
      <c r="BB36" s="61">
        <f t="shared" si="408"/>
        <v>50</v>
      </c>
      <c r="BC36" s="61">
        <f t="shared" si="408"/>
        <v>51</v>
      </c>
      <c r="BD36" s="61">
        <f t="shared" si="408"/>
        <v>52</v>
      </c>
      <c r="BE36" s="61">
        <f t="shared" si="408"/>
        <v>53</v>
      </c>
      <c r="BF36" s="61">
        <f t="shared" si="408"/>
        <v>54</v>
      </c>
      <c r="BG36" s="61">
        <f t="shared" si="408"/>
        <v>55</v>
      </c>
      <c r="BH36" s="61">
        <f t="shared" si="408"/>
        <v>56</v>
      </c>
      <c r="BI36" s="61">
        <f t="shared" si="408"/>
        <v>57</v>
      </c>
      <c r="BJ36" s="61">
        <f t="shared" si="408"/>
        <v>58</v>
      </c>
      <c r="BK36" s="61">
        <f t="shared" si="408"/>
        <v>59</v>
      </c>
      <c r="BL36" s="61">
        <f t="shared" si="408"/>
        <v>60</v>
      </c>
      <c r="BM36" s="61">
        <f t="shared" si="408"/>
        <v>61</v>
      </c>
      <c r="BN36" s="61">
        <f t="shared" si="408"/>
        <v>62</v>
      </c>
      <c r="BO36" s="61">
        <f t="shared" si="408"/>
        <v>63</v>
      </c>
      <c r="BP36" s="61">
        <f t="shared" si="408"/>
        <v>64</v>
      </c>
      <c r="BQ36" s="61">
        <f t="shared" si="408"/>
        <v>65</v>
      </c>
      <c r="BR36" s="61">
        <f t="shared" si="408"/>
        <v>66</v>
      </c>
      <c r="BS36" s="61">
        <f t="shared" ref="BS36:ED36" si="409">BR36+1</f>
        <v>67</v>
      </c>
      <c r="BT36" s="61">
        <f t="shared" si="409"/>
        <v>68</v>
      </c>
      <c r="BU36" s="61">
        <f t="shared" si="409"/>
        <v>69</v>
      </c>
      <c r="BV36" s="61">
        <f t="shared" si="409"/>
        <v>70</v>
      </c>
      <c r="BW36" s="61">
        <f t="shared" si="409"/>
        <v>71</v>
      </c>
      <c r="BX36" s="61">
        <f t="shared" si="409"/>
        <v>72</v>
      </c>
      <c r="BY36" s="61">
        <f t="shared" si="409"/>
        <v>73</v>
      </c>
      <c r="BZ36" s="61">
        <f t="shared" si="409"/>
        <v>74</v>
      </c>
      <c r="CA36" s="61">
        <f t="shared" si="409"/>
        <v>75</v>
      </c>
      <c r="CB36" s="61">
        <f t="shared" si="409"/>
        <v>76</v>
      </c>
      <c r="CC36" s="61">
        <f t="shared" si="409"/>
        <v>77</v>
      </c>
      <c r="CD36" s="61">
        <f t="shared" si="409"/>
        <v>78</v>
      </c>
      <c r="CE36" s="61">
        <f t="shared" si="409"/>
        <v>79</v>
      </c>
      <c r="CF36" s="61">
        <f t="shared" si="409"/>
        <v>80</v>
      </c>
      <c r="CG36" s="61">
        <f t="shared" si="409"/>
        <v>81</v>
      </c>
      <c r="CH36" s="61">
        <f t="shared" si="409"/>
        <v>82</v>
      </c>
      <c r="CI36" s="61">
        <f t="shared" si="409"/>
        <v>83</v>
      </c>
      <c r="CJ36" s="61">
        <f t="shared" si="409"/>
        <v>84</v>
      </c>
      <c r="CK36" s="61">
        <f t="shared" si="409"/>
        <v>85</v>
      </c>
      <c r="CL36" s="61">
        <f t="shared" si="409"/>
        <v>86</v>
      </c>
      <c r="CM36" s="61">
        <f t="shared" si="409"/>
        <v>87</v>
      </c>
      <c r="CN36" s="61">
        <f t="shared" si="409"/>
        <v>88</v>
      </c>
      <c r="CO36" s="61">
        <f t="shared" si="409"/>
        <v>89</v>
      </c>
      <c r="CP36" s="61">
        <f t="shared" si="409"/>
        <v>90</v>
      </c>
      <c r="CQ36" s="61">
        <f t="shared" si="409"/>
        <v>91</v>
      </c>
      <c r="CR36" s="61">
        <f t="shared" si="409"/>
        <v>92</v>
      </c>
      <c r="CS36" s="61">
        <f t="shared" si="409"/>
        <v>93</v>
      </c>
      <c r="CT36" s="61">
        <f t="shared" si="409"/>
        <v>94</v>
      </c>
      <c r="CU36" s="61">
        <f t="shared" si="409"/>
        <v>95</v>
      </c>
      <c r="CV36" s="61">
        <f t="shared" si="409"/>
        <v>96</v>
      </c>
      <c r="CW36" s="61">
        <f t="shared" si="409"/>
        <v>97</v>
      </c>
      <c r="CX36" s="61">
        <f t="shared" si="409"/>
        <v>98</v>
      </c>
      <c r="CY36" s="61">
        <f t="shared" si="409"/>
        <v>99</v>
      </c>
      <c r="CZ36" s="61">
        <f t="shared" si="409"/>
        <v>100</v>
      </c>
      <c r="DA36" s="61">
        <f t="shared" si="409"/>
        <v>101</v>
      </c>
      <c r="DB36" s="61">
        <f t="shared" si="409"/>
        <v>102</v>
      </c>
      <c r="DC36" s="61">
        <f t="shared" si="409"/>
        <v>103</v>
      </c>
      <c r="DD36" s="61">
        <f t="shared" si="409"/>
        <v>104</v>
      </c>
      <c r="DE36" s="61">
        <f t="shared" si="409"/>
        <v>105</v>
      </c>
      <c r="DF36" s="61">
        <f t="shared" si="409"/>
        <v>106</v>
      </c>
      <c r="DG36" s="61">
        <f t="shared" si="409"/>
        <v>107</v>
      </c>
      <c r="DH36" s="61">
        <f t="shared" si="409"/>
        <v>108</v>
      </c>
      <c r="DI36" s="61">
        <f t="shared" si="409"/>
        <v>109</v>
      </c>
      <c r="DJ36" s="61">
        <f t="shared" si="409"/>
        <v>110</v>
      </c>
      <c r="DK36" s="61">
        <f t="shared" si="409"/>
        <v>111</v>
      </c>
      <c r="DL36" s="61">
        <f t="shared" si="409"/>
        <v>112</v>
      </c>
      <c r="DM36" s="61">
        <f t="shared" si="409"/>
        <v>113</v>
      </c>
      <c r="DN36" s="61">
        <f t="shared" si="409"/>
        <v>114</v>
      </c>
      <c r="DO36" s="61">
        <f t="shared" si="409"/>
        <v>115</v>
      </c>
      <c r="DP36" s="61">
        <f t="shared" si="409"/>
        <v>116</v>
      </c>
      <c r="DQ36" s="61">
        <f t="shared" si="409"/>
        <v>117</v>
      </c>
      <c r="DR36" s="61">
        <f t="shared" si="409"/>
        <v>118</v>
      </c>
      <c r="DS36" s="61">
        <f t="shared" si="409"/>
        <v>119</v>
      </c>
      <c r="DT36" s="61">
        <f t="shared" si="409"/>
        <v>120</v>
      </c>
      <c r="DU36" s="61">
        <f t="shared" si="409"/>
        <v>121</v>
      </c>
      <c r="DV36" s="61">
        <f t="shared" si="409"/>
        <v>122</v>
      </c>
      <c r="DW36" s="61">
        <f t="shared" si="409"/>
        <v>123</v>
      </c>
      <c r="DX36" s="61">
        <f t="shared" si="409"/>
        <v>124</v>
      </c>
      <c r="DY36" s="61">
        <f t="shared" si="409"/>
        <v>125</v>
      </c>
      <c r="DZ36" s="61">
        <f t="shared" si="409"/>
        <v>126</v>
      </c>
      <c r="EA36" s="61">
        <f t="shared" si="409"/>
        <v>127</v>
      </c>
      <c r="EB36" s="61">
        <f t="shared" si="409"/>
        <v>128</v>
      </c>
      <c r="EC36" s="61">
        <f t="shared" si="409"/>
        <v>129</v>
      </c>
      <c r="ED36" s="61">
        <f t="shared" si="409"/>
        <v>130</v>
      </c>
      <c r="EE36" s="61">
        <f t="shared" ref="EE36:GF36" si="410">ED36+1</f>
        <v>131</v>
      </c>
      <c r="EF36" s="61">
        <f t="shared" si="410"/>
        <v>132</v>
      </c>
      <c r="EG36" s="61">
        <f t="shared" si="410"/>
        <v>133</v>
      </c>
      <c r="EH36" s="61">
        <f t="shared" si="410"/>
        <v>134</v>
      </c>
      <c r="EI36" s="61">
        <f t="shared" si="410"/>
        <v>135</v>
      </c>
      <c r="EJ36" s="61">
        <f t="shared" si="410"/>
        <v>136</v>
      </c>
      <c r="EK36" s="61">
        <f t="shared" si="410"/>
        <v>137</v>
      </c>
      <c r="EL36" s="61">
        <f t="shared" si="410"/>
        <v>138</v>
      </c>
      <c r="EM36" s="61">
        <f t="shared" si="410"/>
        <v>139</v>
      </c>
      <c r="EN36" s="61">
        <f t="shared" si="410"/>
        <v>140</v>
      </c>
      <c r="EO36" s="61">
        <f t="shared" si="410"/>
        <v>141</v>
      </c>
      <c r="EP36" s="61">
        <f t="shared" si="410"/>
        <v>142</v>
      </c>
      <c r="EQ36" s="61">
        <f t="shared" si="410"/>
        <v>143</v>
      </c>
      <c r="ER36" s="61">
        <f t="shared" si="410"/>
        <v>144</v>
      </c>
      <c r="ES36" s="61">
        <f t="shared" si="410"/>
        <v>145</v>
      </c>
      <c r="ET36" s="61">
        <f t="shared" si="410"/>
        <v>146</v>
      </c>
      <c r="EU36" s="61">
        <f t="shared" si="410"/>
        <v>147</v>
      </c>
      <c r="EV36" s="61">
        <f t="shared" si="410"/>
        <v>148</v>
      </c>
      <c r="EW36" s="61">
        <f t="shared" si="410"/>
        <v>149</v>
      </c>
      <c r="EX36" s="61">
        <f t="shared" si="410"/>
        <v>150</v>
      </c>
      <c r="EY36" s="61">
        <f t="shared" si="410"/>
        <v>151</v>
      </c>
      <c r="EZ36" s="61">
        <f t="shared" si="410"/>
        <v>152</v>
      </c>
      <c r="FA36" s="61">
        <f t="shared" si="410"/>
        <v>153</v>
      </c>
      <c r="FB36" s="61">
        <f t="shared" si="410"/>
        <v>154</v>
      </c>
      <c r="FC36" s="61">
        <f t="shared" si="410"/>
        <v>155</v>
      </c>
      <c r="FD36" s="61">
        <f t="shared" si="410"/>
        <v>156</v>
      </c>
      <c r="FE36" s="61">
        <f t="shared" si="410"/>
        <v>157</v>
      </c>
      <c r="FF36" s="61">
        <f t="shared" si="410"/>
        <v>158</v>
      </c>
      <c r="FG36" s="61">
        <f t="shared" si="410"/>
        <v>159</v>
      </c>
      <c r="FH36" s="61">
        <f t="shared" si="410"/>
        <v>160</v>
      </c>
      <c r="FI36" s="61">
        <f t="shared" si="410"/>
        <v>161</v>
      </c>
      <c r="FJ36" s="61">
        <f t="shared" si="410"/>
        <v>162</v>
      </c>
      <c r="FK36" s="61">
        <f t="shared" si="410"/>
        <v>163</v>
      </c>
      <c r="FL36" s="61">
        <f t="shared" si="410"/>
        <v>164</v>
      </c>
      <c r="FM36" s="61">
        <f t="shared" si="410"/>
        <v>165</v>
      </c>
      <c r="FN36" s="61">
        <f t="shared" si="410"/>
        <v>166</v>
      </c>
      <c r="FO36" s="61">
        <f t="shared" si="410"/>
        <v>167</v>
      </c>
      <c r="FP36" s="61">
        <f t="shared" si="410"/>
        <v>168</v>
      </c>
      <c r="FQ36" s="61">
        <f t="shared" si="410"/>
        <v>169</v>
      </c>
      <c r="FR36" s="61">
        <f t="shared" si="410"/>
        <v>170</v>
      </c>
      <c r="FS36" s="61">
        <f t="shared" si="410"/>
        <v>171</v>
      </c>
      <c r="FT36" s="61">
        <f t="shared" si="410"/>
        <v>172</v>
      </c>
      <c r="FU36" s="61">
        <f t="shared" si="410"/>
        <v>173</v>
      </c>
      <c r="FV36" s="61">
        <f t="shared" si="410"/>
        <v>174</v>
      </c>
      <c r="FW36" s="61">
        <f t="shared" si="410"/>
        <v>175</v>
      </c>
      <c r="FX36" s="61">
        <f t="shared" si="410"/>
        <v>176</v>
      </c>
      <c r="FY36" s="61">
        <f t="shared" si="410"/>
        <v>177</v>
      </c>
      <c r="FZ36" s="61">
        <f t="shared" si="410"/>
        <v>178</v>
      </c>
      <c r="GA36" s="61">
        <f t="shared" si="410"/>
        <v>179</v>
      </c>
      <c r="GB36" s="61">
        <f t="shared" si="410"/>
        <v>180</v>
      </c>
      <c r="GC36" s="61">
        <f t="shared" si="410"/>
        <v>181</v>
      </c>
      <c r="GD36" s="61">
        <f t="shared" si="410"/>
        <v>182</v>
      </c>
      <c r="GE36" s="61">
        <f t="shared" si="410"/>
        <v>183</v>
      </c>
      <c r="GF36" s="62">
        <f t="shared" si="410"/>
        <v>184</v>
      </c>
    </row>
    <row r="37" spans="2:188" s="496" customFormat="1" x14ac:dyDescent="0.3">
      <c r="B37"/>
      <c r="C37" s="611"/>
      <c r="D37" s="612"/>
      <c r="E37" s="495">
        <v>9</v>
      </c>
      <c r="F37" s="495">
        <v>10</v>
      </c>
      <c r="G37" s="495">
        <v>11</v>
      </c>
      <c r="H37" s="495">
        <v>12</v>
      </c>
      <c r="I37" s="495">
        <f>IF(I33=1,1,H37+1)</f>
        <v>1</v>
      </c>
      <c r="J37" s="495">
        <f t="shared" ref="J37:BU37" si="411">IF(J33=1,1,I37+1)</f>
        <v>2</v>
      </c>
      <c r="K37" s="495">
        <f t="shared" si="411"/>
        <v>3</v>
      </c>
      <c r="L37" s="495">
        <f t="shared" si="411"/>
        <v>4</v>
      </c>
      <c r="M37" s="495">
        <f t="shared" si="411"/>
        <v>5</v>
      </c>
      <c r="N37" s="495">
        <f t="shared" si="411"/>
        <v>6</v>
      </c>
      <c r="O37" s="495">
        <f t="shared" si="411"/>
        <v>7</v>
      </c>
      <c r="P37" s="495">
        <f t="shared" si="411"/>
        <v>8</v>
      </c>
      <c r="Q37" s="495">
        <f t="shared" si="411"/>
        <v>9</v>
      </c>
      <c r="R37" s="495">
        <f t="shared" si="411"/>
        <v>10</v>
      </c>
      <c r="S37" s="495">
        <f t="shared" si="411"/>
        <v>11</v>
      </c>
      <c r="T37" s="495">
        <f t="shared" si="411"/>
        <v>12</v>
      </c>
      <c r="U37" s="495">
        <f t="shared" si="411"/>
        <v>1</v>
      </c>
      <c r="V37" s="495">
        <f t="shared" si="411"/>
        <v>2</v>
      </c>
      <c r="W37" s="495">
        <f t="shared" si="411"/>
        <v>3</v>
      </c>
      <c r="X37" s="495">
        <f t="shared" si="411"/>
        <v>4</v>
      </c>
      <c r="Y37" s="495">
        <f t="shared" si="411"/>
        <v>5</v>
      </c>
      <c r="Z37" s="495">
        <f t="shared" si="411"/>
        <v>6</v>
      </c>
      <c r="AA37" s="495">
        <f t="shared" si="411"/>
        <v>7</v>
      </c>
      <c r="AB37" s="495">
        <f t="shared" si="411"/>
        <v>8</v>
      </c>
      <c r="AC37" s="495">
        <f t="shared" si="411"/>
        <v>9</v>
      </c>
      <c r="AD37" s="495">
        <f t="shared" si="411"/>
        <v>10</v>
      </c>
      <c r="AE37" s="495">
        <f t="shared" si="411"/>
        <v>11</v>
      </c>
      <c r="AF37" s="495">
        <f t="shared" si="411"/>
        <v>12</v>
      </c>
      <c r="AG37" s="495">
        <f t="shared" si="411"/>
        <v>1</v>
      </c>
      <c r="AH37" s="495">
        <f t="shared" si="411"/>
        <v>2</v>
      </c>
      <c r="AI37" s="495">
        <f t="shared" si="411"/>
        <v>3</v>
      </c>
      <c r="AJ37" s="495">
        <f t="shared" si="411"/>
        <v>4</v>
      </c>
      <c r="AK37" s="495">
        <f t="shared" si="411"/>
        <v>5</v>
      </c>
      <c r="AL37" s="495">
        <f t="shared" si="411"/>
        <v>6</v>
      </c>
      <c r="AM37" s="495">
        <f t="shared" si="411"/>
        <v>7</v>
      </c>
      <c r="AN37" s="495">
        <f t="shared" si="411"/>
        <v>8</v>
      </c>
      <c r="AO37" s="495">
        <f t="shared" si="411"/>
        <v>9</v>
      </c>
      <c r="AP37" s="495">
        <f t="shared" si="411"/>
        <v>10</v>
      </c>
      <c r="AQ37" s="495">
        <f t="shared" si="411"/>
        <v>11</v>
      </c>
      <c r="AR37" s="495">
        <f t="shared" si="411"/>
        <v>12</v>
      </c>
      <c r="AS37" s="495">
        <f t="shared" si="411"/>
        <v>1</v>
      </c>
      <c r="AT37" s="495">
        <f t="shared" si="411"/>
        <v>2</v>
      </c>
      <c r="AU37" s="495">
        <f t="shared" si="411"/>
        <v>3</v>
      </c>
      <c r="AV37" s="495">
        <f t="shared" si="411"/>
        <v>4</v>
      </c>
      <c r="AW37" s="495">
        <f t="shared" si="411"/>
        <v>5</v>
      </c>
      <c r="AX37" s="495">
        <f t="shared" si="411"/>
        <v>6</v>
      </c>
      <c r="AY37" s="495">
        <f t="shared" si="411"/>
        <v>7</v>
      </c>
      <c r="AZ37" s="495">
        <f t="shared" si="411"/>
        <v>8</v>
      </c>
      <c r="BA37" s="495">
        <f t="shared" si="411"/>
        <v>9</v>
      </c>
      <c r="BB37" s="495">
        <f t="shared" si="411"/>
        <v>10</v>
      </c>
      <c r="BC37" s="495">
        <f t="shared" si="411"/>
        <v>11</v>
      </c>
      <c r="BD37" s="495">
        <f t="shared" si="411"/>
        <v>12</v>
      </c>
      <c r="BE37" s="495">
        <f t="shared" si="411"/>
        <v>1</v>
      </c>
      <c r="BF37" s="495">
        <f t="shared" si="411"/>
        <v>2</v>
      </c>
      <c r="BG37" s="495">
        <f t="shared" si="411"/>
        <v>3</v>
      </c>
      <c r="BH37" s="495">
        <f t="shared" si="411"/>
        <v>4</v>
      </c>
      <c r="BI37" s="495">
        <f t="shared" si="411"/>
        <v>5</v>
      </c>
      <c r="BJ37" s="495">
        <f t="shared" si="411"/>
        <v>6</v>
      </c>
      <c r="BK37" s="495">
        <f t="shared" si="411"/>
        <v>7</v>
      </c>
      <c r="BL37" s="495">
        <f t="shared" si="411"/>
        <v>8</v>
      </c>
      <c r="BM37" s="495">
        <f t="shared" si="411"/>
        <v>9</v>
      </c>
      <c r="BN37" s="495">
        <f t="shared" si="411"/>
        <v>10</v>
      </c>
      <c r="BO37" s="495">
        <f t="shared" si="411"/>
        <v>11</v>
      </c>
      <c r="BP37" s="495">
        <f t="shared" si="411"/>
        <v>12</v>
      </c>
      <c r="BQ37" s="495">
        <f t="shared" si="411"/>
        <v>1</v>
      </c>
      <c r="BR37" s="495">
        <f t="shared" si="411"/>
        <v>2</v>
      </c>
      <c r="BS37" s="495">
        <f t="shared" si="411"/>
        <v>3</v>
      </c>
      <c r="BT37" s="495">
        <f t="shared" si="411"/>
        <v>4</v>
      </c>
      <c r="BU37" s="495">
        <f t="shared" si="411"/>
        <v>5</v>
      </c>
      <c r="BV37" s="495">
        <f t="shared" ref="BV37:EG37" si="412">IF(BV33=1,1,BU37+1)</f>
        <v>6</v>
      </c>
      <c r="BW37" s="495">
        <f t="shared" si="412"/>
        <v>7</v>
      </c>
      <c r="BX37" s="495">
        <f t="shared" si="412"/>
        <v>8</v>
      </c>
      <c r="BY37" s="495">
        <f t="shared" si="412"/>
        <v>9</v>
      </c>
      <c r="BZ37" s="495">
        <f t="shared" si="412"/>
        <v>10</v>
      </c>
      <c r="CA37" s="495">
        <f t="shared" si="412"/>
        <v>11</v>
      </c>
      <c r="CB37" s="495">
        <f t="shared" si="412"/>
        <v>12</v>
      </c>
      <c r="CC37" s="495">
        <f t="shared" si="412"/>
        <v>1</v>
      </c>
      <c r="CD37" s="495">
        <f t="shared" si="412"/>
        <v>2</v>
      </c>
      <c r="CE37" s="495">
        <f t="shared" si="412"/>
        <v>3</v>
      </c>
      <c r="CF37" s="495">
        <f t="shared" si="412"/>
        <v>4</v>
      </c>
      <c r="CG37" s="495">
        <f t="shared" si="412"/>
        <v>5</v>
      </c>
      <c r="CH37" s="495">
        <f t="shared" si="412"/>
        <v>6</v>
      </c>
      <c r="CI37" s="495">
        <f t="shared" si="412"/>
        <v>7</v>
      </c>
      <c r="CJ37" s="495">
        <f t="shared" si="412"/>
        <v>8</v>
      </c>
      <c r="CK37" s="495">
        <f t="shared" si="412"/>
        <v>9</v>
      </c>
      <c r="CL37" s="495">
        <f t="shared" si="412"/>
        <v>10</v>
      </c>
      <c r="CM37" s="495">
        <f t="shared" si="412"/>
        <v>11</v>
      </c>
      <c r="CN37" s="495">
        <f t="shared" si="412"/>
        <v>12</v>
      </c>
      <c r="CO37" s="495">
        <f t="shared" si="412"/>
        <v>1</v>
      </c>
      <c r="CP37" s="495">
        <f t="shared" si="412"/>
        <v>2</v>
      </c>
      <c r="CQ37" s="495">
        <f t="shared" si="412"/>
        <v>3</v>
      </c>
      <c r="CR37" s="495">
        <f t="shared" si="412"/>
        <v>4</v>
      </c>
      <c r="CS37" s="495">
        <f t="shared" si="412"/>
        <v>5</v>
      </c>
      <c r="CT37" s="495">
        <f t="shared" si="412"/>
        <v>6</v>
      </c>
      <c r="CU37" s="495">
        <f t="shared" si="412"/>
        <v>7</v>
      </c>
      <c r="CV37" s="495">
        <f t="shared" si="412"/>
        <v>8</v>
      </c>
      <c r="CW37" s="495">
        <f t="shared" si="412"/>
        <v>9</v>
      </c>
      <c r="CX37" s="495">
        <f t="shared" si="412"/>
        <v>10</v>
      </c>
      <c r="CY37" s="495">
        <f t="shared" si="412"/>
        <v>11</v>
      </c>
      <c r="CZ37" s="495">
        <f t="shared" si="412"/>
        <v>12</v>
      </c>
      <c r="DA37" s="495">
        <f t="shared" si="412"/>
        <v>1</v>
      </c>
      <c r="DB37" s="495">
        <f t="shared" si="412"/>
        <v>2</v>
      </c>
      <c r="DC37" s="495">
        <f t="shared" si="412"/>
        <v>3</v>
      </c>
      <c r="DD37" s="495">
        <f t="shared" si="412"/>
        <v>4</v>
      </c>
      <c r="DE37" s="495">
        <f t="shared" si="412"/>
        <v>5</v>
      </c>
      <c r="DF37" s="495">
        <f t="shared" si="412"/>
        <v>6</v>
      </c>
      <c r="DG37" s="495">
        <f t="shared" si="412"/>
        <v>7</v>
      </c>
      <c r="DH37" s="495">
        <f t="shared" si="412"/>
        <v>8</v>
      </c>
      <c r="DI37" s="495">
        <f t="shared" si="412"/>
        <v>9</v>
      </c>
      <c r="DJ37" s="495">
        <f t="shared" si="412"/>
        <v>10</v>
      </c>
      <c r="DK37" s="495">
        <f t="shared" si="412"/>
        <v>11</v>
      </c>
      <c r="DL37" s="495">
        <f t="shared" si="412"/>
        <v>12</v>
      </c>
      <c r="DM37" s="495">
        <f t="shared" si="412"/>
        <v>1</v>
      </c>
      <c r="DN37" s="495">
        <f t="shared" si="412"/>
        <v>2</v>
      </c>
      <c r="DO37" s="495">
        <f t="shared" si="412"/>
        <v>3</v>
      </c>
      <c r="DP37" s="495">
        <f t="shared" si="412"/>
        <v>4</v>
      </c>
      <c r="DQ37" s="495">
        <f t="shared" si="412"/>
        <v>5</v>
      </c>
      <c r="DR37" s="495">
        <f t="shared" si="412"/>
        <v>6</v>
      </c>
      <c r="DS37" s="495">
        <f t="shared" si="412"/>
        <v>7</v>
      </c>
      <c r="DT37" s="495">
        <f t="shared" si="412"/>
        <v>8</v>
      </c>
      <c r="DU37" s="495">
        <f t="shared" si="412"/>
        <v>9</v>
      </c>
      <c r="DV37" s="495">
        <f t="shared" si="412"/>
        <v>10</v>
      </c>
      <c r="DW37" s="495">
        <f t="shared" si="412"/>
        <v>11</v>
      </c>
      <c r="DX37" s="495">
        <f t="shared" si="412"/>
        <v>12</v>
      </c>
      <c r="DY37" s="495">
        <f t="shared" si="412"/>
        <v>1</v>
      </c>
      <c r="DZ37" s="495">
        <f t="shared" si="412"/>
        <v>2</v>
      </c>
      <c r="EA37" s="495">
        <f t="shared" si="412"/>
        <v>3</v>
      </c>
      <c r="EB37" s="495">
        <f t="shared" si="412"/>
        <v>4</v>
      </c>
      <c r="EC37" s="495">
        <f t="shared" si="412"/>
        <v>5</v>
      </c>
      <c r="ED37" s="495">
        <f t="shared" si="412"/>
        <v>6</v>
      </c>
      <c r="EE37" s="495">
        <f t="shared" si="412"/>
        <v>7</v>
      </c>
      <c r="EF37" s="495">
        <f t="shared" si="412"/>
        <v>8</v>
      </c>
      <c r="EG37" s="495">
        <f t="shared" si="412"/>
        <v>9</v>
      </c>
      <c r="EH37" s="495">
        <f t="shared" ref="EH37:GF37" si="413">IF(EH33=1,1,EG37+1)</f>
        <v>10</v>
      </c>
      <c r="EI37" s="495">
        <f t="shared" si="413"/>
        <v>11</v>
      </c>
      <c r="EJ37" s="495">
        <f t="shared" si="413"/>
        <v>12</v>
      </c>
      <c r="EK37" s="495">
        <f t="shared" si="413"/>
        <v>1</v>
      </c>
      <c r="EL37" s="495">
        <f t="shared" si="413"/>
        <v>2</v>
      </c>
      <c r="EM37" s="495">
        <f t="shared" si="413"/>
        <v>3</v>
      </c>
      <c r="EN37" s="495">
        <f t="shared" si="413"/>
        <v>4</v>
      </c>
      <c r="EO37" s="495">
        <f t="shared" si="413"/>
        <v>5</v>
      </c>
      <c r="EP37" s="495">
        <f t="shared" si="413"/>
        <v>6</v>
      </c>
      <c r="EQ37" s="495">
        <f t="shared" si="413"/>
        <v>7</v>
      </c>
      <c r="ER37" s="495">
        <f t="shared" si="413"/>
        <v>8</v>
      </c>
      <c r="ES37" s="495">
        <f t="shared" si="413"/>
        <v>9</v>
      </c>
      <c r="ET37" s="495">
        <f t="shared" si="413"/>
        <v>10</v>
      </c>
      <c r="EU37" s="495">
        <f t="shared" si="413"/>
        <v>11</v>
      </c>
      <c r="EV37" s="495">
        <f t="shared" si="413"/>
        <v>12</v>
      </c>
      <c r="EW37" s="495">
        <f t="shared" si="413"/>
        <v>1</v>
      </c>
      <c r="EX37" s="495">
        <f t="shared" si="413"/>
        <v>2</v>
      </c>
      <c r="EY37" s="495">
        <f t="shared" si="413"/>
        <v>3</v>
      </c>
      <c r="EZ37" s="495">
        <f t="shared" si="413"/>
        <v>4</v>
      </c>
      <c r="FA37" s="495">
        <f t="shared" si="413"/>
        <v>5</v>
      </c>
      <c r="FB37" s="495">
        <f t="shared" si="413"/>
        <v>6</v>
      </c>
      <c r="FC37" s="495">
        <f t="shared" si="413"/>
        <v>7</v>
      </c>
      <c r="FD37" s="495">
        <f t="shared" si="413"/>
        <v>8</v>
      </c>
      <c r="FE37" s="495">
        <f t="shared" si="413"/>
        <v>9</v>
      </c>
      <c r="FF37" s="495">
        <f t="shared" si="413"/>
        <v>10</v>
      </c>
      <c r="FG37" s="495">
        <f t="shared" si="413"/>
        <v>11</v>
      </c>
      <c r="FH37" s="495">
        <f t="shared" si="413"/>
        <v>12</v>
      </c>
      <c r="FI37" s="495">
        <f t="shared" si="413"/>
        <v>1</v>
      </c>
      <c r="FJ37" s="495">
        <f t="shared" si="413"/>
        <v>2</v>
      </c>
      <c r="FK37" s="495">
        <f t="shared" si="413"/>
        <v>3</v>
      </c>
      <c r="FL37" s="495">
        <f t="shared" si="413"/>
        <v>4</v>
      </c>
      <c r="FM37" s="495">
        <f t="shared" si="413"/>
        <v>5</v>
      </c>
      <c r="FN37" s="495">
        <f t="shared" si="413"/>
        <v>6</v>
      </c>
      <c r="FO37" s="495">
        <f t="shared" si="413"/>
        <v>7</v>
      </c>
      <c r="FP37" s="495">
        <f t="shared" si="413"/>
        <v>8</v>
      </c>
      <c r="FQ37" s="495">
        <f t="shared" si="413"/>
        <v>9</v>
      </c>
      <c r="FR37" s="495">
        <f t="shared" si="413"/>
        <v>10</v>
      </c>
      <c r="FS37" s="495">
        <f t="shared" si="413"/>
        <v>11</v>
      </c>
      <c r="FT37" s="495">
        <f t="shared" si="413"/>
        <v>12</v>
      </c>
      <c r="FU37" s="495">
        <f t="shared" si="413"/>
        <v>1</v>
      </c>
      <c r="FV37" s="495">
        <f t="shared" si="413"/>
        <v>2</v>
      </c>
      <c r="FW37" s="495">
        <f t="shared" si="413"/>
        <v>3</v>
      </c>
      <c r="FX37" s="495">
        <f t="shared" si="413"/>
        <v>4</v>
      </c>
      <c r="FY37" s="495">
        <f t="shared" si="413"/>
        <v>5</v>
      </c>
      <c r="FZ37" s="495">
        <f t="shared" si="413"/>
        <v>6</v>
      </c>
      <c r="GA37" s="495">
        <f t="shared" si="413"/>
        <v>7</v>
      </c>
      <c r="GB37" s="495">
        <f t="shared" si="413"/>
        <v>8</v>
      </c>
      <c r="GC37" s="495">
        <f t="shared" si="413"/>
        <v>9</v>
      </c>
      <c r="GD37" s="495">
        <f t="shared" si="413"/>
        <v>10</v>
      </c>
      <c r="GE37" s="495">
        <f t="shared" si="413"/>
        <v>11</v>
      </c>
      <c r="GF37" s="569">
        <f t="shared" si="413"/>
        <v>12</v>
      </c>
    </row>
    <row r="38" spans="2:188" s="1" customFormat="1" x14ac:dyDescent="0.3">
      <c r="C38" s="65" t="s">
        <v>103</v>
      </c>
      <c r="D38" s="66">
        <f>D39+D42</f>
        <v>64960.734283569596</v>
      </c>
      <c r="E38" s="66">
        <f>E39+E42</f>
        <v>13000</v>
      </c>
      <c r="F38" s="66">
        <f t="shared" ref="F38:BQ38" si="414">F39+F42</f>
        <v>0</v>
      </c>
      <c r="G38" s="66">
        <f t="shared" si="414"/>
        <v>0</v>
      </c>
      <c r="H38" s="66">
        <f t="shared" si="414"/>
        <v>147.55737260273972</v>
      </c>
      <c r="I38" s="66">
        <f t="shared" si="414"/>
        <v>12000</v>
      </c>
      <c r="J38" s="66">
        <f t="shared" si="414"/>
        <v>0</v>
      </c>
      <c r="K38" s="66">
        <f t="shared" si="414"/>
        <v>233.73014480874315</v>
      </c>
      <c r="L38" s="66">
        <f t="shared" si="414"/>
        <v>0</v>
      </c>
      <c r="M38" s="66">
        <f t="shared" si="414"/>
        <v>0</v>
      </c>
      <c r="N38" s="66">
        <f t="shared" si="414"/>
        <v>2286.0986338797816</v>
      </c>
      <c r="O38" s="66">
        <f t="shared" si="414"/>
        <v>0</v>
      </c>
      <c r="P38" s="66">
        <f t="shared" si="414"/>
        <v>0</v>
      </c>
      <c r="Q38" s="66">
        <f t="shared" si="414"/>
        <v>308.48896174863387</v>
      </c>
      <c r="R38" s="66">
        <f t="shared" si="414"/>
        <v>0</v>
      </c>
      <c r="S38" s="66">
        <f t="shared" si="414"/>
        <v>0</v>
      </c>
      <c r="T38" s="66">
        <f t="shared" si="414"/>
        <v>305.62797540983604</v>
      </c>
      <c r="U38" s="66">
        <f t="shared" si="414"/>
        <v>0</v>
      </c>
      <c r="V38" s="66">
        <f t="shared" si="414"/>
        <v>0</v>
      </c>
      <c r="W38" s="66">
        <f t="shared" si="414"/>
        <v>303.09756164383566</v>
      </c>
      <c r="X38" s="66">
        <f t="shared" si="414"/>
        <v>0</v>
      </c>
      <c r="Y38" s="66">
        <f t="shared" si="414"/>
        <v>0</v>
      </c>
      <c r="Z38" s="66">
        <f t="shared" si="414"/>
        <v>309.83306301369862</v>
      </c>
      <c r="AA38" s="66">
        <f t="shared" si="414"/>
        <v>0</v>
      </c>
      <c r="AB38" s="66">
        <f t="shared" si="414"/>
        <v>0</v>
      </c>
      <c r="AC38" s="66">
        <f t="shared" si="414"/>
        <v>309.83306301369862</v>
      </c>
      <c r="AD38" s="66">
        <f t="shared" si="414"/>
        <v>0</v>
      </c>
      <c r="AE38" s="66">
        <f t="shared" si="414"/>
        <v>0</v>
      </c>
      <c r="AF38" s="66">
        <f t="shared" si="414"/>
        <v>306.46531232876708</v>
      </c>
      <c r="AG38" s="66">
        <f t="shared" si="414"/>
        <v>0</v>
      </c>
      <c r="AH38" s="66">
        <f t="shared" si="414"/>
        <v>0</v>
      </c>
      <c r="AI38" s="66">
        <f t="shared" si="414"/>
        <v>303.09756164383566</v>
      </c>
      <c r="AJ38" s="66">
        <f t="shared" si="414"/>
        <v>0</v>
      </c>
      <c r="AK38" s="66">
        <f t="shared" si="414"/>
        <v>0</v>
      </c>
      <c r="AL38" s="66">
        <f t="shared" si="414"/>
        <v>309.83306301369862</v>
      </c>
      <c r="AM38" s="66">
        <f t="shared" si="414"/>
        <v>0</v>
      </c>
      <c r="AN38" s="66">
        <f t="shared" si="414"/>
        <v>0</v>
      </c>
      <c r="AO38" s="66">
        <f t="shared" si="414"/>
        <v>309.83306301369862</v>
      </c>
      <c r="AP38" s="66">
        <f t="shared" si="414"/>
        <v>0</v>
      </c>
      <c r="AQ38" s="66">
        <f t="shared" si="414"/>
        <v>0</v>
      </c>
      <c r="AR38" s="66">
        <f t="shared" si="414"/>
        <v>868.96531232876714</v>
      </c>
      <c r="AS38" s="66">
        <f t="shared" si="414"/>
        <v>0</v>
      </c>
      <c r="AT38" s="66">
        <f t="shared" si="414"/>
        <v>0</v>
      </c>
      <c r="AU38" s="66">
        <f t="shared" si="414"/>
        <v>859.28302910958905</v>
      </c>
      <c r="AV38" s="66">
        <f t="shared" si="414"/>
        <v>0</v>
      </c>
      <c r="AW38" s="66">
        <f t="shared" si="414"/>
        <v>0</v>
      </c>
      <c r="AX38" s="66">
        <f t="shared" si="414"/>
        <v>859.42335205479458</v>
      </c>
      <c r="AY38" s="66">
        <f t="shared" si="414"/>
        <v>0</v>
      </c>
      <c r="AZ38" s="66">
        <f t="shared" si="414"/>
        <v>0</v>
      </c>
      <c r="BA38" s="66">
        <f t="shared" si="414"/>
        <v>852.96849657534244</v>
      </c>
      <c r="BB38" s="66">
        <f t="shared" si="414"/>
        <v>0</v>
      </c>
      <c r="BC38" s="66">
        <f t="shared" si="414"/>
        <v>0</v>
      </c>
      <c r="BD38" s="66">
        <f t="shared" si="414"/>
        <v>843.42653630136988</v>
      </c>
      <c r="BE38" s="66">
        <f t="shared" si="414"/>
        <v>0</v>
      </c>
      <c r="BF38" s="66">
        <f t="shared" si="414"/>
        <v>0</v>
      </c>
      <c r="BG38" s="66">
        <f t="shared" si="414"/>
        <v>836.2917279713115</v>
      </c>
      <c r="BH38" s="66">
        <f t="shared" si="414"/>
        <v>0</v>
      </c>
      <c r="BI38" s="66">
        <f t="shared" si="414"/>
        <v>0</v>
      </c>
      <c r="BJ38" s="66">
        <f t="shared" si="414"/>
        <v>832.8632090163934</v>
      </c>
      <c r="BK38" s="66">
        <f t="shared" si="414"/>
        <v>0</v>
      </c>
      <c r="BL38" s="66">
        <f t="shared" si="414"/>
        <v>0</v>
      </c>
      <c r="BM38" s="66">
        <f t="shared" si="414"/>
        <v>826.42598975409828</v>
      </c>
      <c r="BN38" s="66">
        <f t="shared" si="414"/>
        <v>0</v>
      </c>
      <c r="BO38" s="66">
        <f t="shared" si="414"/>
        <v>0</v>
      </c>
      <c r="BP38" s="66">
        <f t="shared" si="414"/>
        <v>817.18997950819664</v>
      </c>
      <c r="BQ38" s="66">
        <f t="shared" si="414"/>
        <v>0</v>
      </c>
      <c r="BR38" s="66">
        <f t="shared" ref="BR38:EC38" si="415">BR39+BR42</f>
        <v>0</v>
      </c>
      <c r="BS38" s="66">
        <f t="shared" si="415"/>
        <v>808.7667688356164</v>
      </c>
      <c r="BT38" s="66">
        <f t="shared" si="415"/>
        <v>0</v>
      </c>
      <c r="BU38" s="66">
        <f t="shared" si="415"/>
        <v>0</v>
      </c>
      <c r="BV38" s="66">
        <f t="shared" si="415"/>
        <v>807.78450821917806</v>
      </c>
      <c r="BW38" s="66">
        <f t="shared" si="415"/>
        <v>0</v>
      </c>
      <c r="BX38" s="66">
        <f t="shared" si="415"/>
        <v>0</v>
      </c>
      <c r="BY38" s="66">
        <f t="shared" si="415"/>
        <v>801.32965273972604</v>
      </c>
      <c r="BZ38" s="66">
        <f t="shared" si="415"/>
        <v>0</v>
      </c>
      <c r="CA38" s="66">
        <f t="shared" si="415"/>
        <v>0</v>
      </c>
      <c r="CB38" s="66">
        <f t="shared" si="415"/>
        <v>792.34898424657536</v>
      </c>
      <c r="CC38" s="66">
        <f t="shared" si="415"/>
        <v>0</v>
      </c>
      <c r="CD38" s="66">
        <f t="shared" si="415"/>
        <v>0</v>
      </c>
      <c r="CE38" s="66">
        <f t="shared" si="415"/>
        <v>783.50863869863019</v>
      </c>
      <c r="CF38" s="66">
        <f t="shared" si="415"/>
        <v>0</v>
      </c>
      <c r="CG38" s="66">
        <f t="shared" si="415"/>
        <v>0</v>
      </c>
      <c r="CH38" s="66">
        <f t="shared" si="415"/>
        <v>781.96508630136987</v>
      </c>
      <c r="CI38" s="66">
        <f t="shared" si="415"/>
        <v>0</v>
      </c>
      <c r="CJ38" s="66">
        <f t="shared" si="415"/>
        <v>0</v>
      </c>
      <c r="CK38" s="66">
        <f t="shared" si="415"/>
        <v>775.51023082191773</v>
      </c>
      <c r="CL38" s="66">
        <f t="shared" si="415"/>
        <v>0</v>
      </c>
      <c r="CM38" s="66">
        <f t="shared" si="415"/>
        <v>0</v>
      </c>
      <c r="CN38" s="66">
        <f t="shared" si="415"/>
        <v>766.81020821917809</v>
      </c>
      <c r="CO38" s="66">
        <f t="shared" si="415"/>
        <v>0</v>
      </c>
      <c r="CP38" s="66">
        <f t="shared" si="415"/>
        <v>0</v>
      </c>
      <c r="CQ38" s="66">
        <f t="shared" si="415"/>
        <v>758.25050856164376</v>
      </c>
      <c r="CR38" s="66">
        <f t="shared" si="415"/>
        <v>0</v>
      </c>
      <c r="CS38" s="66">
        <f t="shared" si="415"/>
        <v>0</v>
      </c>
      <c r="CT38" s="66">
        <f t="shared" si="415"/>
        <v>756.14566438356155</v>
      </c>
      <c r="CU38" s="66">
        <f t="shared" si="415"/>
        <v>0</v>
      </c>
      <c r="CV38" s="66">
        <f t="shared" si="415"/>
        <v>0</v>
      </c>
      <c r="CW38" s="66">
        <f t="shared" si="415"/>
        <v>749.69080890410953</v>
      </c>
      <c r="CX38" s="66">
        <f t="shared" si="415"/>
        <v>0</v>
      </c>
      <c r="CY38" s="66">
        <f t="shared" si="415"/>
        <v>0</v>
      </c>
      <c r="CZ38" s="66">
        <f t="shared" si="415"/>
        <v>741.27143219178083</v>
      </c>
      <c r="DA38" s="66">
        <f t="shared" si="415"/>
        <v>0</v>
      </c>
      <c r="DB38" s="66">
        <f t="shared" si="415"/>
        <v>0</v>
      </c>
      <c r="DC38" s="66">
        <f t="shared" si="415"/>
        <v>734.41573616803271</v>
      </c>
      <c r="DD38" s="66">
        <f t="shared" si="415"/>
        <v>0</v>
      </c>
      <c r="DE38" s="66">
        <f t="shared" si="415"/>
        <v>0</v>
      </c>
      <c r="DF38" s="66">
        <f t="shared" si="415"/>
        <v>729.86770081967211</v>
      </c>
      <c r="DG38" s="66">
        <f t="shared" si="415"/>
        <v>0</v>
      </c>
      <c r="DH38" s="66">
        <f t="shared" si="415"/>
        <v>0</v>
      </c>
      <c r="DI38" s="66">
        <f t="shared" si="415"/>
        <v>723.43048155737699</v>
      </c>
      <c r="DJ38" s="66">
        <f t="shared" si="415"/>
        <v>0</v>
      </c>
      <c r="DK38" s="66">
        <f t="shared" si="415"/>
        <v>0</v>
      </c>
      <c r="DL38" s="66">
        <f t="shared" si="415"/>
        <v>715.31398770491796</v>
      </c>
      <c r="DM38" s="66">
        <f t="shared" si="415"/>
        <v>0</v>
      </c>
      <c r="DN38" s="66">
        <f t="shared" si="415"/>
        <v>0</v>
      </c>
      <c r="DO38" s="66">
        <f t="shared" si="415"/>
        <v>707.73424828767122</v>
      </c>
      <c r="DP38" s="66">
        <f t="shared" si="415"/>
        <v>0</v>
      </c>
      <c r="DQ38" s="66">
        <f t="shared" si="415"/>
        <v>0</v>
      </c>
      <c r="DR38" s="66">
        <f t="shared" si="415"/>
        <v>704.50682054794515</v>
      </c>
      <c r="DS38" s="66">
        <f t="shared" si="415"/>
        <v>0</v>
      </c>
      <c r="DT38" s="66">
        <f t="shared" si="415"/>
        <v>0</v>
      </c>
      <c r="DU38" s="66">
        <f t="shared" si="415"/>
        <v>698.05196506849313</v>
      </c>
      <c r="DV38" s="66">
        <f t="shared" si="415"/>
        <v>0</v>
      </c>
      <c r="DW38" s="66">
        <f t="shared" si="415"/>
        <v>0</v>
      </c>
      <c r="DX38" s="66">
        <f t="shared" si="415"/>
        <v>690.19388013698631</v>
      </c>
      <c r="DY38" s="66">
        <f t="shared" si="415"/>
        <v>0</v>
      </c>
      <c r="DZ38" s="66">
        <f t="shared" si="415"/>
        <v>0</v>
      </c>
      <c r="EA38" s="66">
        <f t="shared" si="415"/>
        <v>682.4761181506849</v>
      </c>
      <c r="EB38" s="66">
        <f t="shared" si="415"/>
        <v>0</v>
      </c>
      <c r="EC38" s="66">
        <f t="shared" si="415"/>
        <v>0</v>
      </c>
      <c r="ED38" s="66">
        <f t="shared" ref="ED38:GF38" si="416">ED39+ED42</f>
        <v>678.68739863013695</v>
      </c>
      <c r="EE38" s="66">
        <f t="shared" si="416"/>
        <v>0</v>
      </c>
      <c r="EF38" s="66">
        <f t="shared" si="416"/>
        <v>0</v>
      </c>
      <c r="EG38" s="66">
        <f t="shared" si="416"/>
        <v>672.23254315068493</v>
      </c>
      <c r="EH38" s="66">
        <f t="shared" si="416"/>
        <v>0</v>
      </c>
      <c r="EI38" s="66">
        <f t="shared" si="416"/>
        <v>0</v>
      </c>
      <c r="EJ38" s="66">
        <f t="shared" si="416"/>
        <v>664.65510410958905</v>
      </c>
      <c r="EK38" s="66">
        <f t="shared" si="416"/>
        <v>0</v>
      </c>
      <c r="EL38" s="66">
        <f t="shared" si="416"/>
        <v>0</v>
      </c>
      <c r="EM38" s="66">
        <f t="shared" si="416"/>
        <v>657.21798801369869</v>
      </c>
      <c r="EN38" s="66">
        <f t="shared" si="416"/>
        <v>0</v>
      </c>
      <c r="EO38" s="66">
        <f t="shared" si="416"/>
        <v>0</v>
      </c>
      <c r="EP38" s="66">
        <f t="shared" si="416"/>
        <v>652.86797671232875</v>
      </c>
      <c r="EQ38" s="66">
        <f t="shared" si="416"/>
        <v>0</v>
      </c>
      <c r="ER38" s="66">
        <f t="shared" si="416"/>
        <v>0</v>
      </c>
      <c r="ES38" s="66">
        <f t="shared" si="416"/>
        <v>646.41312123287673</v>
      </c>
      <c r="ET38" s="66">
        <f t="shared" si="416"/>
        <v>0</v>
      </c>
      <c r="EU38" s="66">
        <f t="shared" si="416"/>
        <v>0</v>
      </c>
      <c r="EV38" s="66">
        <f t="shared" si="416"/>
        <v>639.11632808219179</v>
      </c>
      <c r="EW38" s="66">
        <f t="shared" si="416"/>
        <v>0</v>
      </c>
      <c r="EX38" s="66">
        <f t="shared" si="416"/>
        <v>0</v>
      </c>
      <c r="EY38" s="66">
        <f t="shared" si="416"/>
        <v>632.53974436475414</v>
      </c>
      <c r="EZ38" s="66">
        <f t="shared" si="416"/>
        <v>0</v>
      </c>
      <c r="FA38" s="66">
        <f t="shared" si="416"/>
        <v>0</v>
      </c>
      <c r="FB38" s="66">
        <f t="shared" si="416"/>
        <v>626.87219262295082</v>
      </c>
      <c r="FC38" s="66">
        <f t="shared" si="416"/>
        <v>0</v>
      </c>
      <c r="FD38" s="66">
        <f t="shared" si="416"/>
        <v>0</v>
      </c>
      <c r="FE38" s="66">
        <f t="shared" si="416"/>
        <v>620.4349733606557</v>
      </c>
      <c r="FF38" s="66">
        <f t="shared" si="416"/>
        <v>0</v>
      </c>
      <c r="FG38" s="66">
        <f t="shared" si="416"/>
        <v>0</v>
      </c>
      <c r="FH38" s="66">
        <f t="shared" si="416"/>
        <v>613.4379959016394</v>
      </c>
      <c r="FI38" s="66">
        <f t="shared" si="416"/>
        <v>0</v>
      </c>
      <c r="FJ38" s="66">
        <f t="shared" si="416"/>
        <v>0</v>
      </c>
      <c r="FK38" s="66">
        <f t="shared" si="416"/>
        <v>606.70172773972604</v>
      </c>
      <c r="FL38" s="66">
        <f t="shared" si="416"/>
        <v>0</v>
      </c>
      <c r="FM38" s="66">
        <f t="shared" si="416"/>
        <v>0</v>
      </c>
      <c r="FN38" s="66">
        <f t="shared" si="416"/>
        <v>601.22913287671236</v>
      </c>
      <c r="FO38" s="66">
        <f t="shared" si="416"/>
        <v>0</v>
      </c>
      <c r="FP38" s="66">
        <f t="shared" si="416"/>
        <v>0</v>
      </c>
      <c r="FQ38" s="66">
        <f t="shared" si="416"/>
        <v>594.77427739726022</v>
      </c>
      <c r="FR38" s="66">
        <f t="shared" si="416"/>
        <v>0</v>
      </c>
      <c r="FS38" s="66">
        <f t="shared" si="416"/>
        <v>0</v>
      </c>
      <c r="FT38" s="66">
        <f t="shared" si="416"/>
        <v>588.03877602739726</v>
      </c>
      <c r="FU38" s="66">
        <f t="shared" si="416"/>
        <v>0</v>
      </c>
      <c r="FV38" s="66">
        <f t="shared" si="416"/>
        <v>0</v>
      </c>
      <c r="FW38" s="66">
        <f t="shared" si="416"/>
        <v>581.44359760273971</v>
      </c>
      <c r="FX38" s="66">
        <f t="shared" si="416"/>
        <v>0</v>
      </c>
      <c r="FY38" s="66">
        <f t="shared" si="416"/>
        <v>0</v>
      </c>
      <c r="FZ38" s="66">
        <f t="shared" si="416"/>
        <v>575.40971095890416</v>
      </c>
      <c r="GA38" s="66">
        <f t="shared" si="416"/>
        <v>0</v>
      </c>
      <c r="GB38" s="66">
        <f t="shared" si="416"/>
        <v>0</v>
      </c>
      <c r="GC38" s="66">
        <f t="shared" si="416"/>
        <v>568.95485547945202</v>
      </c>
      <c r="GD38" s="66">
        <f t="shared" si="416"/>
        <v>0</v>
      </c>
      <c r="GE38" s="66">
        <f t="shared" si="416"/>
        <v>0</v>
      </c>
      <c r="GF38" s="67">
        <f t="shared" si="416"/>
        <v>0</v>
      </c>
    </row>
    <row r="39" spans="2:188" s="1" customFormat="1" x14ac:dyDescent="0.3">
      <c r="C39" s="101" t="s">
        <v>681</v>
      </c>
      <c r="D39" s="88">
        <f>D40+D41</f>
        <v>27000</v>
      </c>
      <c r="E39" s="84">
        <f>E40+E41</f>
        <v>13000</v>
      </c>
      <c r="F39" s="84">
        <f t="shared" ref="F39:BQ39" si="417">F40+F41</f>
        <v>0</v>
      </c>
      <c r="G39" s="84">
        <f t="shared" si="417"/>
        <v>0</v>
      </c>
      <c r="H39" s="84">
        <f t="shared" si="417"/>
        <v>0</v>
      </c>
      <c r="I39" s="84">
        <f t="shared" si="417"/>
        <v>12000</v>
      </c>
      <c r="J39" s="84">
        <f t="shared" si="417"/>
        <v>0</v>
      </c>
      <c r="K39" s="84">
        <f t="shared" si="417"/>
        <v>0</v>
      </c>
      <c r="L39" s="84">
        <f t="shared" si="417"/>
        <v>0</v>
      </c>
      <c r="M39" s="84">
        <f t="shared" si="417"/>
        <v>0</v>
      </c>
      <c r="N39" s="84">
        <f t="shared" si="417"/>
        <v>2000</v>
      </c>
      <c r="O39" s="84">
        <f t="shared" si="417"/>
        <v>0</v>
      </c>
      <c r="P39" s="84">
        <f t="shared" si="417"/>
        <v>0</v>
      </c>
      <c r="Q39" s="84">
        <f t="shared" si="417"/>
        <v>0</v>
      </c>
      <c r="R39" s="84">
        <f t="shared" si="417"/>
        <v>0</v>
      </c>
      <c r="S39" s="84">
        <f t="shared" si="417"/>
        <v>0</v>
      </c>
      <c r="T39" s="84">
        <f t="shared" si="417"/>
        <v>0</v>
      </c>
      <c r="U39" s="84">
        <f t="shared" si="417"/>
        <v>0</v>
      </c>
      <c r="V39" s="84">
        <f t="shared" si="417"/>
        <v>0</v>
      </c>
      <c r="W39" s="84">
        <f t="shared" si="417"/>
        <v>0</v>
      </c>
      <c r="X39" s="84">
        <f t="shared" si="417"/>
        <v>0</v>
      </c>
      <c r="Y39" s="84">
        <f t="shared" si="417"/>
        <v>0</v>
      </c>
      <c r="Z39" s="84">
        <f t="shared" si="417"/>
        <v>0</v>
      </c>
      <c r="AA39" s="84">
        <f t="shared" si="417"/>
        <v>0</v>
      </c>
      <c r="AB39" s="84">
        <f t="shared" si="417"/>
        <v>0</v>
      </c>
      <c r="AC39" s="84">
        <f t="shared" si="417"/>
        <v>0</v>
      </c>
      <c r="AD39" s="84">
        <f t="shared" si="417"/>
        <v>0</v>
      </c>
      <c r="AE39" s="84">
        <f t="shared" si="417"/>
        <v>0</v>
      </c>
      <c r="AF39" s="84">
        <f t="shared" si="417"/>
        <v>0</v>
      </c>
      <c r="AG39" s="84">
        <f t="shared" si="417"/>
        <v>0</v>
      </c>
      <c r="AH39" s="84">
        <f t="shared" si="417"/>
        <v>0</v>
      </c>
      <c r="AI39" s="84">
        <f t="shared" si="417"/>
        <v>0</v>
      </c>
      <c r="AJ39" s="84">
        <f t="shared" si="417"/>
        <v>0</v>
      </c>
      <c r="AK39" s="84">
        <f t="shared" si="417"/>
        <v>0</v>
      </c>
      <c r="AL39" s="84">
        <f t="shared" si="417"/>
        <v>0</v>
      </c>
      <c r="AM39" s="84">
        <f t="shared" si="417"/>
        <v>0</v>
      </c>
      <c r="AN39" s="84">
        <f t="shared" si="417"/>
        <v>0</v>
      </c>
      <c r="AO39" s="84">
        <f t="shared" si="417"/>
        <v>0</v>
      </c>
      <c r="AP39" s="84">
        <f t="shared" si="417"/>
        <v>0</v>
      </c>
      <c r="AQ39" s="84">
        <f t="shared" si="417"/>
        <v>0</v>
      </c>
      <c r="AR39" s="84">
        <f t="shared" si="417"/>
        <v>0</v>
      </c>
      <c r="AS39" s="84">
        <f t="shared" si="417"/>
        <v>0</v>
      </c>
      <c r="AT39" s="84">
        <f t="shared" si="417"/>
        <v>0</v>
      </c>
      <c r="AU39" s="84">
        <f t="shared" si="417"/>
        <v>0</v>
      </c>
      <c r="AV39" s="84">
        <f t="shared" si="417"/>
        <v>0</v>
      </c>
      <c r="AW39" s="84">
        <f t="shared" si="417"/>
        <v>0</v>
      </c>
      <c r="AX39" s="84">
        <f t="shared" si="417"/>
        <v>0</v>
      </c>
      <c r="AY39" s="84">
        <f t="shared" si="417"/>
        <v>0</v>
      </c>
      <c r="AZ39" s="84">
        <f t="shared" si="417"/>
        <v>0</v>
      </c>
      <c r="BA39" s="84">
        <f t="shared" si="417"/>
        <v>0</v>
      </c>
      <c r="BB39" s="84">
        <f t="shared" si="417"/>
        <v>0</v>
      </c>
      <c r="BC39" s="84">
        <f t="shared" si="417"/>
        <v>0</v>
      </c>
      <c r="BD39" s="84">
        <f t="shared" si="417"/>
        <v>0</v>
      </c>
      <c r="BE39" s="84">
        <f t="shared" si="417"/>
        <v>0</v>
      </c>
      <c r="BF39" s="84">
        <f t="shared" si="417"/>
        <v>0</v>
      </c>
      <c r="BG39" s="84">
        <f t="shared" si="417"/>
        <v>0</v>
      </c>
      <c r="BH39" s="84">
        <f t="shared" si="417"/>
        <v>0</v>
      </c>
      <c r="BI39" s="84">
        <f t="shared" si="417"/>
        <v>0</v>
      </c>
      <c r="BJ39" s="84">
        <f t="shared" si="417"/>
        <v>0</v>
      </c>
      <c r="BK39" s="84">
        <f t="shared" si="417"/>
        <v>0</v>
      </c>
      <c r="BL39" s="84">
        <f t="shared" si="417"/>
        <v>0</v>
      </c>
      <c r="BM39" s="84">
        <f t="shared" si="417"/>
        <v>0</v>
      </c>
      <c r="BN39" s="84">
        <f t="shared" si="417"/>
        <v>0</v>
      </c>
      <c r="BO39" s="84">
        <f t="shared" si="417"/>
        <v>0</v>
      </c>
      <c r="BP39" s="84">
        <f t="shared" si="417"/>
        <v>0</v>
      </c>
      <c r="BQ39" s="84">
        <f t="shared" si="417"/>
        <v>0</v>
      </c>
      <c r="BR39" s="84">
        <f t="shared" ref="BR39:EC39" si="418">BR40+BR41</f>
        <v>0</v>
      </c>
      <c r="BS39" s="84">
        <f t="shared" si="418"/>
        <v>0</v>
      </c>
      <c r="BT39" s="84">
        <f t="shared" si="418"/>
        <v>0</v>
      </c>
      <c r="BU39" s="84">
        <f t="shared" si="418"/>
        <v>0</v>
      </c>
      <c r="BV39" s="84">
        <f t="shared" si="418"/>
        <v>0</v>
      </c>
      <c r="BW39" s="84">
        <f t="shared" si="418"/>
        <v>0</v>
      </c>
      <c r="BX39" s="84">
        <f t="shared" si="418"/>
        <v>0</v>
      </c>
      <c r="BY39" s="84">
        <f t="shared" si="418"/>
        <v>0</v>
      </c>
      <c r="BZ39" s="84">
        <f t="shared" si="418"/>
        <v>0</v>
      </c>
      <c r="CA39" s="84">
        <f t="shared" si="418"/>
        <v>0</v>
      </c>
      <c r="CB39" s="84">
        <f t="shared" si="418"/>
        <v>0</v>
      </c>
      <c r="CC39" s="84">
        <f t="shared" si="418"/>
        <v>0</v>
      </c>
      <c r="CD39" s="84">
        <f t="shared" si="418"/>
        <v>0</v>
      </c>
      <c r="CE39" s="84">
        <f t="shared" si="418"/>
        <v>0</v>
      </c>
      <c r="CF39" s="84">
        <f t="shared" si="418"/>
        <v>0</v>
      </c>
      <c r="CG39" s="84">
        <f t="shared" si="418"/>
        <v>0</v>
      </c>
      <c r="CH39" s="84">
        <f t="shared" si="418"/>
        <v>0</v>
      </c>
      <c r="CI39" s="84">
        <f t="shared" si="418"/>
        <v>0</v>
      </c>
      <c r="CJ39" s="84">
        <f t="shared" si="418"/>
        <v>0</v>
      </c>
      <c r="CK39" s="84">
        <f t="shared" si="418"/>
        <v>0</v>
      </c>
      <c r="CL39" s="84">
        <f t="shared" si="418"/>
        <v>0</v>
      </c>
      <c r="CM39" s="84">
        <f t="shared" si="418"/>
        <v>0</v>
      </c>
      <c r="CN39" s="84">
        <f t="shared" si="418"/>
        <v>0</v>
      </c>
      <c r="CO39" s="84">
        <f t="shared" si="418"/>
        <v>0</v>
      </c>
      <c r="CP39" s="84">
        <f t="shared" si="418"/>
        <v>0</v>
      </c>
      <c r="CQ39" s="84">
        <f t="shared" si="418"/>
        <v>0</v>
      </c>
      <c r="CR39" s="84">
        <f t="shared" si="418"/>
        <v>0</v>
      </c>
      <c r="CS39" s="84">
        <f t="shared" si="418"/>
        <v>0</v>
      </c>
      <c r="CT39" s="84">
        <f t="shared" si="418"/>
        <v>0</v>
      </c>
      <c r="CU39" s="84">
        <f t="shared" si="418"/>
        <v>0</v>
      </c>
      <c r="CV39" s="84">
        <f t="shared" si="418"/>
        <v>0</v>
      </c>
      <c r="CW39" s="84">
        <f t="shared" si="418"/>
        <v>0</v>
      </c>
      <c r="CX39" s="84">
        <f t="shared" si="418"/>
        <v>0</v>
      </c>
      <c r="CY39" s="84">
        <f t="shared" si="418"/>
        <v>0</v>
      </c>
      <c r="CZ39" s="84">
        <f t="shared" si="418"/>
        <v>0</v>
      </c>
      <c r="DA39" s="84">
        <f t="shared" si="418"/>
        <v>0</v>
      </c>
      <c r="DB39" s="84">
        <f t="shared" si="418"/>
        <v>0</v>
      </c>
      <c r="DC39" s="84">
        <f t="shared" si="418"/>
        <v>0</v>
      </c>
      <c r="DD39" s="84">
        <f t="shared" si="418"/>
        <v>0</v>
      </c>
      <c r="DE39" s="84">
        <f t="shared" si="418"/>
        <v>0</v>
      </c>
      <c r="DF39" s="84">
        <f t="shared" si="418"/>
        <v>0</v>
      </c>
      <c r="DG39" s="84">
        <f t="shared" si="418"/>
        <v>0</v>
      </c>
      <c r="DH39" s="84">
        <f t="shared" si="418"/>
        <v>0</v>
      </c>
      <c r="DI39" s="84">
        <f t="shared" si="418"/>
        <v>0</v>
      </c>
      <c r="DJ39" s="84">
        <f t="shared" si="418"/>
        <v>0</v>
      </c>
      <c r="DK39" s="84">
        <f t="shared" si="418"/>
        <v>0</v>
      </c>
      <c r="DL39" s="84">
        <f t="shared" si="418"/>
        <v>0</v>
      </c>
      <c r="DM39" s="84">
        <f t="shared" si="418"/>
        <v>0</v>
      </c>
      <c r="DN39" s="84">
        <f t="shared" si="418"/>
        <v>0</v>
      </c>
      <c r="DO39" s="84">
        <f t="shared" si="418"/>
        <v>0</v>
      </c>
      <c r="DP39" s="84">
        <f t="shared" si="418"/>
        <v>0</v>
      </c>
      <c r="DQ39" s="84">
        <f t="shared" si="418"/>
        <v>0</v>
      </c>
      <c r="DR39" s="84">
        <f t="shared" si="418"/>
        <v>0</v>
      </c>
      <c r="DS39" s="84">
        <f t="shared" si="418"/>
        <v>0</v>
      </c>
      <c r="DT39" s="84">
        <f t="shared" si="418"/>
        <v>0</v>
      </c>
      <c r="DU39" s="84">
        <f t="shared" si="418"/>
        <v>0</v>
      </c>
      <c r="DV39" s="84">
        <f t="shared" si="418"/>
        <v>0</v>
      </c>
      <c r="DW39" s="84">
        <f t="shared" si="418"/>
        <v>0</v>
      </c>
      <c r="DX39" s="84">
        <f t="shared" si="418"/>
        <v>0</v>
      </c>
      <c r="DY39" s="84">
        <f t="shared" si="418"/>
        <v>0</v>
      </c>
      <c r="DZ39" s="84">
        <f t="shared" si="418"/>
        <v>0</v>
      </c>
      <c r="EA39" s="84">
        <f t="shared" si="418"/>
        <v>0</v>
      </c>
      <c r="EB39" s="84">
        <f t="shared" si="418"/>
        <v>0</v>
      </c>
      <c r="EC39" s="84">
        <f t="shared" si="418"/>
        <v>0</v>
      </c>
      <c r="ED39" s="84">
        <f t="shared" ref="ED39:GF39" si="419">ED40+ED41</f>
        <v>0</v>
      </c>
      <c r="EE39" s="84">
        <f t="shared" si="419"/>
        <v>0</v>
      </c>
      <c r="EF39" s="84">
        <f t="shared" si="419"/>
        <v>0</v>
      </c>
      <c r="EG39" s="84">
        <f t="shared" si="419"/>
        <v>0</v>
      </c>
      <c r="EH39" s="84">
        <f t="shared" si="419"/>
        <v>0</v>
      </c>
      <c r="EI39" s="84">
        <f t="shared" si="419"/>
        <v>0</v>
      </c>
      <c r="EJ39" s="84">
        <f t="shared" si="419"/>
        <v>0</v>
      </c>
      <c r="EK39" s="84">
        <f t="shared" si="419"/>
        <v>0</v>
      </c>
      <c r="EL39" s="84">
        <f t="shared" si="419"/>
        <v>0</v>
      </c>
      <c r="EM39" s="84">
        <f t="shared" si="419"/>
        <v>0</v>
      </c>
      <c r="EN39" s="84">
        <f t="shared" si="419"/>
        <v>0</v>
      </c>
      <c r="EO39" s="84">
        <f t="shared" si="419"/>
        <v>0</v>
      </c>
      <c r="EP39" s="84">
        <f t="shared" si="419"/>
        <v>0</v>
      </c>
      <c r="EQ39" s="84">
        <f t="shared" si="419"/>
        <v>0</v>
      </c>
      <c r="ER39" s="84">
        <f t="shared" si="419"/>
        <v>0</v>
      </c>
      <c r="ES39" s="84">
        <f t="shared" si="419"/>
        <v>0</v>
      </c>
      <c r="ET39" s="84">
        <f t="shared" si="419"/>
        <v>0</v>
      </c>
      <c r="EU39" s="84">
        <f t="shared" si="419"/>
        <v>0</v>
      </c>
      <c r="EV39" s="84">
        <f t="shared" si="419"/>
        <v>0</v>
      </c>
      <c r="EW39" s="84">
        <f t="shared" si="419"/>
        <v>0</v>
      </c>
      <c r="EX39" s="84">
        <f t="shared" si="419"/>
        <v>0</v>
      </c>
      <c r="EY39" s="84">
        <f t="shared" si="419"/>
        <v>0</v>
      </c>
      <c r="EZ39" s="84">
        <f t="shared" si="419"/>
        <v>0</v>
      </c>
      <c r="FA39" s="84">
        <f t="shared" si="419"/>
        <v>0</v>
      </c>
      <c r="FB39" s="84">
        <f t="shared" si="419"/>
        <v>0</v>
      </c>
      <c r="FC39" s="84">
        <f t="shared" si="419"/>
        <v>0</v>
      </c>
      <c r="FD39" s="84">
        <f t="shared" si="419"/>
        <v>0</v>
      </c>
      <c r="FE39" s="84">
        <f t="shared" si="419"/>
        <v>0</v>
      </c>
      <c r="FF39" s="84">
        <f t="shared" si="419"/>
        <v>0</v>
      </c>
      <c r="FG39" s="84">
        <f t="shared" si="419"/>
        <v>0</v>
      </c>
      <c r="FH39" s="84">
        <f t="shared" si="419"/>
        <v>0</v>
      </c>
      <c r="FI39" s="84">
        <f t="shared" si="419"/>
        <v>0</v>
      </c>
      <c r="FJ39" s="84">
        <f t="shared" si="419"/>
        <v>0</v>
      </c>
      <c r="FK39" s="84">
        <f t="shared" si="419"/>
        <v>0</v>
      </c>
      <c r="FL39" s="84">
        <f t="shared" si="419"/>
        <v>0</v>
      </c>
      <c r="FM39" s="84">
        <f t="shared" si="419"/>
        <v>0</v>
      </c>
      <c r="FN39" s="84">
        <f t="shared" si="419"/>
        <v>0</v>
      </c>
      <c r="FO39" s="84">
        <f t="shared" si="419"/>
        <v>0</v>
      </c>
      <c r="FP39" s="84">
        <f t="shared" si="419"/>
        <v>0</v>
      </c>
      <c r="FQ39" s="84">
        <f t="shared" si="419"/>
        <v>0</v>
      </c>
      <c r="FR39" s="84">
        <f t="shared" si="419"/>
        <v>0</v>
      </c>
      <c r="FS39" s="84">
        <f t="shared" si="419"/>
        <v>0</v>
      </c>
      <c r="FT39" s="84">
        <f t="shared" si="419"/>
        <v>0</v>
      </c>
      <c r="FU39" s="84">
        <f t="shared" si="419"/>
        <v>0</v>
      </c>
      <c r="FV39" s="84">
        <f t="shared" si="419"/>
        <v>0</v>
      </c>
      <c r="FW39" s="84">
        <f t="shared" si="419"/>
        <v>0</v>
      </c>
      <c r="FX39" s="84">
        <f t="shared" si="419"/>
        <v>0</v>
      </c>
      <c r="FY39" s="84">
        <f t="shared" si="419"/>
        <v>0</v>
      </c>
      <c r="FZ39" s="84">
        <f t="shared" si="419"/>
        <v>0</v>
      </c>
      <c r="GA39" s="84">
        <f t="shared" si="419"/>
        <v>0</v>
      </c>
      <c r="GB39" s="84">
        <f t="shared" si="419"/>
        <v>0</v>
      </c>
      <c r="GC39" s="84">
        <f t="shared" si="419"/>
        <v>0</v>
      </c>
      <c r="GD39" s="84">
        <f t="shared" si="419"/>
        <v>0</v>
      </c>
      <c r="GE39" s="84">
        <f t="shared" si="419"/>
        <v>0</v>
      </c>
      <c r="GF39" s="102">
        <f t="shared" si="419"/>
        <v>0</v>
      </c>
    </row>
    <row r="40" spans="2:188" s="1" customFormat="1" x14ac:dyDescent="0.3">
      <c r="C40" s="104" t="s">
        <v>673</v>
      </c>
      <c r="D40" s="88">
        <f>SUM(E40:GF40)</f>
        <v>25650</v>
      </c>
      <c r="E40" s="88">
        <f>E13*Assumption!$C$99</f>
        <v>12350</v>
      </c>
      <c r="F40" s="88">
        <f>F13*Assumption!$C$99</f>
        <v>0</v>
      </c>
      <c r="G40" s="88">
        <f>G13*Assumption!$C$99</f>
        <v>0</v>
      </c>
      <c r="H40" s="88">
        <f>H13*Assumption!$C$99</f>
        <v>0</v>
      </c>
      <c r="I40" s="88">
        <f>I13*Assumption!$C$99</f>
        <v>11400</v>
      </c>
      <c r="J40" s="88">
        <f>J13*Assumption!$C$99</f>
        <v>0</v>
      </c>
      <c r="K40" s="88">
        <f>K13*Assumption!$C$99</f>
        <v>0</v>
      </c>
      <c r="L40" s="88">
        <f>L13*Assumption!$C$99</f>
        <v>0</v>
      </c>
      <c r="M40" s="88">
        <f>M13*Assumption!$C$99</f>
        <v>0</v>
      </c>
      <c r="N40" s="88">
        <f>N13*Assumption!$C$99</f>
        <v>1900</v>
      </c>
      <c r="O40" s="88">
        <f>O13*Assumption!$C$99</f>
        <v>0</v>
      </c>
      <c r="P40" s="88">
        <f>P13*Assumption!$C$99</f>
        <v>0</v>
      </c>
      <c r="Q40" s="88">
        <f>Q13*Assumption!$C$99</f>
        <v>0</v>
      </c>
      <c r="R40" s="88">
        <f>R13*Assumption!$C$99</f>
        <v>0</v>
      </c>
      <c r="S40" s="88">
        <f>S13*Assumption!$C$99</f>
        <v>0</v>
      </c>
      <c r="T40" s="88">
        <f>T13*Assumption!$C$99</f>
        <v>0</v>
      </c>
      <c r="U40" s="88">
        <f>U13*Assumption!$C$99</f>
        <v>0</v>
      </c>
      <c r="V40" s="88">
        <f>V13*Assumption!$C$99</f>
        <v>0</v>
      </c>
      <c r="W40" s="88">
        <f>W13*Assumption!$C$99</f>
        <v>0</v>
      </c>
      <c r="X40" s="88">
        <f>X13*Assumption!$C$99</f>
        <v>0</v>
      </c>
      <c r="Y40" s="88">
        <f>Y13*Assumption!$C$99</f>
        <v>0</v>
      </c>
      <c r="Z40" s="88">
        <f>Z13*Assumption!$C$99</f>
        <v>0</v>
      </c>
      <c r="AA40" s="88">
        <f>AA13*Assumption!$C$99</f>
        <v>0</v>
      </c>
      <c r="AB40" s="88">
        <f>AB13*Assumption!$C$99</f>
        <v>0</v>
      </c>
      <c r="AC40" s="88">
        <f>AC13*Assumption!$C$99</f>
        <v>0</v>
      </c>
      <c r="AD40" s="88">
        <f>AD13*Assumption!$C$99</f>
        <v>0</v>
      </c>
      <c r="AE40" s="88">
        <f>AE13*Assumption!$C$99</f>
        <v>0</v>
      </c>
      <c r="AF40" s="88">
        <f>AF13*Assumption!$C$99</f>
        <v>0</v>
      </c>
      <c r="AG40" s="88">
        <f>AG13*Assumption!$C$99</f>
        <v>0</v>
      </c>
      <c r="AH40" s="88">
        <f>AH13*Assumption!$C$99</f>
        <v>0</v>
      </c>
      <c r="AI40" s="88">
        <f>AI13*Assumption!$C$99</f>
        <v>0</v>
      </c>
      <c r="AJ40" s="88">
        <f>AJ13*Assumption!$C$99</f>
        <v>0</v>
      </c>
      <c r="AK40" s="88">
        <f>AK13*Assumption!$C$99</f>
        <v>0</v>
      </c>
      <c r="AL40" s="88">
        <f>AL13*Assumption!$C$99</f>
        <v>0</v>
      </c>
      <c r="AM40" s="88">
        <f>AM13*Assumption!$C$99</f>
        <v>0</v>
      </c>
      <c r="AN40" s="88">
        <f>AN13*Assumption!$C$99</f>
        <v>0</v>
      </c>
      <c r="AO40" s="88">
        <f>AO13*Assumption!$C$99</f>
        <v>0</v>
      </c>
      <c r="AP40" s="88">
        <f>AP13*Assumption!$C$99</f>
        <v>0</v>
      </c>
      <c r="AQ40" s="88">
        <f>AQ13*Assumption!$C$99</f>
        <v>0</v>
      </c>
      <c r="AR40" s="88">
        <f>AR13*Assumption!$C$99</f>
        <v>0</v>
      </c>
      <c r="AS40" s="88">
        <f>AS13*Assumption!$C$99</f>
        <v>0</v>
      </c>
      <c r="AT40" s="88">
        <f>AT13*Assumption!$C$99</f>
        <v>0</v>
      </c>
      <c r="AU40" s="88">
        <f>AU13*Assumption!$C$99</f>
        <v>0</v>
      </c>
      <c r="AV40" s="88">
        <f>AV13*Assumption!$C$99</f>
        <v>0</v>
      </c>
      <c r="AW40" s="88">
        <f>AW13*Assumption!$C$99</f>
        <v>0</v>
      </c>
      <c r="AX40" s="88">
        <f>AX13*Assumption!$C$99</f>
        <v>0</v>
      </c>
      <c r="AY40" s="88">
        <f>AY13*Assumption!$C$99</f>
        <v>0</v>
      </c>
      <c r="AZ40" s="88">
        <f>AZ13*Assumption!$C$99</f>
        <v>0</v>
      </c>
      <c r="BA40" s="88">
        <f>BA13*Assumption!$C$99</f>
        <v>0</v>
      </c>
      <c r="BB40" s="88">
        <f>BB13*Assumption!$C$99</f>
        <v>0</v>
      </c>
      <c r="BC40" s="88">
        <f>BC13*Assumption!$C$99</f>
        <v>0</v>
      </c>
      <c r="BD40" s="88">
        <f>BD13*Assumption!$C$99</f>
        <v>0</v>
      </c>
      <c r="BE40" s="88">
        <f>BE13*Assumption!$C$99</f>
        <v>0</v>
      </c>
      <c r="BF40" s="88">
        <f>BF13*Assumption!$C$99</f>
        <v>0</v>
      </c>
      <c r="BG40" s="88">
        <f>BG13*Assumption!$C$99</f>
        <v>0</v>
      </c>
      <c r="BH40" s="88">
        <f>BH13*Assumption!$C$99</f>
        <v>0</v>
      </c>
      <c r="BI40" s="88">
        <f>BI13*Assumption!$C$99</f>
        <v>0</v>
      </c>
      <c r="BJ40" s="88">
        <f>BJ13*Assumption!$C$99</f>
        <v>0</v>
      </c>
      <c r="BK40" s="88">
        <f>BK13*Assumption!$C$99</f>
        <v>0</v>
      </c>
      <c r="BL40" s="88">
        <f>BL13*Assumption!$C$99</f>
        <v>0</v>
      </c>
      <c r="BM40" s="88">
        <f>BM13*Assumption!$C$99</f>
        <v>0</v>
      </c>
      <c r="BN40" s="88">
        <f>BN13*Assumption!$C$99</f>
        <v>0</v>
      </c>
      <c r="BO40" s="88">
        <f>BO13*Assumption!$C$99</f>
        <v>0</v>
      </c>
      <c r="BP40" s="88">
        <f>BP13*Assumption!$C$99</f>
        <v>0</v>
      </c>
      <c r="BQ40" s="88">
        <f>BQ13*Assumption!$C$99</f>
        <v>0</v>
      </c>
      <c r="BR40" s="88">
        <f>BR13*Assumption!$C$99</f>
        <v>0</v>
      </c>
      <c r="BS40" s="88">
        <f>BS13*Assumption!$C$99</f>
        <v>0</v>
      </c>
      <c r="BT40" s="88">
        <f>BT13*Assumption!$C$99</f>
        <v>0</v>
      </c>
      <c r="BU40" s="88">
        <f>BU13*Assumption!$C$99</f>
        <v>0</v>
      </c>
      <c r="BV40" s="88">
        <f>BV13*Assumption!$C$99</f>
        <v>0</v>
      </c>
      <c r="BW40" s="88">
        <f>BW13*Assumption!$C$99</f>
        <v>0</v>
      </c>
      <c r="BX40" s="88">
        <f>BX13*Assumption!$C$99</f>
        <v>0</v>
      </c>
      <c r="BY40" s="88">
        <f>BY13*Assumption!$C$99</f>
        <v>0</v>
      </c>
      <c r="BZ40" s="88">
        <f>BZ13*Assumption!$C$99</f>
        <v>0</v>
      </c>
      <c r="CA40" s="88">
        <f>CA13*Assumption!$C$99</f>
        <v>0</v>
      </c>
      <c r="CB40" s="88">
        <f>CB13*Assumption!$C$99</f>
        <v>0</v>
      </c>
      <c r="CC40" s="88">
        <f>CC13*Assumption!$C$99</f>
        <v>0</v>
      </c>
      <c r="CD40" s="88">
        <f>CD13*Assumption!$C$99</f>
        <v>0</v>
      </c>
      <c r="CE40" s="88">
        <f>CE13*Assumption!$C$99</f>
        <v>0</v>
      </c>
      <c r="CF40" s="88">
        <f>CF13*Assumption!$C$99</f>
        <v>0</v>
      </c>
      <c r="CG40" s="88">
        <f>CG13*Assumption!$C$99</f>
        <v>0</v>
      </c>
      <c r="CH40" s="88">
        <f>CH13*Assumption!$C$99</f>
        <v>0</v>
      </c>
      <c r="CI40" s="88">
        <f>CI13*Assumption!$C$99</f>
        <v>0</v>
      </c>
      <c r="CJ40" s="88">
        <f>CJ13*Assumption!$C$99</f>
        <v>0</v>
      </c>
      <c r="CK40" s="88">
        <f>CK13*Assumption!$C$99</f>
        <v>0</v>
      </c>
      <c r="CL40" s="88">
        <f>CL13*Assumption!$C$99</f>
        <v>0</v>
      </c>
      <c r="CM40" s="88">
        <f>CM13*Assumption!$C$99</f>
        <v>0</v>
      </c>
      <c r="CN40" s="88">
        <f>CN13*Assumption!$C$99</f>
        <v>0</v>
      </c>
      <c r="CO40" s="88">
        <f>CO13*Assumption!$C$99</f>
        <v>0</v>
      </c>
      <c r="CP40" s="88">
        <f>CP13*Assumption!$C$99</f>
        <v>0</v>
      </c>
      <c r="CQ40" s="88">
        <f>CQ13*Assumption!$C$99</f>
        <v>0</v>
      </c>
      <c r="CR40" s="88">
        <f>CR13*Assumption!$C$99</f>
        <v>0</v>
      </c>
      <c r="CS40" s="88">
        <f>CS13*Assumption!$C$99</f>
        <v>0</v>
      </c>
      <c r="CT40" s="88">
        <f>CT13*Assumption!$C$99</f>
        <v>0</v>
      </c>
      <c r="CU40" s="88">
        <f>CU13*Assumption!$C$99</f>
        <v>0</v>
      </c>
      <c r="CV40" s="88">
        <f>CV13*Assumption!$C$99</f>
        <v>0</v>
      </c>
      <c r="CW40" s="88">
        <f>CW13*Assumption!$C$99</f>
        <v>0</v>
      </c>
      <c r="CX40" s="88">
        <f>CX13*Assumption!$C$99</f>
        <v>0</v>
      </c>
      <c r="CY40" s="88">
        <f>CY13*Assumption!$C$99</f>
        <v>0</v>
      </c>
      <c r="CZ40" s="88">
        <f>CZ13*Assumption!$C$99</f>
        <v>0</v>
      </c>
      <c r="DA40" s="88">
        <f>DA13*Assumption!$C$99</f>
        <v>0</v>
      </c>
      <c r="DB40" s="88">
        <f>DB13*Assumption!$C$99</f>
        <v>0</v>
      </c>
      <c r="DC40" s="88">
        <f>DC13*Assumption!$C$99</f>
        <v>0</v>
      </c>
      <c r="DD40" s="88">
        <f>DD13*Assumption!$C$99</f>
        <v>0</v>
      </c>
      <c r="DE40" s="88">
        <f>DE13*Assumption!$C$99</f>
        <v>0</v>
      </c>
      <c r="DF40" s="88">
        <f>DF13*Assumption!$C$99</f>
        <v>0</v>
      </c>
      <c r="DG40" s="88">
        <f>DG13*Assumption!$C$99</f>
        <v>0</v>
      </c>
      <c r="DH40" s="88">
        <f>DH13*Assumption!$C$99</f>
        <v>0</v>
      </c>
      <c r="DI40" s="88">
        <f>DI13*Assumption!$C$99</f>
        <v>0</v>
      </c>
      <c r="DJ40" s="88">
        <f>DJ13*Assumption!$C$99</f>
        <v>0</v>
      </c>
      <c r="DK40" s="88">
        <f>DK13*Assumption!$C$99</f>
        <v>0</v>
      </c>
      <c r="DL40" s="88">
        <f>DL13*Assumption!$C$99</f>
        <v>0</v>
      </c>
      <c r="DM40" s="88">
        <f>DM13*Assumption!$C$99</f>
        <v>0</v>
      </c>
      <c r="DN40" s="88">
        <f>DN13*Assumption!$C$99</f>
        <v>0</v>
      </c>
      <c r="DO40" s="88">
        <f>DO13*Assumption!$C$99</f>
        <v>0</v>
      </c>
      <c r="DP40" s="88">
        <f>DP13*Assumption!$C$99</f>
        <v>0</v>
      </c>
      <c r="DQ40" s="88">
        <f>DQ13*Assumption!$C$99</f>
        <v>0</v>
      </c>
      <c r="DR40" s="88">
        <f>DR13*Assumption!$C$99</f>
        <v>0</v>
      </c>
      <c r="DS40" s="88">
        <f>DS13*Assumption!$C$99</f>
        <v>0</v>
      </c>
      <c r="DT40" s="88">
        <f>DT13*Assumption!$C$99</f>
        <v>0</v>
      </c>
      <c r="DU40" s="88">
        <f>DU13*Assumption!$C$99</f>
        <v>0</v>
      </c>
      <c r="DV40" s="88">
        <f>DV13*Assumption!$C$99</f>
        <v>0</v>
      </c>
      <c r="DW40" s="88">
        <f>DW13*Assumption!$C$99</f>
        <v>0</v>
      </c>
      <c r="DX40" s="88">
        <f>DX13*Assumption!$C$99</f>
        <v>0</v>
      </c>
      <c r="DY40" s="88">
        <f>DY13*Assumption!$C$99</f>
        <v>0</v>
      </c>
      <c r="DZ40" s="88">
        <f>DZ13*Assumption!$C$99</f>
        <v>0</v>
      </c>
      <c r="EA40" s="88">
        <f>EA13*Assumption!$C$99</f>
        <v>0</v>
      </c>
      <c r="EB40" s="88">
        <f>EB13*Assumption!$C$99</f>
        <v>0</v>
      </c>
      <c r="EC40" s="88">
        <f>EC13*Assumption!$C$99</f>
        <v>0</v>
      </c>
      <c r="ED40" s="88">
        <f>ED13*Assumption!$C$99</f>
        <v>0</v>
      </c>
      <c r="EE40" s="88">
        <f>EE13*Assumption!$C$99</f>
        <v>0</v>
      </c>
      <c r="EF40" s="88">
        <f>EF13*Assumption!$C$99</f>
        <v>0</v>
      </c>
      <c r="EG40" s="88">
        <f>EG13*Assumption!$C$99</f>
        <v>0</v>
      </c>
      <c r="EH40" s="88">
        <f>EH13*Assumption!$C$99</f>
        <v>0</v>
      </c>
      <c r="EI40" s="88">
        <f>EI13*Assumption!$C$99</f>
        <v>0</v>
      </c>
      <c r="EJ40" s="88">
        <f>EJ13*Assumption!$C$99</f>
        <v>0</v>
      </c>
      <c r="EK40" s="88">
        <f>EK13*Assumption!$C$99</f>
        <v>0</v>
      </c>
      <c r="EL40" s="88">
        <f>EL13*Assumption!$C$99</f>
        <v>0</v>
      </c>
      <c r="EM40" s="88">
        <f>EM13*Assumption!$C$99</f>
        <v>0</v>
      </c>
      <c r="EN40" s="88">
        <f>EN13*Assumption!$C$99</f>
        <v>0</v>
      </c>
      <c r="EO40" s="88">
        <f>EO13*Assumption!$C$99</f>
        <v>0</v>
      </c>
      <c r="EP40" s="88">
        <f>EP13*Assumption!$C$99</f>
        <v>0</v>
      </c>
      <c r="EQ40" s="88">
        <f>EQ13*Assumption!$C$99</f>
        <v>0</v>
      </c>
      <c r="ER40" s="88">
        <f>ER13*Assumption!$C$99</f>
        <v>0</v>
      </c>
      <c r="ES40" s="88">
        <f>ES13*Assumption!$C$99</f>
        <v>0</v>
      </c>
      <c r="ET40" s="88">
        <f>ET13*Assumption!$C$99</f>
        <v>0</v>
      </c>
      <c r="EU40" s="88">
        <f>EU13*Assumption!$C$99</f>
        <v>0</v>
      </c>
      <c r="EV40" s="88">
        <f>EV13*Assumption!$C$99</f>
        <v>0</v>
      </c>
      <c r="EW40" s="88">
        <f>EW13*Assumption!$C$99</f>
        <v>0</v>
      </c>
      <c r="EX40" s="88">
        <f>EX13*Assumption!$C$99</f>
        <v>0</v>
      </c>
      <c r="EY40" s="88">
        <f>EY13*Assumption!$C$99</f>
        <v>0</v>
      </c>
      <c r="EZ40" s="88">
        <f>EZ13*Assumption!$C$99</f>
        <v>0</v>
      </c>
      <c r="FA40" s="88">
        <f>FA13*Assumption!$C$99</f>
        <v>0</v>
      </c>
      <c r="FB40" s="88">
        <f>FB13*Assumption!$C$99</f>
        <v>0</v>
      </c>
      <c r="FC40" s="88">
        <f>FC13*Assumption!$C$99</f>
        <v>0</v>
      </c>
      <c r="FD40" s="88">
        <f>FD13*Assumption!$C$99</f>
        <v>0</v>
      </c>
      <c r="FE40" s="88">
        <f>FE13*Assumption!$C$99</f>
        <v>0</v>
      </c>
      <c r="FF40" s="88">
        <f>FF13*Assumption!$C$99</f>
        <v>0</v>
      </c>
      <c r="FG40" s="88">
        <f>FG13*Assumption!$C$99</f>
        <v>0</v>
      </c>
      <c r="FH40" s="88">
        <f>FH13*Assumption!$C$99</f>
        <v>0</v>
      </c>
      <c r="FI40" s="88">
        <f>FI13*Assumption!$C$99</f>
        <v>0</v>
      </c>
      <c r="FJ40" s="88">
        <f>FJ13*Assumption!$C$99</f>
        <v>0</v>
      </c>
      <c r="FK40" s="88">
        <f>FK13*Assumption!$C$99</f>
        <v>0</v>
      </c>
      <c r="FL40" s="88">
        <f>FL13*Assumption!$C$99</f>
        <v>0</v>
      </c>
      <c r="FM40" s="88">
        <f>FM13*Assumption!$C$99</f>
        <v>0</v>
      </c>
      <c r="FN40" s="88">
        <f>FN13*Assumption!$C$99</f>
        <v>0</v>
      </c>
      <c r="FO40" s="88">
        <f>FO13*Assumption!$C$99</f>
        <v>0</v>
      </c>
      <c r="FP40" s="88">
        <f>FP13*Assumption!$C$99</f>
        <v>0</v>
      </c>
      <c r="FQ40" s="88">
        <f>FQ13*Assumption!$C$99</f>
        <v>0</v>
      </c>
      <c r="FR40" s="88">
        <f>FR13*Assumption!$C$99</f>
        <v>0</v>
      </c>
      <c r="FS40" s="88">
        <f>FS13*Assumption!$C$99</f>
        <v>0</v>
      </c>
      <c r="FT40" s="88">
        <f>FT13*Assumption!$C$99</f>
        <v>0</v>
      </c>
      <c r="FU40" s="88">
        <f>FU13*Assumption!$C$99</f>
        <v>0</v>
      </c>
      <c r="FV40" s="88">
        <f>FV13*Assumption!$C$99</f>
        <v>0</v>
      </c>
      <c r="FW40" s="88">
        <f>FW13*Assumption!$C$99</f>
        <v>0</v>
      </c>
      <c r="FX40" s="88">
        <f>FX13*Assumption!$C$99</f>
        <v>0</v>
      </c>
      <c r="FY40" s="88">
        <f>FY13*Assumption!$C$99</f>
        <v>0</v>
      </c>
      <c r="FZ40" s="88">
        <f>FZ13*Assumption!$C$99</f>
        <v>0</v>
      </c>
      <c r="GA40" s="88">
        <f>GA13*Assumption!$C$99</f>
        <v>0</v>
      </c>
      <c r="GB40" s="88">
        <f>GB13*Assumption!$C$99</f>
        <v>0</v>
      </c>
      <c r="GC40" s="88">
        <f>GC13*Assumption!$C$99</f>
        <v>0</v>
      </c>
      <c r="GD40" s="88">
        <f>GD13*Assumption!$C$99</f>
        <v>0</v>
      </c>
      <c r="GE40" s="88">
        <f>GE13*Assumption!$C$99</f>
        <v>0</v>
      </c>
      <c r="GF40" s="100">
        <f>GF13*Assumption!$C$99</f>
        <v>0</v>
      </c>
    </row>
    <row r="41" spans="2:188" s="1" customFormat="1" x14ac:dyDescent="0.3">
      <c r="C41" s="104" t="s">
        <v>674</v>
      </c>
      <c r="D41" s="88">
        <f>SUM(E41:GF41)</f>
        <v>1350</v>
      </c>
      <c r="E41" s="88">
        <f>E13*Assumption!$C$100</f>
        <v>650</v>
      </c>
      <c r="F41" s="88">
        <f>F13*Assumption!$C$100</f>
        <v>0</v>
      </c>
      <c r="G41" s="88">
        <f>G13*Assumption!$C$100</f>
        <v>0</v>
      </c>
      <c r="H41" s="88">
        <f>H13*Assumption!$C$100</f>
        <v>0</v>
      </c>
      <c r="I41" s="88">
        <f>I13*Assumption!$C$100</f>
        <v>600</v>
      </c>
      <c r="J41" s="88">
        <f>J13*Assumption!$C$100</f>
        <v>0</v>
      </c>
      <c r="K41" s="88">
        <f>K13*Assumption!$C$100</f>
        <v>0</v>
      </c>
      <c r="L41" s="88">
        <f>L13*Assumption!$C$100</f>
        <v>0</v>
      </c>
      <c r="M41" s="88">
        <f>M13*Assumption!$C$100</f>
        <v>0</v>
      </c>
      <c r="N41" s="88">
        <f>N13*Assumption!$C$100</f>
        <v>100</v>
      </c>
      <c r="O41" s="88">
        <f>O13*Assumption!$C$100</f>
        <v>0</v>
      </c>
      <c r="P41" s="88">
        <f>P13*Assumption!$C$100</f>
        <v>0</v>
      </c>
      <c r="Q41" s="88">
        <f>Q13*Assumption!$C$100</f>
        <v>0</v>
      </c>
      <c r="R41" s="88">
        <f>R13*Assumption!$C$100</f>
        <v>0</v>
      </c>
      <c r="S41" s="88">
        <f>S13*Assumption!$C$100</f>
        <v>0</v>
      </c>
      <c r="T41" s="88">
        <f>T13*Assumption!$C$100</f>
        <v>0</v>
      </c>
      <c r="U41" s="88">
        <f>U13*Assumption!$C$100</f>
        <v>0</v>
      </c>
      <c r="V41" s="88">
        <f>V13*Assumption!$C$100</f>
        <v>0</v>
      </c>
      <c r="W41" s="88">
        <f>W13*Assumption!$C$100</f>
        <v>0</v>
      </c>
      <c r="X41" s="88">
        <f>X13*Assumption!$C$100</f>
        <v>0</v>
      </c>
      <c r="Y41" s="88">
        <f>Y13*Assumption!$C$100</f>
        <v>0</v>
      </c>
      <c r="Z41" s="88">
        <f>Z13*Assumption!$C$100</f>
        <v>0</v>
      </c>
      <c r="AA41" s="88">
        <f>AA13*Assumption!$C$100</f>
        <v>0</v>
      </c>
      <c r="AB41" s="88">
        <f>AB13*Assumption!$C$100</f>
        <v>0</v>
      </c>
      <c r="AC41" s="88">
        <f>AC13*Assumption!$C$100</f>
        <v>0</v>
      </c>
      <c r="AD41" s="88">
        <f>AD13*Assumption!$C$100</f>
        <v>0</v>
      </c>
      <c r="AE41" s="88">
        <f>AE13*Assumption!$C$100</f>
        <v>0</v>
      </c>
      <c r="AF41" s="88">
        <f>AF13*Assumption!$C$100</f>
        <v>0</v>
      </c>
      <c r="AG41" s="88">
        <f>AG13*Assumption!$C$100</f>
        <v>0</v>
      </c>
      <c r="AH41" s="88">
        <f>AH13*Assumption!$C$100</f>
        <v>0</v>
      </c>
      <c r="AI41" s="88">
        <f>AI13*Assumption!$C$100</f>
        <v>0</v>
      </c>
      <c r="AJ41" s="88">
        <f>AJ13*Assumption!$C$100</f>
        <v>0</v>
      </c>
      <c r="AK41" s="88">
        <f>AK13*Assumption!$C$100</f>
        <v>0</v>
      </c>
      <c r="AL41" s="88">
        <f>AL13*Assumption!$C$100</f>
        <v>0</v>
      </c>
      <c r="AM41" s="88">
        <f>AM13*Assumption!$C$100</f>
        <v>0</v>
      </c>
      <c r="AN41" s="88">
        <f>AN13*Assumption!$C$100</f>
        <v>0</v>
      </c>
      <c r="AO41" s="88">
        <f>AO13*Assumption!$C$100</f>
        <v>0</v>
      </c>
      <c r="AP41" s="88">
        <f>AP13*Assumption!$C$100</f>
        <v>0</v>
      </c>
      <c r="AQ41" s="88">
        <f>AQ13*Assumption!$C$100</f>
        <v>0</v>
      </c>
      <c r="AR41" s="88">
        <f>AR13*Assumption!$C$100</f>
        <v>0</v>
      </c>
      <c r="AS41" s="88">
        <f>AS13*Assumption!$C$100</f>
        <v>0</v>
      </c>
      <c r="AT41" s="88">
        <f>AT13*Assumption!$C$100</f>
        <v>0</v>
      </c>
      <c r="AU41" s="88">
        <f>AU13*Assumption!$C$100</f>
        <v>0</v>
      </c>
      <c r="AV41" s="88">
        <f>AV13*Assumption!$C$100</f>
        <v>0</v>
      </c>
      <c r="AW41" s="88">
        <f>AW13*Assumption!$C$100</f>
        <v>0</v>
      </c>
      <c r="AX41" s="88">
        <f>AX13*Assumption!$C$100</f>
        <v>0</v>
      </c>
      <c r="AY41" s="88">
        <f>AY13*Assumption!$C$100</f>
        <v>0</v>
      </c>
      <c r="AZ41" s="88">
        <f>AZ13*Assumption!$C$100</f>
        <v>0</v>
      </c>
      <c r="BA41" s="88">
        <f>BA13*Assumption!$C$100</f>
        <v>0</v>
      </c>
      <c r="BB41" s="88">
        <f>BB13*Assumption!$C$100</f>
        <v>0</v>
      </c>
      <c r="BC41" s="88">
        <f>BC13*Assumption!$C$100</f>
        <v>0</v>
      </c>
      <c r="BD41" s="88">
        <f>BD13*Assumption!$C$100</f>
        <v>0</v>
      </c>
      <c r="BE41" s="88">
        <f>BE13*Assumption!$C$100</f>
        <v>0</v>
      </c>
      <c r="BF41" s="88">
        <f>BF13*Assumption!$C$100</f>
        <v>0</v>
      </c>
      <c r="BG41" s="88">
        <f>BG13*Assumption!$C$100</f>
        <v>0</v>
      </c>
      <c r="BH41" s="88">
        <f>BH13*Assumption!$C$100</f>
        <v>0</v>
      </c>
      <c r="BI41" s="88">
        <f>BI13*Assumption!$C$100</f>
        <v>0</v>
      </c>
      <c r="BJ41" s="88">
        <f>BJ13*Assumption!$C$100</f>
        <v>0</v>
      </c>
      <c r="BK41" s="88">
        <f>BK13*Assumption!$C$100</f>
        <v>0</v>
      </c>
      <c r="BL41" s="88">
        <f>BL13*Assumption!$C$100</f>
        <v>0</v>
      </c>
      <c r="BM41" s="88">
        <f>BM13*Assumption!$C$100</f>
        <v>0</v>
      </c>
      <c r="BN41" s="88">
        <f>BN13*Assumption!$C$100</f>
        <v>0</v>
      </c>
      <c r="BO41" s="88">
        <f>BO13*Assumption!$C$100</f>
        <v>0</v>
      </c>
      <c r="BP41" s="88">
        <f>BP13*Assumption!$C$100</f>
        <v>0</v>
      </c>
      <c r="BQ41" s="88">
        <f>BQ13*Assumption!$C$100</f>
        <v>0</v>
      </c>
      <c r="BR41" s="88">
        <f>BR13*Assumption!$C$100</f>
        <v>0</v>
      </c>
      <c r="BS41" s="88">
        <f>BS13*Assumption!$C$100</f>
        <v>0</v>
      </c>
      <c r="BT41" s="88">
        <f>BT13*Assumption!$C$100</f>
        <v>0</v>
      </c>
      <c r="BU41" s="88">
        <f>BU13*Assumption!$C$100</f>
        <v>0</v>
      </c>
      <c r="BV41" s="88">
        <f>BV13*Assumption!$C$100</f>
        <v>0</v>
      </c>
      <c r="BW41" s="88">
        <f>BW13*Assumption!$C$100</f>
        <v>0</v>
      </c>
      <c r="BX41" s="88">
        <f>BX13*Assumption!$C$100</f>
        <v>0</v>
      </c>
      <c r="BY41" s="88">
        <f>BY13*Assumption!$C$100</f>
        <v>0</v>
      </c>
      <c r="BZ41" s="88">
        <f>BZ13*Assumption!$C$100</f>
        <v>0</v>
      </c>
      <c r="CA41" s="88">
        <f>CA13*Assumption!$C$100</f>
        <v>0</v>
      </c>
      <c r="CB41" s="88">
        <f>CB13*Assumption!$C$100</f>
        <v>0</v>
      </c>
      <c r="CC41" s="88">
        <f>CC13*Assumption!$C$100</f>
        <v>0</v>
      </c>
      <c r="CD41" s="88">
        <f>CD13*Assumption!$C$100</f>
        <v>0</v>
      </c>
      <c r="CE41" s="88">
        <f>CE13*Assumption!$C$100</f>
        <v>0</v>
      </c>
      <c r="CF41" s="88">
        <f>CF13*Assumption!$C$100</f>
        <v>0</v>
      </c>
      <c r="CG41" s="88">
        <f>CG13*Assumption!$C$100</f>
        <v>0</v>
      </c>
      <c r="CH41" s="88">
        <f>CH13*Assumption!$C$100</f>
        <v>0</v>
      </c>
      <c r="CI41" s="88">
        <f>CI13*Assumption!$C$100</f>
        <v>0</v>
      </c>
      <c r="CJ41" s="88">
        <f>CJ13*Assumption!$C$100</f>
        <v>0</v>
      </c>
      <c r="CK41" s="88">
        <f>CK13*Assumption!$C$100</f>
        <v>0</v>
      </c>
      <c r="CL41" s="88">
        <f>CL13*Assumption!$C$100</f>
        <v>0</v>
      </c>
      <c r="CM41" s="88">
        <f>CM13*Assumption!$C$100</f>
        <v>0</v>
      </c>
      <c r="CN41" s="88">
        <f>CN13*Assumption!$C$100</f>
        <v>0</v>
      </c>
      <c r="CO41" s="88">
        <f>CO13*Assumption!$C$100</f>
        <v>0</v>
      </c>
      <c r="CP41" s="88">
        <f>CP13*Assumption!$C$100</f>
        <v>0</v>
      </c>
      <c r="CQ41" s="88">
        <f>CQ13*Assumption!$C$100</f>
        <v>0</v>
      </c>
      <c r="CR41" s="88">
        <f>CR13*Assumption!$C$100</f>
        <v>0</v>
      </c>
      <c r="CS41" s="88">
        <f>CS13*Assumption!$C$100</f>
        <v>0</v>
      </c>
      <c r="CT41" s="88">
        <f>CT13*Assumption!$C$100</f>
        <v>0</v>
      </c>
      <c r="CU41" s="88">
        <f>CU13*Assumption!$C$100</f>
        <v>0</v>
      </c>
      <c r="CV41" s="88">
        <f>CV13*Assumption!$C$100</f>
        <v>0</v>
      </c>
      <c r="CW41" s="88">
        <f>CW13*Assumption!$C$100</f>
        <v>0</v>
      </c>
      <c r="CX41" s="88">
        <f>CX13*Assumption!$C$100</f>
        <v>0</v>
      </c>
      <c r="CY41" s="88">
        <f>CY13*Assumption!$C$100</f>
        <v>0</v>
      </c>
      <c r="CZ41" s="88">
        <f>CZ13*Assumption!$C$100</f>
        <v>0</v>
      </c>
      <c r="DA41" s="88">
        <f>DA13*Assumption!$C$100</f>
        <v>0</v>
      </c>
      <c r="DB41" s="88">
        <f>DB13*Assumption!$C$100</f>
        <v>0</v>
      </c>
      <c r="DC41" s="88">
        <f>DC13*Assumption!$C$100</f>
        <v>0</v>
      </c>
      <c r="DD41" s="88">
        <f>DD13*Assumption!$C$100</f>
        <v>0</v>
      </c>
      <c r="DE41" s="88">
        <f>DE13*Assumption!$C$100</f>
        <v>0</v>
      </c>
      <c r="DF41" s="88">
        <f>DF13*Assumption!$C$100</f>
        <v>0</v>
      </c>
      <c r="DG41" s="88">
        <f>DG13*Assumption!$C$100</f>
        <v>0</v>
      </c>
      <c r="DH41" s="88">
        <f>DH13*Assumption!$C$100</f>
        <v>0</v>
      </c>
      <c r="DI41" s="88">
        <f>DI13*Assumption!$C$100</f>
        <v>0</v>
      </c>
      <c r="DJ41" s="88">
        <f>DJ13*Assumption!$C$100</f>
        <v>0</v>
      </c>
      <c r="DK41" s="88">
        <f>DK13*Assumption!$C$100</f>
        <v>0</v>
      </c>
      <c r="DL41" s="88">
        <f>DL13*Assumption!$C$100</f>
        <v>0</v>
      </c>
      <c r="DM41" s="88">
        <f>DM13*Assumption!$C$100</f>
        <v>0</v>
      </c>
      <c r="DN41" s="88">
        <f>DN13*Assumption!$C$100</f>
        <v>0</v>
      </c>
      <c r="DO41" s="88">
        <f>DO13*Assumption!$C$100</f>
        <v>0</v>
      </c>
      <c r="DP41" s="88">
        <f>DP13*Assumption!$C$100</f>
        <v>0</v>
      </c>
      <c r="DQ41" s="88">
        <f>DQ13*Assumption!$C$100</f>
        <v>0</v>
      </c>
      <c r="DR41" s="88">
        <f>DR13*Assumption!$C$100</f>
        <v>0</v>
      </c>
      <c r="DS41" s="88">
        <f>DS13*Assumption!$C$100</f>
        <v>0</v>
      </c>
      <c r="DT41" s="88">
        <f>DT13*Assumption!$C$100</f>
        <v>0</v>
      </c>
      <c r="DU41" s="88">
        <f>DU13*Assumption!$C$100</f>
        <v>0</v>
      </c>
      <c r="DV41" s="88">
        <f>DV13*Assumption!$C$100</f>
        <v>0</v>
      </c>
      <c r="DW41" s="88">
        <f>DW13*Assumption!$C$100</f>
        <v>0</v>
      </c>
      <c r="DX41" s="88">
        <f>DX13*Assumption!$C$100</f>
        <v>0</v>
      </c>
      <c r="DY41" s="88">
        <f>DY13*Assumption!$C$100</f>
        <v>0</v>
      </c>
      <c r="DZ41" s="88">
        <f>DZ13*Assumption!$C$100</f>
        <v>0</v>
      </c>
      <c r="EA41" s="88">
        <f>EA13*Assumption!$C$100</f>
        <v>0</v>
      </c>
      <c r="EB41" s="88">
        <f>EB13*Assumption!$C$100</f>
        <v>0</v>
      </c>
      <c r="EC41" s="88">
        <f>EC13*Assumption!$C$100</f>
        <v>0</v>
      </c>
      <c r="ED41" s="88">
        <f>ED13*Assumption!$C$100</f>
        <v>0</v>
      </c>
      <c r="EE41" s="88">
        <f>EE13*Assumption!$C$100</f>
        <v>0</v>
      </c>
      <c r="EF41" s="88">
        <f>EF13*Assumption!$C$100</f>
        <v>0</v>
      </c>
      <c r="EG41" s="88">
        <f>EG13*Assumption!$C$100</f>
        <v>0</v>
      </c>
      <c r="EH41" s="88">
        <f>EH13*Assumption!$C$100</f>
        <v>0</v>
      </c>
      <c r="EI41" s="88">
        <f>EI13*Assumption!$C$100</f>
        <v>0</v>
      </c>
      <c r="EJ41" s="88">
        <f>EJ13*Assumption!$C$100</f>
        <v>0</v>
      </c>
      <c r="EK41" s="88">
        <f>EK13*Assumption!$C$100</f>
        <v>0</v>
      </c>
      <c r="EL41" s="88">
        <f>EL13*Assumption!$C$100</f>
        <v>0</v>
      </c>
      <c r="EM41" s="88">
        <f>EM13*Assumption!$C$100</f>
        <v>0</v>
      </c>
      <c r="EN41" s="88">
        <f>EN13*Assumption!$C$100</f>
        <v>0</v>
      </c>
      <c r="EO41" s="88">
        <f>EO13*Assumption!$C$100</f>
        <v>0</v>
      </c>
      <c r="EP41" s="88">
        <f>EP13*Assumption!$C$100</f>
        <v>0</v>
      </c>
      <c r="EQ41" s="88">
        <f>EQ13*Assumption!$C$100</f>
        <v>0</v>
      </c>
      <c r="ER41" s="88">
        <f>ER13*Assumption!$C$100</f>
        <v>0</v>
      </c>
      <c r="ES41" s="88">
        <f>ES13*Assumption!$C$100</f>
        <v>0</v>
      </c>
      <c r="ET41" s="88">
        <f>ET13*Assumption!$C$100</f>
        <v>0</v>
      </c>
      <c r="EU41" s="88">
        <f>EU13*Assumption!$C$100</f>
        <v>0</v>
      </c>
      <c r="EV41" s="88">
        <f>EV13*Assumption!$C$100</f>
        <v>0</v>
      </c>
      <c r="EW41" s="88">
        <f>EW13*Assumption!$C$100</f>
        <v>0</v>
      </c>
      <c r="EX41" s="88">
        <f>EX13*Assumption!$C$100</f>
        <v>0</v>
      </c>
      <c r="EY41" s="88">
        <f>EY13*Assumption!$C$100</f>
        <v>0</v>
      </c>
      <c r="EZ41" s="88">
        <f>EZ13*Assumption!$C$100</f>
        <v>0</v>
      </c>
      <c r="FA41" s="88">
        <f>FA13*Assumption!$C$100</f>
        <v>0</v>
      </c>
      <c r="FB41" s="88">
        <f>FB13*Assumption!$C$100</f>
        <v>0</v>
      </c>
      <c r="FC41" s="88">
        <f>FC13*Assumption!$C$100</f>
        <v>0</v>
      </c>
      <c r="FD41" s="88">
        <f>FD13*Assumption!$C$100</f>
        <v>0</v>
      </c>
      <c r="FE41" s="88">
        <f>FE13*Assumption!$C$100</f>
        <v>0</v>
      </c>
      <c r="FF41" s="88">
        <f>FF13*Assumption!$C$100</f>
        <v>0</v>
      </c>
      <c r="FG41" s="88">
        <f>FG13*Assumption!$C$100</f>
        <v>0</v>
      </c>
      <c r="FH41" s="88">
        <f>FH13*Assumption!$C$100</f>
        <v>0</v>
      </c>
      <c r="FI41" s="88">
        <f>FI13*Assumption!$C$100</f>
        <v>0</v>
      </c>
      <c r="FJ41" s="88">
        <f>FJ13*Assumption!$C$100</f>
        <v>0</v>
      </c>
      <c r="FK41" s="88">
        <f>FK13*Assumption!$C$100</f>
        <v>0</v>
      </c>
      <c r="FL41" s="88">
        <f>FL13*Assumption!$C$100</f>
        <v>0</v>
      </c>
      <c r="FM41" s="88">
        <f>FM13*Assumption!$C$100</f>
        <v>0</v>
      </c>
      <c r="FN41" s="88">
        <f>FN13*Assumption!$C$100</f>
        <v>0</v>
      </c>
      <c r="FO41" s="88">
        <f>FO13*Assumption!$C$100</f>
        <v>0</v>
      </c>
      <c r="FP41" s="88">
        <f>FP13*Assumption!$C$100</f>
        <v>0</v>
      </c>
      <c r="FQ41" s="88">
        <f>FQ13*Assumption!$C$100</f>
        <v>0</v>
      </c>
      <c r="FR41" s="88">
        <f>FR13*Assumption!$C$100</f>
        <v>0</v>
      </c>
      <c r="FS41" s="88">
        <f>FS13*Assumption!$C$100</f>
        <v>0</v>
      </c>
      <c r="FT41" s="88">
        <f>FT13*Assumption!$C$100</f>
        <v>0</v>
      </c>
      <c r="FU41" s="88">
        <f>FU13*Assumption!$C$100</f>
        <v>0</v>
      </c>
      <c r="FV41" s="88">
        <f>FV13*Assumption!$C$100</f>
        <v>0</v>
      </c>
      <c r="FW41" s="88">
        <f>FW13*Assumption!$C$100</f>
        <v>0</v>
      </c>
      <c r="FX41" s="88">
        <f>FX13*Assumption!$C$100</f>
        <v>0</v>
      </c>
      <c r="FY41" s="88">
        <f>FY13*Assumption!$C$100</f>
        <v>0</v>
      </c>
      <c r="FZ41" s="88">
        <f>FZ13*Assumption!$C$100</f>
        <v>0</v>
      </c>
      <c r="GA41" s="88">
        <f>GA13*Assumption!$C$100</f>
        <v>0</v>
      </c>
      <c r="GB41" s="88">
        <f>GB13*Assumption!$C$100</f>
        <v>0</v>
      </c>
      <c r="GC41" s="88">
        <f>GC13*Assumption!$C$100</f>
        <v>0</v>
      </c>
      <c r="GD41" s="88">
        <f>GD13*Assumption!$C$100</f>
        <v>0</v>
      </c>
      <c r="GE41" s="88">
        <f>GE13*Assumption!$C$100</f>
        <v>0</v>
      </c>
      <c r="GF41" s="100">
        <f>GF13*Assumption!$C$100</f>
        <v>0</v>
      </c>
    </row>
    <row r="42" spans="2:188" s="1" customFormat="1" x14ac:dyDescent="0.3">
      <c r="C42" s="103" t="s">
        <v>111</v>
      </c>
      <c r="D42" s="88">
        <f>D43+D44</f>
        <v>37960.734283569596</v>
      </c>
      <c r="E42" s="88">
        <f t="shared" ref="E42:BP42" si="420">E43+E44</f>
        <v>0</v>
      </c>
      <c r="F42" s="88">
        <f t="shared" si="420"/>
        <v>0</v>
      </c>
      <c r="G42" s="88">
        <f t="shared" si="420"/>
        <v>0</v>
      </c>
      <c r="H42" s="88">
        <f t="shared" si="420"/>
        <v>147.55737260273972</v>
      </c>
      <c r="I42" s="88">
        <f t="shared" si="420"/>
        <v>0</v>
      </c>
      <c r="J42" s="88">
        <f t="shared" si="420"/>
        <v>0</v>
      </c>
      <c r="K42" s="88">
        <f t="shared" si="420"/>
        <v>233.73014480874315</v>
      </c>
      <c r="L42" s="88">
        <f t="shared" si="420"/>
        <v>0</v>
      </c>
      <c r="M42" s="88">
        <f t="shared" si="420"/>
        <v>0</v>
      </c>
      <c r="N42" s="88">
        <f t="shared" si="420"/>
        <v>286.0986338797814</v>
      </c>
      <c r="O42" s="88">
        <f t="shared" si="420"/>
        <v>0</v>
      </c>
      <c r="P42" s="88">
        <f t="shared" si="420"/>
        <v>0</v>
      </c>
      <c r="Q42" s="88">
        <f t="shared" si="420"/>
        <v>308.48896174863387</v>
      </c>
      <c r="R42" s="88">
        <f t="shared" si="420"/>
        <v>0</v>
      </c>
      <c r="S42" s="88">
        <f t="shared" si="420"/>
        <v>0</v>
      </c>
      <c r="T42" s="88">
        <f t="shared" si="420"/>
        <v>305.62797540983604</v>
      </c>
      <c r="U42" s="88">
        <f t="shared" si="420"/>
        <v>0</v>
      </c>
      <c r="V42" s="88">
        <f t="shared" si="420"/>
        <v>0</v>
      </c>
      <c r="W42" s="88">
        <f t="shared" si="420"/>
        <v>303.09756164383566</v>
      </c>
      <c r="X42" s="88">
        <f t="shared" si="420"/>
        <v>0</v>
      </c>
      <c r="Y42" s="88">
        <f t="shared" si="420"/>
        <v>0</v>
      </c>
      <c r="Z42" s="88">
        <f t="shared" si="420"/>
        <v>309.83306301369862</v>
      </c>
      <c r="AA42" s="88">
        <f t="shared" si="420"/>
        <v>0</v>
      </c>
      <c r="AB42" s="88">
        <f t="shared" si="420"/>
        <v>0</v>
      </c>
      <c r="AC42" s="88">
        <f t="shared" si="420"/>
        <v>309.83306301369862</v>
      </c>
      <c r="AD42" s="88">
        <f t="shared" si="420"/>
        <v>0</v>
      </c>
      <c r="AE42" s="88">
        <f t="shared" si="420"/>
        <v>0</v>
      </c>
      <c r="AF42" s="88">
        <f t="shared" si="420"/>
        <v>306.46531232876708</v>
      </c>
      <c r="AG42" s="88">
        <f t="shared" si="420"/>
        <v>0</v>
      </c>
      <c r="AH42" s="88">
        <f t="shared" si="420"/>
        <v>0</v>
      </c>
      <c r="AI42" s="88">
        <f t="shared" si="420"/>
        <v>303.09756164383566</v>
      </c>
      <c r="AJ42" s="88">
        <f t="shared" si="420"/>
        <v>0</v>
      </c>
      <c r="AK42" s="88">
        <f t="shared" si="420"/>
        <v>0</v>
      </c>
      <c r="AL42" s="88">
        <f t="shared" si="420"/>
        <v>309.83306301369862</v>
      </c>
      <c r="AM42" s="88">
        <f t="shared" si="420"/>
        <v>0</v>
      </c>
      <c r="AN42" s="88">
        <f t="shared" si="420"/>
        <v>0</v>
      </c>
      <c r="AO42" s="88">
        <f t="shared" si="420"/>
        <v>309.83306301369862</v>
      </c>
      <c r="AP42" s="88">
        <f t="shared" si="420"/>
        <v>0</v>
      </c>
      <c r="AQ42" s="88">
        <f t="shared" si="420"/>
        <v>0</v>
      </c>
      <c r="AR42" s="88">
        <f t="shared" si="420"/>
        <v>868.96531232876714</v>
      </c>
      <c r="AS42" s="88">
        <f t="shared" si="420"/>
        <v>0</v>
      </c>
      <c r="AT42" s="88">
        <f t="shared" si="420"/>
        <v>0</v>
      </c>
      <c r="AU42" s="88">
        <f t="shared" si="420"/>
        <v>859.28302910958905</v>
      </c>
      <c r="AV42" s="88">
        <f t="shared" si="420"/>
        <v>0</v>
      </c>
      <c r="AW42" s="88">
        <f t="shared" si="420"/>
        <v>0</v>
      </c>
      <c r="AX42" s="88">
        <f t="shared" si="420"/>
        <v>859.42335205479458</v>
      </c>
      <c r="AY42" s="88">
        <f t="shared" si="420"/>
        <v>0</v>
      </c>
      <c r="AZ42" s="88">
        <f t="shared" si="420"/>
        <v>0</v>
      </c>
      <c r="BA42" s="88">
        <f t="shared" si="420"/>
        <v>852.96849657534244</v>
      </c>
      <c r="BB42" s="88">
        <f t="shared" si="420"/>
        <v>0</v>
      </c>
      <c r="BC42" s="88">
        <f t="shared" si="420"/>
        <v>0</v>
      </c>
      <c r="BD42" s="88">
        <f t="shared" si="420"/>
        <v>843.42653630136988</v>
      </c>
      <c r="BE42" s="88">
        <f t="shared" si="420"/>
        <v>0</v>
      </c>
      <c r="BF42" s="88">
        <f t="shared" si="420"/>
        <v>0</v>
      </c>
      <c r="BG42" s="88">
        <f t="shared" si="420"/>
        <v>836.2917279713115</v>
      </c>
      <c r="BH42" s="88">
        <f t="shared" si="420"/>
        <v>0</v>
      </c>
      <c r="BI42" s="88">
        <f t="shared" si="420"/>
        <v>0</v>
      </c>
      <c r="BJ42" s="88">
        <f t="shared" si="420"/>
        <v>832.8632090163934</v>
      </c>
      <c r="BK42" s="88">
        <f t="shared" si="420"/>
        <v>0</v>
      </c>
      <c r="BL42" s="88">
        <f t="shared" si="420"/>
        <v>0</v>
      </c>
      <c r="BM42" s="88">
        <f t="shared" si="420"/>
        <v>826.42598975409828</v>
      </c>
      <c r="BN42" s="88">
        <f t="shared" si="420"/>
        <v>0</v>
      </c>
      <c r="BO42" s="88">
        <f t="shared" si="420"/>
        <v>0</v>
      </c>
      <c r="BP42" s="88">
        <f t="shared" si="420"/>
        <v>817.18997950819664</v>
      </c>
      <c r="BQ42" s="88">
        <f t="shared" ref="BQ42:EB42" si="421">BQ43+BQ44</f>
        <v>0</v>
      </c>
      <c r="BR42" s="88">
        <f t="shared" si="421"/>
        <v>0</v>
      </c>
      <c r="BS42" s="88">
        <f t="shared" si="421"/>
        <v>808.7667688356164</v>
      </c>
      <c r="BT42" s="88">
        <f t="shared" si="421"/>
        <v>0</v>
      </c>
      <c r="BU42" s="88">
        <f t="shared" si="421"/>
        <v>0</v>
      </c>
      <c r="BV42" s="88">
        <f t="shared" si="421"/>
        <v>807.78450821917806</v>
      </c>
      <c r="BW42" s="88">
        <f t="shared" si="421"/>
        <v>0</v>
      </c>
      <c r="BX42" s="88">
        <f t="shared" si="421"/>
        <v>0</v>
      </c>
      <c r="BY42" s="88">
        <f t="shared" si="421"/>
        <v>801.32965273972604</v>
      </c>
      <c r="BZ42" s="88">
        <f t="shared" si="421"/>
        <v>0</v>
      </c>
      <c r="CA42" s="88">
        <f t="shared" si="421"/>
        <v>0</v>
      </c>
      <c r="CB42" s="88">
        <f t="shared" si="421"/>
        <v>792.34898424657536</v>
      </c>
      <c r="CC42" s="88">
        <f t="shared" si="421"/>
        <v>0</v>
      </c>
      <c r="CD42" s="88">
        <f t="shared" si="421"/>
        <v>0</v>
      </c>
      <c r="CE42" s="88">
        <f t="shared" si="421"/>
        <v>783.50863869863019</v>
      </c>
      <c r="CF42" s="88">
        <f t="shared" si="421"/>
        <v>0</v>
      </c>
      <c r="CG42" s="88">
        <f t="shared" si="421"/>
        <v>0</v>
      </c>
      <c r="CH42" s="88">
        <f t="shared" si="421"/>
        <v>781.96508630136987</v>
      </c>
      <c r="CI42" s="88">
        <f t="shared" si="421"/>
        <v>0</v>
      </c>
      <c r="CJ42" s="88">
        <f t="shared" si="421"/>
        <v>0</v>
      </c>
      <c r="CK42" s="88">
        <f t="shared" si="421"/>
        <v>775.51023082191773</v>
      </c>
      <c r="CL42" s="88">
        <f t="shared" si="421"/>
        <v>0</v>
      </c>
      <c r="CM42" s="88">
        <f t="shared" si="421"/>
        <v>0</v>
      </c>
      <c r="CN42" s="88">
        <f t="shared" si="421"/>
        <v>766.81020821917809</v>
      </c>
      <c r="CO42" s="88">
        <f t="shared" si="421"/>
        <v>0</v>
      </c>
      <c r="CP42" s="88">
        <f t="shared" si="421"/>
        <v>0</v>
      </c>
      <c r="CQ42" s="88">
        <f t="shared" si="421"/>
        <v>758.25050856164376</v>
      </c>
      <c r="CR42" s="88">
        <f t="shared" si="421"/>
        <v>0</v>
      </c>
      <c r="CS42" s="88">
        <f t="shared" si="421"/>
        <v>0</v>
      </c>
      <c r="CT42" s="88">
        <f t="shared" si="421"/>
        <v>756.14566438356155</v>
      </c>
      <c r="CU42" s="88">
        <f t="shared" si="421"/>
        <v>0</v>
      </c>
      <c r="CV42" s="88">
        <f t="shared" si="421"/>
        <v>0</v>
      </c>
      <c r="CW42" s="88">
        <f t="shared" si="421"/>
        <v>749.69080890410953</v>
      </c>
      <c r="CX42" s="88">
        <f t="shared" si="421"/>
        <v>0</v>
      </c>
      <c r="CY42" s="88">
        <f t="shared" si="421"/>
        <v>0</v>
      </c>
      <c r="CZ42" s="88">
        <f t="shared" si="421"/>
        <v>741.27143219178083</v>
      </c>
      <c r="DA42" s="88">
        <f t="shared" si="421"/>
        <v>0</v>
      </c>
      <c r="DB42" s="88">
        <f t="shared" si="421"/>
        <v>0</v>
      </c>
      <c r="DC42" s="88">
        <f t="shared" si="421"/>
        <v>734.41573616803271</v>
      </c>
      <c r="DD42" s="88">
        <f t="shared" si="421"/>
        <v>0</v>
      </c>
      <c r="DE42" s="88">
        <f t="shared" si="421"/>
        <v>0</v>
      </c>
      <c r="DF42" s="88">
        <f t="shared" si="421"/>
        <v>729.86770081967211</v>
      </c>
      <c r="DG42" s="88">
        <f t="shared" si="421"/>
        <v>0</v>
      </c>
      <c r="DH42" s="88">
        <f t="shared" si="421"/>
        <v>0</v>
      </c>
      <c r="DI42" s="88">
        <f t="shared" si="421"/>
        <v>723.43048155737699</v>
      </c>
      <c r="DJ42" s="88">
        <f t="shared" si="421"/>
        <v>0</v>
      </c>
      <c r="DK42" s="88">
        <f t="shared" si="421"/>
        <v>0</v>
      </c>
      <c r="DL42" s="88">
        <f t="shared" si="421"/>
        <v>715.31398770491796</v>
      </c>
      <c r="DM42" s="88">
        <f t="shared" si="421"/>
        <v>0</v>
      </c>
      <c r="DN42" s="88">
        <f t="shared" si="421"/>
        <v>0</v>
      </c>
      <c r="DO42" s="88">
        <f t="shared" si="421"/>
        <v>707.73424828767122</v>
      </c>
      <c r="DP42" s="88">
        <f t="shared" si="421"/>
        <v>0</v>
      </c>
      <c r="DQ42" s="88">
        <f t="shared" si="421"/>
        <v>0</v>
      </c>
      <c r="DR42" s="88">
        <f t="shared" si="421"/>
        <v>704.50682054794515</v>
      </c>
      <c r="DS42" s="88">
        <f t="shared" si="421"/>
        <v>0</v>
      </c>
      <c r="DT42" s="88">
        <f t="shared" si="421"/>
        <v>0</v>
      </c>
      <c r="DU42" s="88">
        <f t="shared" si="421"/>
        <v>698.05196506849313</v>
      </c>
      <c r="DV42" s="88">
        <f t="shared" si="421"/>
        <v>0</v>
      </c>
      <c r="DW42" s="88">
        <f t="shared" si="421"/>
        <v>0</v>
      </c>
      <c r="DX42" s="88">
        <f t="shared" si="421"/>
        <v>690.19388013698631</v>
      </c>
      <c r="DY42" s="88">
        <f t="shared" si="421"/>
        <v>0</v>
      </c>
      <c r="DZ42" s="88">
        <f t="shared" si="421"/>
        <v>0</v>
      </c>
      <c r="EA42" s="88">
        <f t="shared" si="421"/>
        <v>682.4761181506849</v>
      </c>
      <c r="EB42" s="88">
        <f t="shared" si="421"/>
        <v>0</v>
      </c>
      <c r="EC42" s="88">
        <f t="shared" ref="EC42:GF42" si="422">EC43+EC44</f>
        <v>0</v>
      </c>
      <c r="ED42" s="88">
        <f t="shared" si="422"/>
        <v>678.68739863013695</v>
      </c>
      <c r="EE42" s="88">
        <f t="shared" si="422"/>
        <v>0</v>
      </c>
      <c r="EF42" s="88">
        <f t="shared" si="422"/>
        <v>0</v>
      </c>
      <c r="EG42" s="88">
        <f t="shared" si="422"/>
        <v>672.23254315068493</v>
      </c>
      <c r="EH42" s="88">
        <f t="shared" si="422"/>
        <v>0</v>
      </c>
      <c r="EI42" s="88">
        <f t="shared" si="422"/>
        <v>0</v>
      </c>
      <c r="EJ42" s="88">
        <f t="shared" si="422"/>
        <v>664.65510410958905</v>
      </c>
      <c r="EK42" s="88">
        <f t="shared" si="422"/>
        <v>0</v>
      </c>
      <c r="EL42" s="88">
        <f t="shared" si="422"/>
        <v>0</v>
      </c>
      <c r="EM42" s="88">
        <f t="shared" si="422"/>
        <v>657.21798801369869</v>
      </c>
      <c r="EN42" s="88">
        <f t="shared" si="422"/>
        <v>0</v>
      </c>
      <c r="EO42" s="88">
        <f t="shared" si="422"/>
        <v>0</v>
      </c>
      <c r="EP42" s="88">
        <f t="shared" si="422"/>
        <v>652.86797671232875</v>
      </c>
      <c r="EQ42" s="88">
        <f t="shared" si="422"/>
        <v>0</v>
      </c>
      <c r="ER42" s="88">
        <f t="shared" si="422"/>
        <v>0</v>
      </c>
      <c r="ES42" s="88">
        <f t="shared" si="422"/>
        <v>646.41312123287673</v>
      </c>
      <c r="ET42" s="88">
        <f t="shared" si="422"/>
        <v>0</v>
      </c>
      <c r="EU42" s="88">
        <f t="shared" si="422"/>
        <v>0</v>
      </c>
      <c r="EV42" s="88">
        <f t="shared" si="422"/>
        <v>639.11632808219179</v>
      </c>
      <c r="EW42" s="88">
        <f t="shared" si="422"/>
        <v>0</v>
      </c>
      <c r="EX42" s="88">
        <f t="shared" si="422"/>
        <v>0</v>
      </c>
      <c r="EY42" s="88">
        <f t="shared" si="422"/>
        <v>632.53974436475414</v>
      </c>
      <c r="EZ42" s="88">
        <f t="shared" si="422"/>
        <v>0</v>
      </c>
      <c r="FA42" s="88">
        <f t="shared" si="422"/>
        <v>0</v>
      </c>
      <c r="FB42" s="88">
        <f t="shared" si="422"/>
        <v>626.87219262295082</v>
      </c>
      <c r="FC42" s="88">
        <f t="shared" si="422"/>
        <v>0</v>
      </c>
      <c r="FD42" s="88">
        <f t="shared" si="422"/>
        <v>0</v>
      </c>
      <c r="FE42" s="88">
        <f t="shared" si="422"/>
        <v>620.4349733606557</v>
      </c>
      <c r="FF42" s="88">
        <f t="shared" si="422"/>
        <v>0</v>
      </c>
      <c r="FG42" s="88">
        <f t="shared" si="422"/>
        <v>0</v>
      </c>
      <c r="FH42" s="88">
        <f t="shared" si="422"/>
        <v>613.4379959016394</v>
      </c>
      <c r="FI42" s="88">
        <f t="shared" si="422"/>
        <v>0</v>
      </c>
      <c r="FJ42" s="88">
        <f t="shared" si="422"/>
        <v>0</v>
      </c>
      <c r="FK42" s="88">
        <f t="shared" si="422"/>
        <v>606.70172773972604</v>
      </c>
      <c r="FL42" s="88">
        <f t="shared" si="422"/>
        <v>0</v>
      </c>
      <c r="FM42" s="88">
        <f t="shared" si="422"/>
        <v>0</v>
      </c>
      <c r="FN42" s="88">
        <f t="shared" si="422"/>
        <v>601.22913287671236</v>
      </c>
      <c r="FO42" s="88">
        <f t="shared" si="422"/>
        <v>0</v>
      </c>
      <c r="FP42" s="88">
        <f t="shared" si="422"/>
        <v>0</v>
      </c>
      <c r="FQ42" s="88">
        <f t="shared" si="422"/>
        <v>594.77427739726022</v>
      </c>
      <c r="FR42" s="88">
        <f t="shared" si="422"/>
        <v>0</v>
      </c>
      <c r="FS42" s="88">
        <f t="shared" si="422"/>
        <v>0</v>
      </c>
      <c r="FT42" s="88">
        <f t="shared" si="422"/>
        <v>588.03877602739726</v>
      </c>
      <c r="FU42" s="88">
        <f t="shared" si="422"/>
        <v>0</v>
      </c>
      <c r="FV42" s="88">
        <f t="shared" si="422"/>
        <v>0</v>
      </c>
      <c r="FW42" s="88">
        <f t="shared" si="422"/>
        <v>581.44359760273971</v>
      </c>
      <c r="FX42" s="88">
        <f t="shared" si="422"/>
        <v>0</v>
      </c>
      <c r="FY42" s="88">
        <f t="shared" si="422"/>
        <v>0</v>
      </c>
      <c r="FZ42" s="88">
        <f t="shared" si="422"/>
        <v>575.40971095890416</v>
      </c>
      <c r="GA42" s="88">
        <f t="shared" si="422"/>
        <v>0</v>
      </c>
      <c r="GB42" s="88">
        <f t="shared" si="422"/>
        <v>0</v>
      </c>
      <c r="GC42" s="88">
        <f t="shared" si="422"/>
        <v>568.95485547945202</v>
      </c>
      <c r="GD42" s="88">
        <f t="shared" si="422"/>
        <v>0</v>
      </c>
      <c r="GE42" s="88">
        <f t="shared" si="422"/>
        <v>0</v>
      </c>
      <c r="GF42" s="100">
        <f t="shared" si="422"/>
        <v>0</v>
      </c>
    </row>
    <row r="43" spans="2:188" s="1" customFormat="1" x14ac:dyDescent="0.3">
      <c r="C43" s="104" t="s">
        <v>671</v>
      </c>
      <c r="D43" s="88">
        <f>SUM(E43:GF43)</f>
        <v>10960.734283569598</v>
      </c>
      <c r="E43" s="88">
        <f t="shared" ref="E43:AJ43" si="423">E18</f>
        <v>0</v>
      </c>
      <c r="F43" s="88">
        <f t="shared" si="423"/>
        <v>0</v>
      </c>
      <c r="G43" s="88">
        <f t="shared" si="423"/>
        <v>0</v>
      </c>
      <c r="H43" s="88">
        <f t="shared" si="423"/>
        <v>147.55737260273972</v>
      </c>
      <c r="I43" s="88">
        <f t="shared" si="423"/>
        <v>0</v>
      </c>
      <c r="J43" s="88">
        <f t="shared" si="423"/>
        <v>0</v>
      </c>
      <c r="K43" s="88">
        <f t="shared" si="423"/>
        <v>233.73014480874315</v>
      </c>
      <c r="L43" s="88">
        <f t="shared" si="423"/>
        <v>0</v>
      </c>
      <c r="M43" s="88">
        <f t="shared" si="423"/>
        <v>0</v>
      </c>
      <c r="N43" s="88">
        <f t="shared" si="423"/>
        <v>286.0986338797814</v>
      </c>
      <c r="O43" s="88">
        <f t="shared" si="423"/>
        <v>0</v>
      </c>
      <c r="P43" s="88">
        <f t="shared" si="423"/>
        <v>0</v>
      </c>
      <c r="Q43" s="88">
        <f t="shared" si="423"/>
        <v>308.48896174863387</v>
      </c>
      <c r="R43" s="88">
        <f t="shared" si="423"/>
        <v>0</v>
      </c>
      <c r="S43" s="88">
        <f t="shared" si="423"/>
        <v>0</v>
      </c>
      <c r="T43" s="88">
        <f t="shared" si="423"/>
        <v>305.62797540983604</v>
      </c>
      <c r="U43" s="88">
        <f t="shared" si="423"/>
        <v>0</v>
      </c>
      <c r="V43" s="88">
        <f t="shared" si="423"/>
        <v>0</v>
      </c>
      <c r="W43" s="88">
        <f t="shared" si="423"/>
        <v>303.09756164383566</v>
      </c>
      <c r="X43" s="88">
        <f t="shared" si="423"/>
        <v>0</v>
      </c>
      <c r="Y43" s="88">
        <f t="shared" si="423"/>
        <v>0</v>
      </c>
      <c r="Z43" s="88">
        <f t="shared" si="423"/>
        <v>309.83306301369862</v>
      </c>
      <c r="AA43" s="88">
        <f t="shared" si="423"/>
        <v>0</v>
      </c>
      <c r="AB43" s="88">
        <f t="shared" si="423"/>
        <v>0</v>
      </c>
      <c r="AC43" s="88">
        <f t="shared" si="423"/>
        <v>309.83306301369862</v>
      </c>
      <c r="AD43" s="88">
        <f t="shared" si="423"/>
        <v>0</v>
      </c>
      <c r="AE43" s="88">
        <f t="shared" si="423"/>
        <v>0</v>
      </c>
      <c r="AF43" s="88">
        <f t="shared" si="423"/>
        <v>306.46531232876708</v>
      </c>
      <c r="AG43" s="88">
        <f t="shared" si="423"/>
        <v>0</v>
      </c>
      <c r="AH43" s="88">
        <f t="shared" si="423"/>
        <v>0</v>
      </c>
      <c r="AI43" s="88">
        <f t="shared" si="423"/>
        <v>303.09756164383566</v>
      </c>
      <c r="AJ43" s="88">
        <f t="shared" si="423"/>
        <v>0</v>
      </c>
      <c r="AK43" s="88">
        <f t="shared" ref="AK43:BP43" si="424">AK18</f>
        <v>0</v>
      </c>
      <c r="AL43" s="88">
        <f t="shared" si="424"/>
        <v>309.83306301369862</v>
      </c>
      <c r="AM43" s="88">
        <f t="shared" si="424"/>
        <v>0</v>
      </c>
      <c r="AN43" s="88">
        <f t="shared" si="424"/>
        <v>0</v>
      </c>
      <c r="AO43" s="88">
        <f t="shared" si="424"/>
        <v>309.83306301369862</v>
      </c>
      <c r="AP43" s="88">
        <f t="shared" si="424"/>
        <v>0</v>
      </c>
      <c r="AQ43" s="88">
        <f t="shared" si="424"/>
        <v>0</v>
      </c>
      <c r="AR43" s="88">
        <f t="shared" si="424"/>
        <v>306.46531232876708</v>
      </c>
      <c r="AS43" s="88">
        <f t="shared" si="424"/>
        <v>0</v>
      </c>
      <c r="AT43" s="88">
        <f t="shared" si="424"/>
        <v>0</v>
      </c>
      <c r="AU43" s="88">
        <f t="shared" si="424"/>
        <v>296.78302910958899</v>
      </c>
      <c r="AV43" s="88">
        <f t="shared" si="424"/>
        <v>0</v>
      </c>
      <c r="AW43" s="88">
        <f t="shared" si="424"/>
        <v>0</v>
      </c>
      <c r="AX43" s="88">
        <f t="shared" si="424"/>
        <v>296.92335205479452</v>
      </c>
      <c r="AY43" s="88">
        <f t="shared" si="424"/>
        <v>0</v>
      </c>
      <c r="AZ43" s="88">
        <f t="shared" si="424"/>
        <v>0</v>
      </c>
      <c r="BA43" s="88">
        <f t="shared" si="424"/>
        <v>290.46849657534244</v>
      </c>
      <c r="BB43" s="88">
        <f t="shared" si="424"/>
        <v>0</v>
      </c>
      <c r="BC43" s="88">
        <f t="shared" si="424"/>
        <v>0</v>
      </c>
      <c r="BD43" s="88">
        <f t="shared" si="424"/>
        <v>280.92653630136982</v>
      </c>
      <c r="BE43" s="88">
        <f t="shared" si="424"/>
        <v>0</v>
      </c>
      <c r="BF43" s="88">
        <f t="shared" si="424"/>
        <v>0</v>
      </c>
      <c r="BG43" s="88">
        <f t="shared" si="424"/>
        <v>273.7917279713115</v>
      </c>
      <c r="BH43" s="88">
        <f t="shared" si="424"/>
        <v>0</v>
      </c>
      <c r="BI43" s="88">
        <f t="shared" si="424"/>
        <v>0</v>
      </c>
      <c r="BJ43" s="88">
        <f t="shared" si="424"/>
        <v>270.3632090163934</v>
      </c>
      <c r="BK43" s="88">
        <f t="shared" si="424"/>
        <v>0</v>
      </c>
      <c r="BL43" s="88">
        <f t="shared" si="424"/>
        <v>0</v>
      </c>
      <c r="BM43" s="88">
        <f t="shared" si="424"/>
        <v>263.92598975409834</v>
      </c>
      <c r="BN43" s="88">
        <f t="shared" si="424"/>
        <v>0</v>
      </c>
      <c r="BO43" s="88">
        <f t="shared" si="424"/>
        <v>0</v>
      </c>
      <c r="BP43" s="88">
        <f t="shared" si="424"/>
        <v>254.68997950819667</v>
      </c>
      <c r="BQ43" s="88">
        <f t="shared" ref="BQ43:CV43" si="425">BQ18</f>
        <v>0</v>
      </c>
      <c r="BR43" s="88">
        <f t="shared" si="425"/>
        <v>0</v>
      </c>
      <c r="BS43" s="88">
        <f t="shared" si="425"/>
        <v>246.26676883561643</v>
      </c>
      <c r="BT43" s="88">
        <f t="shared" si="425"/>
        <v>0</v>
      </c>
      <c r="BU43" s="88">
        <f t="shared" si="425"/>
        <v>0</v>
      </c>
      <c r="BV43" s="88">
        <f t="shared" si="425"/>
        <v>245.28450821917806</v>
      </c>
      <c r="BW43" s="88">
        <f t="shared" si="425"/>
        <v>0</v>
      </c>
      <c r="BX43" s="88">
        <f t="shared" si="425"/>
        <v>0</v>
      </c>
      <c r="BY43" s="88">
        <f t="shared" si="425"/>
        <v>238.82965273972601</v>
      </c>
      <c r="BZ43" s="88">
        <f t="shared" si="425"/>
        <v>0</v>
      </c>
      <c r="CA43" s="88">
        <f t="shared" si="425"/>
        <v>0</v>
      </c>
      <c r="CB43" s="88">
        <f t="shared" si="425"/>
        <v>229.84898424657536</v>
      </c>
      <c r="CC43" s="88">
        <f t="shared" si="425"/>
        <v>0</v>
      </c>
      <c r="CD43" s="88">
        <f t="shared" si="425"/>
        <v>0</v>
      </c>
      <c r="CE43" s="88">
        <f t="shared" si="425"/>
        <v>221.00863869863014</v>
      </c>
      <c r="CF43" s="88">
        <f t="shared" si="425"/>
        <v>0</v>
      </c>
      <c r="CG43" s="88">
        <f t="shared" si="425"/>
        <v>0</v>
      </c>
      <c r="CH43" s="88">
        <f t="shared" si="425"/>
        <v>219.46508630136981</v>
      </c>
      <c r="CI43" s="88">
        <f t="shared" si="425"/>
        <v>0</v>
      </c>
      <c r="CJ43" s="88">
        <f t="shared" si="425"/>
        <v>0</v>
      </c>
      <c r="CK43" s="88">
        <f t="shared" si="425"/>
        <v>213.01023082191779</v>
      </c>
      <c r="CL43" s="88">
        <f t="shared" si="425"/>
        <v>0</v>
      </c>
      <c r="CM43" s="88">
        <f t="shared" si="425"/>
        <v>0</v>
      </c>
      <c r="CN43" s="88">
        <f t="shared" si="425"/>
        <v>204.31020821917807</v>
      </c>
      <c r="CO43" s="88">
        <f t="shared" si="425"/>
        <v>0</v>
      </c>
      <c r="CP43" s="88">
        <f t="shared" si="425"/>
        <v>0</v>
      </c>
      <c r="CQ43" s="88">
        <f t="shared" si="425"/>
        <v>195.75050856164381</v>
      </c>
      <c r="CR43" s="88">
        <f t="shared" si="425"/>
        <v>0</v>
      </c>
      <c r="CS43" s="88">
        <f t="shared" si="425"/>
        <v>0</v>
      </c>
      <c r="CT43" s="88">
        <f t="shared" si="425"/>
        <v>193.64566438356161</v>
      </c>
      <c r="CU43" s="88">
        <f t="shared" si="425"/>
        <v>0</v>
      </c>
      <c r="CV43" s="88">
        <f t="shared" si="425"/>
        <v>0</v>
      </c>
      <c r="CW43" s="88">
        <f t="shared" ref="CW43:EB43" si="426">CW18</f>
        <v>187.19080890410956</v>
      </c>
      <c r="CX43" s="88">
        <f t="shared" si="426"/>
        <v>0</v>
      </c>
      <c r="CY43" s="88">
        <f t="shared" si="426"/>
        <v>0</v>
      </c>
      <c r="CZ43" s="88">
        <f t="shared" si="426"/>
        <v>178.77143219178083</v>
      </c>
      <c r="DA43" s="88">
        <f t="shared" si="426"/>
        <v>0</v>
      </c>
      <c r="DB43" s="88">
        <f t="shared" si="426"/>
        <v>0</v>
      </c>
      <c r="DC43" s="88">
        <f t="shared" si="426"/>
        <v>171.91573616803277</v>
      </c>
      <c r="DD43" s="88">
        <f t="shared" si="426"/>
        <v>0</v>
      </c>
      <c r="DE43" s="88">
        <f t="shared" si="426"/>
        <v>0</v>
      </c>
      <c r="DF43" s="88">
        <f t="shared" si="426"/>
        <v>167.36770081967211</v>
      </c>
      <c r="DG43" s="88">
        <f t="shared" si="426"/>
        <v>0</v>
      </c>
      <c r="DH43" s="88">
        <f t="shared" si="426"/>
        <v>0</v>
      </c>
      <c r="DI43" s="88">
        <f t="shared" si="426"/>
        <v>160.93048155737702</v>
      </c>
      <c r="DJ43" s="88">
        <f t="shared" si="426"/>
        <v>0</v>
      </c>
      <c r="DK43" s="88">
        <f t="shared" si="426"/>
        <v>0</v>
      </c>
      <c r="DL43" s="88">
        <f t="shared" si="426"/>
        <v>152.81398770491802</v>
      </c>
      <c r="DM43" s="88">
        <f t="shared" si="426"/>
        <v>0</v>
      </c>
      <c r="DN43" s="88">
        <f t="shared" si="426"/>
        <v>0</v>
      </c>
      <c r="DO43" s="88">
        <f t="shared" si="426"/>
        <v>145.23424828767122</v>
      </c>
      <c r="DP43" s="88">
        <f t="shared" si="426"/>
        <v>0</v>
      </c>
      <c r="DQ43" s="88">
        <f t="shared" si="426"/>
        <v>0</v>
      </c>
      <c r="DR43" s="88">
        <f t="shared" si="426"/>
        <v>142.00682054794518</v>
      </c>
      <c r="DS43" s="88">
        <f t="shared" si="426"/>
        <v>0</v>
      </c>
      <c r="DT43" s="88">
        <f t="shared" si="426"/>
        <v>0</v>
      </c>
      <c r="DU43" s="88">
        <f t="shared" si="426"/>
        <v>135.55196506849313</v>
      </c>
      <c r="DV43" s="88">
        <f t="shared" si="426"/>
        <v>0</v>
      </c>
      <c r="DW43" s="88">
        <f t="shared" si="426"/>
        <v>0</v>
      </c>
      <c r="DX43" s="88">
        <f t="shared" si="426"/>
        <v>127.69388013698628</v>
      </c>
      <c r="DY43" s="88">
        <f t="shared" si="426"/>
        <v>0</v>
      </c>
      <c r="DZ43" s="88">
        <f t="shared" si="426"/>
        <v>0</v>
      </c>
      <c r="EA43" s="88">
        <f t="shared" si="426"/>
        <v>119.97611815068493</v>
      </c>
      <c r="EB43" s="88">
        <f t="shared" si="426"/>
        <v>0</v>
      </c>
      <c r="EC43" s="88">
        <f t="shared" ref="EC43:FH43" si="427">EC18</f>
        <v>0</v>
      </c>
      <c r="ED43" s="88">
        <f t="shared" si="427"/>
        <v>116.18739863013698</v>
      </c>
      <c r="EE43" s="88">
        <f t="shared" si="427"/>
        <v>0</v>
      </c>
      <c r="EF43" s="88">
        <f t="shared" si="427"/>
        <v>0</v>
      </c>
      <c r="EG43" s="88">
        <f t="shared" si="427"/>
        <v>109.7325431506849</v>
      </c>
      <c r="EH43" s="88">
        <f t="shared" si="427"/>
        <v>0</v>
      </c>
      <c r="EI43" s="88">
        <f t="shared" si="427"/>
        <v>0</v>
      </c>
      <c r="EJ43" s="88">
        <f t="shared" si="427"/>
        <v>102.15510410958903</v>
      </c>
      <c r="EK43" s="88">
        <f t="shared" si="427"/>
        <v>0</v>
      </c>
      <c r="EL43" s="88">
        <f t="shared" si="427"/>
        <v>0</v>
      </c>
      <c r="EM43" s="88">
        <f t="shared" si="427"/>
        <v>94.71798801369863</v>
      </c>
      <c r="EN43" s="88">
        <f t="shared" si="427"/>
        <v>0</v>
      </c>
      <c r="EO43" s="88">
        <f t="shared" si="427"/>
        <v>0</v>
      </c>
      <c r="EP43" s="88">
        <f t="shared" si="427"/>
        <v>90.367976712328769</v>
      </c>
      <c r="EQ43" s="88">
        <f t="shared" si="427"/>
        <v>0</v>
      </c>
      <c r="ER43" s="88">
        <f t="shared" si="427"/>
        <v>0</v>
      </c>
      <c r="ES43" s="88">
        <f t="shared" si="427"/>
        <v>83.913121232876705</v>
      </c>
      <c r="ET43" s="88">
        <f t="shared" si="427"/>
        <v>0</v>
      </c>
      <c r="EU43" s="88">
        <f t="shared" si="427"/>
        <v>0</v>
      </c>
      <c r="EV43" s="88">
        <f t="shared" si="427"/>
        <v>76.616328082191771</v>
      </c>
      <c r="EW43" s="88">
        <f t="shared" si="427"/>
        <v>0</v>
      </c>
      <c r="EX43" s="88">
        <f t="shared" si="427"/>
        <v>0</v>
      </c>
      <c r="EY43" s="88">
        <f t="shared" si="427"/>
        <v>70.039744364754085</v>
      </c>
      <c r="EZ43" s="88">
        <f t="shared" si="427"/>
        <v>0</v>
      </c>
      <c r="FA43" s="88">
        <f t="shared" si="427"/>
        <v>0</v>
      </c>
      <c r="FB43" s="88">
        <f t="shared" si="427"/>
        <v>64.372192622950806</v>
      </c>
      <c r="FC43" s="88">
        <f t="shared" si="427"/>
        <v>0</v>
      </c>
      <c r="FD43" s="88">
        <f t="shared" si="427"/>
        <v>0</v>
      </c>
      <c r="FE43" s="88">
        <f t="shared" si="427"/>
        <v>57.934973360655732</v>
      </c>
      <c r="FF43" s="88">
        <f t="shared" si="427"/>
        <v>0</v>
      </c>
      <c r="FG43" s="88">
        <f t="shared" si="427"/>
        <v>0</v>
      </c>
      <c r="FH43" s="88">
        <f t="shared" si="427"/>
        <v>50.93799590163934</v>
      </c>
      <c r="FI43" s="88">
        <f t="shared" ref="FI43:GF43" si="428">FI18</f>
        <v>0</v>
      </c>
      <c r="FJ43" s="88">
        <f t="shared" si="428"/>
        <v>0</v>
      </c>
      <c r="FK43" s="88">
        <f t="shared" si="428"/>
        <v>44.201727739726024</v>
      </c>
      <c r="FL43" s="88">
        <f t="shared" si="428"/>
        <v>0</v>
      </c>
      <c r="FM43" s="88">
        <f t="shared" si="428"/>
        <v>0</v>
      </c>
      <c r="FN43" s="88">
        <f t="shared" si="428"/>
        <v>38.729132876712328</v>
      </c>
      <c r="FO43" s="88">
        <f t="shared" si="428"/>
        <v>0</v>
      </c>
      <c r="FP43" s="88">
        <f t="shared" si="428"/>
        <v>0</v>
      </c>
      <c r="FQ43" s="88">
        <f t="shared" si="428"/>
        <v>32.274277397260263</v>
      </c>
      <c r="FR43" s="88">
        <f t="shared" si="428"/>
        <v>0</v>
      </c>
      <c r="FS43" s="88">
        <f t="shared" si="428"/>
        <v>0</v>
      </c>
      <c r="FT43" s="88">
        <f t="shared" si="428"/>
        <v>25.538776027397258</v>
      </c>
      <c r="FU43" s="88">
        <f t="shared" si="428"/>
        <v>0</v>
      </c>
      <c r="FV43" s="88">
        <f t="shared" si="428"/>
        <v>0</v>
      </c>
      <c r="FW43" s="88">
        <f t="shared" si="428"/>
        <v>18.943597602739729</v>
      </c>
      <c r="FX43" s="88">
        <f t="shared" si="428"/>
        <v>0</v>
      </c>
      <c r="FY43" s="88">
        <f t="shared" si="428"/>
        <v>0</v>
      </c>
      <c r="FZ43" s="88">
        <f t="shared" si="428"/>
        <v>12.909710958904109</v>
      </c>
      <c r="GA43" s="88">
        <f t="shared" si="428"/>
        <v>0</v>
      </c>
      <c r="GB43" s="88">
        <f t="shared" si="428"/>
        <v>0</v>
      </c>
      <c r="GC43" s="88">
        <f t="shared" si="428"/>
        <v>6.4548554794520543</v>
      </c>
      <c r="GD43" s="88">
        <f t="shared" si="428"/>
        <v>0</v>
      </c>
      <c r="GE43" s="88">
        <f t="shared" si="428"/>
        <v>0</v>
      </c>
      <c r="GF43" s="100">
        <f t="shared" si="428"/>
        <v>0</v>
      </c>
    </row>
    <row r="44" spans="2:188" s="1" customFormat="1" x14ac:dyDescent="0.3">
      <c r="C44" s="104" t="s">
        <v>672</v>
      </c>
      <c r="D44" s="88">
        <f>SUM(E44:GF44)</f>
        <v>27000</v>
      </c>
      <c r="E44" s="88">
        <f t="shared" ref="E44:AJ44" si="429">E14</f>
        <v>0</v>
      </c>
      <c r="F44" s="88">
        <f t="shared" si="429"/>
        <v>0</v>
      </c>
      <c r="G44" s="88">
        <f t="shared" si="429"/>
        <v>0</v>
      </c>
      <c r="H44" s="88">
        <f t="shared" si="429"/>
        <v>0</v>
      </c>
      <c r="I44" s="88">
        <f t="shared" si="429"/>
        <v>0</v>
      </c>
      <c r="J44" s="88">
        <f t="shared" si="429"/>
        <v>0</v>
      </c>
      <c r="K44" s="88">
        <f t="shared" si="429"/>
        <v>0</v>
      </c>
      <c r="L44" s="88">
        <f t="shared" si="429"/>
        <v>0</v>
      </c>
      <c r="M44" s="88">
        <f t="shared" si="429"/>
        <v>0</v>
      </c>
      <c r="N44" s="88">
        <f t="shared" si="429"/>
        <v>0</v>
      </c>
      <c r="O44" s="88">
        <f t="shared" si="429"/>
        <v>0</v>
      </c>
      <c r="P44" s="88">
        <f t="shared" si="429"/>
        <v>0</v>
      </c>
      <c r="Q44" s="88">
        <f t="shared" si="429"/>
        <v>0</v>
      </c>
      <c r="R44" s="88">
        <f t="shared" si="429"/>
        <v>0</v>
      </c>
      <c r="S44" s="88">
        <f t="shared" si="429"/>
        <v>0</v>
      </c>
      <c r="T44" s="88">
        <f t="shared" si="429"/>
        <v>0</v>
      </c>
      <c r="U44" s="88">
        <f t="shared" si="429"/>
        <v>0</v>
      </c>
      <c r="V44" s="88">
        <f t="shared" si="429"/>
        <v>0</v>
      </c>
      <c r="W44" s="88">
        <f t="shared" si="429"/>
        <v>0</v>
      </c>
      <c r="X44" s="88">
        <f t="shared" si="429"/>
        <v>0</v>
      </c>
      <c r="Y44" s="88">
        <f t="shared" si="429"/>
        <v>0</v>
      </c>
      <c r="Z44" s="88">
        <f t="shared" si="429"/>
        <v>0</v>
      </c>
      <c r="AA44" s="88">
        <f t="shared" si="429"/>
        <v>0</v>
      </c>
      <c r="AB44" s="88">
        <f t="shared" si="429"/>
        <v>0</v>
      </c>
      <c r="AC44" s="88">
        <f t="shared" si="429"/>
        <v>0</v>
      </c>
      <c r="AD44" s="88">
        <f t="shared" si="429"/>
        <v>0</v>
      </c>
      <c r="AE44" s="88">
        <f t="shared" si="429"/>
        <v>0</v>
      </c>
      <c r="AF44" s="88">
        <f t="shared" si="429"/>
        <v>0</v>
      </c>
      <c r="AG44" s="88">
        <f t="shared" si="429"/>
        <v>0</v>
      </c>
      <c r="AH44" s="88">
        <f t="shared" si="429"/>
        <v>0</v>
      </c>
      <c r="AI44" s="88">
        <f t="shared" si="429"/>
        <v>0</v>
      </c>
      <c r="AJ44" s="88">
        <f t="shared" si="429"/>
        <v>0</v>
      </c>
      <c r="AK44" s="88">
        <f t="shared" ref="AK44:BP44" si="430">AK14</f>
        <v>0</v>
      </c>
      <c r="AL44" s="88">
        <f t="shared" si="430"/>
        <v>0</v>
      </c>
      <c r="AM44" s="88">
        <f t="shared" si="430"/>
        <v>0</v>
      </c>
      <c r="AN44" s="88">
        <f t="shared" si="430"/>
        <v>0</v>
      </c>
      <c r="AO44" s="88">
        <f t="shared" si="430"/>
        <v>0</v>
      </c>
      <c r="AP44" s="88">
        <f t="shared" si="430"/>
        <v>0</v>
      </c>
      <c r="AQ44" s="88">
        <f t="shared" si="430"/>
        <v>0</v>
      </c>
      <c r="AR44" s="88">
        <f t="shared" si="430"/>
        <v>562.5</v>
      </c>
      <c r="AS44" s="88">
        <f t="shared" si="430"/>
        <v>0</v>
      </c>
      <c r="AT44" s="88">
        <f t="shared" si="430"/>
        <v>0</v>
      </c>
      <c r="AU44" s="88">
        <f t="shared" si="430"/>
        <v>562.5</v>
      </c>
      <c r="AV44" s="88">
        <f t="shared" si="430"/>
        <v>0</v>
      </c>
      <c r="AW44" s="88">
        <f t="shared" si="430"/>
        <v>0</v>
      </c>
      <c r="AX44" s="88">
        <f t="shared" si="430"/>
        <v>562.5</v>
      </c>
      <c r="AY44" s="88">
        <f t="shared" si="430"/>
        <v>0</v>
      </c>
      <c r="AZ44" s="88">
        <f t="shared" si="430"/>
        <v>0</v>
      </c>
      <c r="BA44" s="88">
        <f t="shared" si="430"/>
        <v>562.5</v>
      </c>
      <c r="BB44" s="88">
        <f t="shared" si="430"/>
        <v>0</v>
      </c>
      <c r="BC44" s="88">
        <f t="shared" si="430"/>
        <v>0</v>
      </c>
      <c r="BD44" s="88">
        <f t="shared" si="430"/>
        <v>562.5</v>
      </c>
      <c r="BE44" s="88">
        <f t="shared" si="430"/>
        <v>0</v>
      </c>
      <c r="BF44" s="88">
        <f t="shared" si="430"/>
        <v>0</v>
      </c>
      <c r="BG44" s="88">
        <f t="shared" si="430"/>
        <v>562.5</v>
      </c>
      <c r="BH44" s="88">
        <f t="shared" si="430"/>
        <v>0</v>
      </c>
      <c r="BI44" s="88">
        <f t="shared" si="430"/>
        <v>0</v>
      </c>
      <c r="BJ44" s="88">
        <f t="shared" si="430"/>
        <v>562.5</v>
      </c>
      <c r="BK44" s="88">
        <f t="shared" si="430"/>
        <v>0</v>
      </c>
      <c r="BL44" s="88">
        <f t="shared" si="430"/>
        <v>0</v>
      </c>
      <c r="BM44" s="88">
        <f t="shared" si="430"/>
        <v>562.5</v>
      </c>
      <c r="BN44" s="88">
        <f t="shared" si="430"/>
        <v>0</v>
      </c>
      <c r="BO44" s="88">
        <f t="shared" si="430"/>
        <v>0</v>
      </c>
      <c r="BP44" s="88">
        <f t="shared" si="430"/>
        <v>562.5</v>
      </c>
      <c r="BQ44" s="88">
        <f t="shared" ref="BQ44:CV44" si="431">BQ14</f>
        <v>0</v>
      </c>
      <c r="BR44" s="88">
        <f t="shared" si="431"/>
        <v>0</v>
      </c>
      <c r="BS44" s="88">
        <f t="shared" si="431"/>
        <v>562.5</v>
      </c>
      <c r="BT44" s="88">
        <f t="shared" si="431"/>
        <v>0</v>
      </c>
      <c r="BU44" s="88">
        <f t="shared" si="431"/>
        <v>0</v>
      </c>
      <c r="BV44" s="88">
        <f t="shared" si="431"/>
        <v>562.5</v>
      </c>
      <c r="BW44" s="88">
        <f t="shared" si="431"/>
        <v>0</v>
      </c>
      <c r="BX44" s="88">
        <f t="shared" si="431"/>
        <v>0</v>
      </c>
      <c r="BY44" s="88">
        <f t="shared" si="431"/>
        <v>562.5</v>
      </c>
      <c r="BZ44" s="88">
        <f t="shared" si="431"/>
        <v>0</v>
      </c>
      <c r="CA44" s="88">
        <f t="shared" si="431"/>
        <v>0</v>
      </c>
      <c r="CB44" s="88">
        <f t="shared" si="431"/>
        <v>562.5</v>
      </c>
      <c r="CC44" s="88">
        <f t="shared" si="431"/>
        <v>0</v>
      </c>
      <c r="CD44" s="88">
        <f t="shared" si="431"/>
        <v>0</v>
      </c>
      <c r="CE44" s="88">
        <f t="shared" si="431"/>
        <v>562.5</v>
      </c>
      <c r="CF44" s="88">
        <f t="shared" si="431"/>
        <v>0</v>
      </c>
      <c r="CG44" s="88">
        <f t="shared" si="431"/>
        <v>0</v>
      </c>
      <c r="CH44" s="88">
        <f t="shared" si="431"/>
        <v>562.5</v>
      </c>
      <c r="CI44" s="88">
        <f t="shared" si="431"/>
        <v>0</v>
      </c>
      <c r="CJ44" s="88">
        <f t="shared" si="431"/>
        <v>0</v>
      </c>
      <c r="CK44" s="88">
        <f t="shared" si="431"/>
        <v>562.5</v>
      </c>
      <c r="CL44" s="88">
        <f t="shared" si="431"/>
        <v>0</v>
      </c>
      <c r="CM44" s="88">
        <f t="shared" si="431"/>
        <v>0</v>
      </c>
      <c r="CN44" s="88">
        <f t="shared" si="431"/>
        <v>562.5</v>
      </c>
      <c r="CO44" s="88">
        <f t="shared" si="431"/>
        <v>0</v>
      </c>
      <c r="CP44" s="88">
        <f t="shared" si="431"/>
        <v>0</v>
      </c>
      <c r="CQ44" s="88">
        <f t="shared" si="431"/>
        <v>562.5</v>
      </c>
      <c r="CR44" s="88">
        <f t="shared" si="431"/>
        <v>0</v>
      </c>
      <c r="CS44" s="88">
        <f t="shared" si="431"/>
        <v>0</v>
      </c>
      <c r="CT44" s="88">
        <f t="shared" si="431"/>
        <v>562.5</v>
      </c>
      <c r="CU44" s="88">
        <f t="shared" si="431"/>
        <v>0</v>
      </c>
      <c r="CV44" s="88">
        <f t="shared" si="431"/>
        <v>0</v>
      </c>
      <c r="CW44" s="88">
        <f t="shared" ref="CW44:EB44" si="432">CW14</f>
        <v>562.5</v>
      </c>
      <c r="CX44" s="88">
        <f t="shared" si="432"/>
        <v>0</v>
      </c>
      <c r="CY44" s="88">
        <f t="shared" si="432"/>
        <v>0</v>
      </c>
      <c r="CZ44" s="88">
        <f t="shared" si="432"/>
        <v>562.5</v>
      </c>
      <c r="DA44" s="88">
        <f t="shared" si="432"/>
        <v>0</v>
      </c>
      <c r="DB44" s="88">
        <f t="shared" si="432"/>
        <v>0</v>
      </c>
      <c r="DC44" s="88">
        <f t="shared" si="432"/>
        <v>562.5</v>
      </c>
      <c r="DD44" s="88">
        <f t="shared" si="432"/>
        <v>0</v>
      </c>
      <c r="DE44" s="88">
        <f t="shared" si="432"/>
        <v>0</v>
      </c>
      <c r="DF44" s="88">
        <f t="shared" si="432"/>
        <v>562.5</v>
      </c>
      <c r="DG44" s="88">
        <f t="shared" si="432"/>
        <v>0</v>
      </c>
      <c r="DH44" s="88">
        <f t="shared" si="432"/>
        <v>0</v>
      </c>
      <c r="DI44" s="88">
        <f t="shared" si="432"/>
        <v>562.5</v>
      </c>
      <c r="DJ44" s="88">
        <f t="shared" si="432"/>
        <v>0</v>
      </c>
      <c r="DK44" s="88">
        <f t="shared" si="432"/>
        <v>0</v>
      </c>
      <c r="DL44" s="88">
        <f t="shared" si="432"/>
        <v>562.5</v>
      </c>
      <c r="DM44" s="88">
        <f t="shared" si="432"/>
        <v>0</v>
      </c>
      <c r="DN44" s="88">
        <f t="shared" si="432"/>
        <v>0</v>
      </c>
      <c r="DO44" s="88">
        <f t="shared" si="432"/>
        <v>562.5</v>
      </c>
      <c r="DP44" s="88">
        <f t="shared" si="432"/>
        <v>0</v>
      </c>
      <c r="DQ44" s="88">
        <f t="shared" si="432"/>
        <v>0</v>
      </c>
      <c r="DR44" s="88">
        <f t="shared" si="432"/>
        <v>562.5</v>
      </c>
      <c r="DS44" s="88">
        <f t="shared" si="432"/>
        <v>0</v>
      </c>
      <c r="DT44" s="88">
        <f t="shared" si="432"/>
        <v>0</v>
      </c>
      <c r="DU44" s="88">
        <f t="shared" si="432"/>
        <v>562.5</v>
      </c>
      <c r="DV44" s="88">
        <f t="shared" si="432"/>
        <v>0</v>
      </c>
      <c r="DW44" s="88">
        <f t="shared" si="432"/>
        <v>0</v>
      </c>
      <c r="DX44" s="88">
        <f t="shared" si="432"/>
        <v>562.5</v>
      </c>
      <c r="DY44" s="88">
        <f t="shared" si="432"/>
        <v>0</v>
      </c>
      <c r="DZ44" s="88">
        <f t="shared" si="432"/>
        <v>0</v>
      </c>
      <c r="EA44" s="88">
        <f t="shared" si="432"/>
        <v>562.5</v>
      </c>
      <c r="EB44" s="88">
        <f t="shared" si="432"/>
        <v>0</v>
      </c>
      <c r="EC44" s="88">
        <f t="shared" ref="EC44:FH44" si="433">EC14</f>
        <v>0</v>
      </c>
      <c r="ED44" s="88">
        <f t="shared" si="433"/>
        <v>562.5</v>
      </c>
      <c r="EE44" s="88">
        <f t="shared" si="433"/>
        <v>0</v>
      </c>
      <c r="EF44" s="88">
        <f t="shared" si="433"/>
        <v>0</v>
      </c>
      <c r="EG44" s="88">
        <f t="shared" si="433"/>
        <v>562.5</v>
      </c>
      <c r="EH44" s="88">
        <f t="shared" si="433"/>
        <v>0</v>
      </c>
      <c r="EI44" s="88">
        <f t="shared" si="433"/>
        <v>0</v>
      </c>
      <c r="EJ44" s="88">
        <f t="shared" si="433"/>
        <v>562.5</v>
      </c>
      <c r="EK44" s="88">
        <f t="shared" si="433"/>
        <v>0</v>
      </c>
      <c r="EL44" s="88">
        <f t="shared" si="433"/>
        <v>0</v>
      </c>
      <c r="EM44" s="88">
        <f t="shared" si="433"/>
        <v>562.5</v>
      </c>
      <c r="EN44" s="88">
        <f t="shared" si="433"/>
        <v>0</v>
      </c>
      <c r="EO44" s="88">
        <f t="shared" si="433"/>
        <v>0</v>
      </c>
      <c r="EP44" s="88">
        <f t="shared" si="433"/>
        <v>562.5</v>
      </c>
      <c r="EQ44" s="88">
        <f t="shared" si="433"/>
        <v>0</v>
      </c>
      <c r="ER44" s="88">
        <f t="shared" si="433"/>
        <v>0</v>
      </c>
      <c r="ES44" s="88">
        <f t="shared" si="433"/>
        <v>562.5</v>
      </c>
      <c r="ET44" s="88">
        <f t="shared" si="433"/>
        <v>0</v>
      </c>
      <c r="EU44" s="88">
        <f t="shared" si="433"/>
        <v>0</v>
      </c>
      <c r="EV44" s="88">
        <f t="shared" si="433"/>
        <v>562.5</v>
      </c>
      <c r="EW44" s="88">
        <f t="shared" si="433"/>
        <v>0</v>
      </c>
      <c r="EX44" s="88">
        <f t="shared" si="433"/>
        <v>0</v>
      </c>
      <c r="EY44" s="88">
        <f t="shared" si="433"/>
        <v>562.5</v>
      </c>
      <c r="EZ44" s="88">
        <f t="shared" si="433"/>
        <v>0</v>
      </c>
      <c r="FA44" s="88">
        <f t="shared" si="433"/>
        <v>0</v>
      </c>
      <c r="FB44" s="88">
        <f t="shared" si="433"/>
        <v>562.5</v>
      </c>
      <c r="FC44" s="88">
        <f t="shared" si="433"/>
        <v>0</v>
      </c>
      <c r="FD44" s="88">
        <f t="shared" si="433"/>
        <v>0</v>
      </c>
      <c r="FE44" s="88">
        <f t="shared" si="433"/>
        <v>562.5</v>
      </c>
      <c r="FF44" s="88">
        <f t="shared" si="433"/>
        <v>0</v>
      </c>
      <c r="FG44" s="88">
        <f t="shared" si="433"/>
        <v>0</v>
      </c>
      <c r="FH44" s="88">
        <f t="shared" si="433"/>
        <v>562.5</v>
      </c>
      <c r="FI44" s="88">
        <f t="shared" ref="FI44:GF44" si="434">FI14</f>
        <v>0</v>
      </c>
      <c r="FJ44" s="88">
        <f t="shared" si="434"/>
        <v>0</v>
      </c>
      <c r="FK44" s="88">
        <f t="shared" si="434"/>
        <v>562.5</v>
      </c>
      <c r="FL44" s="88">
        <f t="shared" si="434"/>
        <v>0</v>
      </c>
      <c r="FM44" s="88">
        <f t="shared" si="434"/>
        <v>0</v>
      </c>
      <c r="FN44" s="88">
        <f t="shared" si="434"/>
        <v>562.5</v>
      </c>
      <c r="FO44" s="88">
        <f t="shared" si="434"/>
        <v>0</v>
      </c>
      <c r="FP44" s="88">
        <f t="shared" si="434"/>
        <v>0</v>
      </c>
      <c r="FQ44" s="88">
        <f t="shared" si="434"/>
        <v>562.5</v>
      </c>
      <c r="FR44" s="88">
        <f t="shared" si="434"/>
        <v>0</v>
      </c>
      <c r="FS44" s="88">
        <f t="shared" si="434"/>
        <v>0</v>
      </c>
      <c r="FT44" s="88">
        <f t="shared" si="434"/>
        <v>562.5</v>
      </c>
      <c r="FU44" s="88">
        <f t="shared" si="434"/>
        <v>0</v>
      </c>
      <c r="FV44" s="88">
        <f t="shared" si="434"/>
        <v>0</v>
      </c>
      <c r="FW44" s="88">
        <f t="shared" si="434"/>
        <v>562.5</v>
      </c>
      <c r="FX44" s="88">
        <f t="shared" si="434"/>
        <v>0</v>
      </c>
      <c r="FY44" s="88">
        <f t="shared" si="434"/>
        <v>0</v>
      </c>
      <c r="FZ44" s="88">
        <f t="shared" si="434"/>
        <v>562.5</v>
      </c>
      <c r="GA44" s="88">
        <f t="shared" si="434"/>
        <v>0</v>
      </c>
      <c r="GB44" s="88">
        <f t="shared" si="434"/>
        <v>0</v>
      </c>
      <c r="GC44" s="88">
        <f t="shared" si="434"/>
        <v>562.5</v>
      </c>
      <c r="GD44" s="88">
        <f t="shared" si="434"/>
        <v>0</v>
      </c>
      <c r="GE44" s="88">
        <f t="shared" si="434"/>
        <v>0</v>
      </c>
      <c r="GF44" s="100">
        <f t="shared" si="434"/>
        <v>0</v>
      </c>
    </row>
    <row r="45" spans="2:188" s="1" customFormat="1" x14ac:dyDescent="0.3">
      <c r="C45" s="65" t="s">
        <v>104</v>
      </c>
      <c r="D45" s="66">
        <f>D46+D47+D48</f>
        <v>-64960.734283569604</v>
      </c>
      <c r="E45" s="66">
        <f>E46+E47+E48</f>
        <v>-13000</v>
      </c>
      <c r="F45" s="66">
        <f t="shared" ref="F45:BQ45" si="435">F46+F47+F48</f>
        <v>0</v>
      </c>
      <c r="G45" s="66">
        <f t="shared" si="435"/>
        <v>0</v>
      </c>
      <c r="H45" s="66">
        <f t="shared" si="435"/>
        <v>-147.55737260273972</v>
      </c>
      <c r="I45" s="66">
        <f t="shared" si="435"/>
        <v>-12000</v>
      </c>
      <c r="J45" s="66">
        <f t="shared" si="435"/>
        <v>0</v>
      </c>
      <c r="K45" s="66">
        <f t="shared" si="435"/>
        <v>-233.73014480874315</v>
      </c>
      <c r="L45" s="66">
        <f t="shared" si="435"/>
        <v>0</v>
      </c>
      <c r="M45" s="66">
        <f t="shared" si="435"/>
        <v>0</v>
      </c>
      <c r="N45" s="66">
        <f t="shared" si="435"/>
        <v>-2286.0986338797816</v>
      </c>
      <c r="O45" s="66">
        <f t="shared" si="435"/>
        <v>0</v>
      </c>
      <c r="P45" s="66">
        <f t="shared" si="435"/>
        <v>0</v>
      </c>
      <c r="Q45" s="66">
        <f t="shared" si="435"/>
        <v>-308.48896174863387</v>
      </c>
      <c r="R45" s="66">
        <f t="shared" si="435"/>
        <v>0</v>
      </c>
      <c r="S45" s="66">
        <f t="shared" si="435"/>
        <v>0</v>
      </c>
      <c r="T45" s="66">
        <f t="shared" si="435"/>
        <v>-305.62797540983604</v>
      </c>
      <c r="U45" s="66">
        <f t="shared" si="435"/>
        <v>0</v>
      </c>
      <c r="V45" s="66">
        <f t="shared" si="435"/>
        <v>0</v>
      </c>
      <c r="W45" s="66">
        <f t="shared" si="435"/>
        <v>-303.09756164383566</v>
      </c>
      <c r="X45" s="66">
        <f t="shared" si="435"/>
        <v>0</v>
      </c>
      <c r="Y45" s="66">
        <f t="shared" si="435"/>
        <v>0</v>
      </c>
      <c r="Z45" s="66">
        <f t="shared" si="435"/>
        <v>-309.83306301369862</v>
      </c>
      <c r="AA45" s="66">
        <f t="shared" si="435"/>
        <v>0</v>
      </c>
      <c r="AB45" s="66">
        <f t="shared" si="435"/>
        <v>0</v>
      </c>
      <c r="AC45" s="66">
        <f t="shared" si="435"/>
        <v>-309.83306301369862</v>
      </c>
      <c r="AD45" s="66">
        <f t="shared" si="435"/>
        <v>0</v>
      </c>
      <c r="AE45" s="66">
        <f t="shared" si="435"/>
        <v>0</v>
      </c>
      <c r="AF45" s="66">
        <f t="shared" si="435"/>
        <v>-306.46531232876714</v>
      </c>
      <c r="AG45" s="66">
        <f t="shared" si="435"/>
        <v>0</v>
      </c>
      <c r="AH45" s="66">
        <f t="shared" si="435"/>
        <v>0</v>
      </c>
      <c r="AI45" s="66">
        <f t="shared" si="435"/>
        <v>-303.09756164383566</v>
      </c>
      <c r="AJ45" s="66">
        <f t="shared" si="435"/>
        <v>0</v>
      </c>
      <c r="AK45" s="66">
        <f t="shared" si="435"/>
        <v>0</v>
      </c>
      <c r="AL45" s="66">
        <f t="shared" si="435"/>
        <v>-309.83306301369862</v>
      </c>
      <c r="AM45" s="66">
        <f t="shared" si="435"/>
        <v>0</v>
      </c>
      <c r="AN45" s="66">
        <f t="shared" si="435"/>
        <v>0</v>
      </c>
      <c r="AO45" s="66">
        <f t="shared" si="435"/>
        <v>-309.83306301369862</v>
      </c>
      <c r="AP45" s="66">
        <f t="shared" si="435"/>
        <v>0</v>
      </c>
      <c r="AQ45" s="66">
        <f t="shared" si="435"/>
        <v>0</v>
      </c>
      <c r="AR45" s="66">
        <f t="shared" si="435"/>
        <v>-868.96531232876714</v>
      </c>
      <c r="AS45" s="66">
        <f t="shared" si="435"/>
        <v>0</v>
      </c>
      <c r="AT45" s="66">
        <f t="shared" si="435"/>
        <v>0</v>
      </c>
      <c r="AU45" s="66">
        <f t="shared" si="435"/>
        <v>-859.28302910958905</v>
      </c>
      <c r="AV45" s="66">
        <f t="shared" si="435"/>
        <v>0</v>
      </c>
      <c r="AW45" s="66">
        <f t="shared" si="435"/>
        <v>0</v>
      </c>
      <c r="AX45" s="66">
        <f t="shared" si="435"/>
        <v>-859.42335205479446</v>
      </c>
      <c r="AY45" s="66">
        <f t="shared" si="435"/>
        <v>0</v>
      </c>
      <c r="AZ45" s="66">
        <f t="shared" si="435"/>
        <v>0</v>
      </c>
      <c r="BA45" s="66">
        <f t="shared" si="435"/>
        <v>-852.96849657534244</v>
      </c>
      <c r="BB45" s="66">
        <f t="shared" si="435"/>
        <v>0</v>
      </c>
      <c r="BC45" s="66">
        <f t="shared" si="435"/>
        <v>0</v>
      </c>
      <c r="BD45" s="66">
        <f t="shared" si="435"/>
        <v>-843.42653630136977</v>
      </c>
      <c r="BE45" s="66">
        <f t="shared" si="435"/>
        <v>0</v>
      </c>
      <c r="BF45" s="66">
        <f t="shared" si="435"/>
        <v>0</v>
      </c>
      <c r="BG45" s="66">
        <f t="shared" si="435"/>
        <v>-836.29172797131162</v>
      </c>
      <c r="BH45" s="66">
        <f t="shared" si="435"/>
        <v>0</v>
      </c>
      <c r="BI45" s="66">
        <f t="shared" si="435"/>
        <v>0</v>
      </c>
      <c r="BJ45" s="66">
        <f t="shared" si="435"/>
        <v>-832.8632090163934</v>
      </c>
      <c r="BK45" s="66">
        <f t="shared" si="435"/>
        <v>0</v>
      </c>
      <c r="BL45" s="66">
        <f t="shared" si="435"/>
        <v>0</v>
      </c>
      <c r="BM45" s="66">
        <f t="shared" si="435"/>
        <v>-826.4259897540984</v>
      </c>
      <c r="BN45" s="66">
        <f t="shared" si="435"/>
        <v>0</v>
      </c>
      <c r="BO45" s="66">
        <f t="shared" si="435"/>
        <v>0</v>
      </c>
      <c r="BP45" s="66">
        <f t="shared" si="435"/>
        <v>-817.18997950819676</v>
      </c>
      <c r="BQ45" s="66">
        <f t="shared" si="435"/>
        <v>0</v>
      </c>
      <c r="BR45" s="66">
        <f t="shared" ref="BR45:EC45" si="436">BR46+BR47+BR48</f>
        <v>0</v>
      </c>
      <c r="BS45" s="66">
        <f t="shared" si="436"/>
        <v>-808.7667688356164</v>
      </c>
      <c r="BT45" s="66">
        <f t="shared" si="436"/>
        <v>0</v>
      </c>
      <c r="BU45" s="66">
        <f t="shared" si="436"/>
        <v>0</v>
      </c>
      <c r="BV45" s="66">
        <f t="shared" si="436"/>
        <v>-807.78450821917806</v>
      </c>
      <c r="BW45" s="66">
        <f t="shared" si="436"/>
        <v>0</v>
      </c>
      <c r="BX45" s="66">
        <f t="shared" si="436"/>
        <v>0</v>
      </c>
      <c r="BY45" s="66">
        <f t="shared" si="436"/>
        <v>-801.32965273972604</v>
      </c>
      <c r="BZ45" s="66">
        <f t="shared" si="436"/>
        <v>0</v>
      </c>
      <c r="CA45" s="66">
        <f t="shared" si="436"/>
        <v>0</v>
      </c>
      <c r="CB45" s="66">
        <f t="shared" si="436"/>
        <v>-792.34898424657536</v>
      </c>
      <c r="CC45" s="66">
        <f t="shared" si="436"/>
        <v>0</v>
      </c>
      <c r="CD45" s="66">
        <f t="shared" si="436"/>
        <v>0</v>
      </c>
      <c r="CE45" s="66">
        <f t="shared" si="436"/>
        <v>-783.50863869863008</v>
      </c>
      <c r="CF45" s="66">
        <f t="shared" si="436"/>
        <v>0</v>
      </c>
      <c r="CG45" s="66">
        <f t="shared" si="436"/>
        <v>0</v>
      </c>
      <c r="CH45" s="66">
        <f t="shared" si="436"/>
        <v>-781.96508630136987</v>
      </c>
      <c r="CI45" s="66">
        <f t="shared" si="436"/>
        <v>0</v>
      </c>
      <c r="CJ45" s="66">
        <f t="shared" si="436"/>
        <v>0</v>
      </c>
      <c r="CK45" s="66">
        <f t="shared" si="436"/>
        <v>-775.51023082191773</v>
      </c>
      <c r="CL45" s="66">
        <f t="shared" si="436"/>
        <v>0</v>
      </c>
      <c r="CM45" s="66">
        <f t="shared" si="436"/>
        <v>0</v>
      </c>
      <c r="CN45" s="66">
        <f t="shared" si="436"/>
        <v>-766.81020821917809</v>
      </c>
      <c r="CO45" s="66">
        <f t="shared" si="436"/>
        <v>0</v>
      </c>
      <c r="CP45" s="66">
        <f t="shared" si="436"/>
        <v>0</v>
      </c>
      <c r="CQ45" s="66">
        <f t="shared" si="436"/>
        <v>-758.25050856164376</v>
      </c>
      <c r="CR45" s="66">
        <f t="shared" si="436"/>
        <v>0</v>
      </c>
      <c r="CS45" s="66">
        <f t="shared" si="436"/>
        <v>0</v>
      </c>
      <c r="CT45" s="66">
        <f t="shared" si="436"/>
        <v>-756.14566438356155</v>
      </c>
      <c r="CU45" s="66">
        <f t="shared" si="436"/>
        <v>0</v>
      </c>
      <c r="CV45" s="66">
        <f t="shared" si="436"/>
        <v>0</v>
      </c>
      <c r="CW45" s="66">
        <f t="shared" si="436"/>
        <v>-749.69080890410964</v>
      </c>
      <c r="CX45" s="66">
        <f t="shared" si="436"/>
        <v>0</v>
      </c>
      <c r="CY45" s="66">
        <f t="shared" si="436"/>
        <v>0</v>
      </c>
      <c r="CZ45" s="66">
        <f t="shared" si="436"/>
        <v>-741.27143219178083</v>
      </c>
      <c r="DA45" s="66">
        <f t="shared" si="436"/>
        <v>0</v>
      </c>
      <c r="DB45" s="66">
        <f t="shared" si="436"/>
        <v>0</v>
      </c>
      <c r="DC45" s="66">
        <f t="shared" si="436"/>
        <v>-734.41573616803282</v>
      </c>
      <c r="DD45" s="66">
        <f t="shared" si="436"/>
        <v>0</v>
      </c>
      <c r="DE45" s="66">
        <f t="shared" si="436"/>
        <v>0</v>
      </c>
      <c r="DF45" s="66">
        <f t="shared" si="436"/>
        <v>-729.86770081967211</v>
      </c>
      <c r="DG45" s="66">
        <f t="shared" si="436"/>
        <v>0</v>
      </c>
      <c r="DH45" s="66">
        <f t="shared" si="436"/>
        <v>0</v>
      </c>
      <c r="DI45" s="66">
        <f t="shared" si="436"/>
        <v>-723.43048155737711</v>
      </c>
      <c r="DJ45" s="66">
        <f t="shared" si="436"/>
        <v>0</v>
      </c>
      <c r="DK45" s="66">
        <f t="shared" si="436"/>
        <v>0</v>
      </c>
      <c r="DL45" s="66">
        <f t="shared" si="436"/>
        <v>-715.31398770491796</v>
      </c>
      <c r="DM45" s="66">
        <f t="shared" si="436"/>
        <v>0</v>
      </c>
      <c r="DN45" s="66">
        <f t="shared" si="436"/>
        <v>0</v>
      </c>
      <c r="DO45" s="66">
        <f t="shared" si="436"/>
        <v>-707.73424828767122</v>
      </c>
      <c r="DP45" s="66">
        <f t="shared" si="436"/>
        <v>0</v>
      </c>
      <c r="DQ45" s="66">
        <f t="shared" si="436"/>
        <v>0</v>
      </c>
      <c r="DR45" s="66">
        <f t="shared" si="436"/>
        <v>-704.50682054794515</v>
      </c>
      <c r="DS45" s="66">
        <f t="shared" si="436"/>
        <v>0</v>
      </c>
      <c r="DT45" s="66">
        <f t="shared" si="436"/>
        <v>0</v>
      </c>
      <c r="DU45" s="66">
        <f t="shared" si="436"/>
        <v>-698.05196506849313</v>
      </c>
      <c r="DV45" s="66">
        <f t="shared" si="436"/>
        <v>0</v>
      </c>
      <c r="DW45" s="66">
        <f t="shared" si="436"/>
        <v>0</v>
      </c>
      <c r="DX45" s="66">
        <f t="shared" si="436"/>
        <v>-690.19388013698619</v>
      </c>
      <c r="DY45" s="66">
        <f t="shared" si="436"/>
        <v>0</v>
      </c>
      <c r="DZ45" s="66">
        <f t="shared" si="436"/>
        <v>0</v>
      </c>
      <c r="EA45" s="66">
        <f t="shared" si="436"/>
        <v>-682.4761181506849</v>
      </c>
      <c r="EB45" s="66">
        <f t="shared" si="436"/>
        <v>0</v>
      </c>
      <c r="EC45" s="66">
        <f t="shared" si="436"/>
        <v>0</v>
      </c>
      <c r="ED45" s="66">
        <f t="shared" ref="ED45:GF45" si="437">ED46+ED47+ED48</f>
        <v>-678.68739863013707</v>
      </c>
      <c r="EE45" s="66">
        <f t="shared" si="437"/>
        <v>0</v>
      </c>
      <c r="EF45" s="66">
        <f t="shared" si="437"/>
        <v>0</v>
      </c>
      <c r="EG45" s="66">
        <f t="shared" si="437"/>
        <v>-672.23254315068482</v>
      </c>
      <c r="EH45" s="66">
        <f t="shared" si="437"/>
        <v>0</v>
      </c>
      <c r="EI45" s="66">
        <f t="shared" si="437"/>
        <v>0</v>
      </c>
      <c r="EJ45" s="66">
        <f t="shared" si="437"/>
        <v>-664.65510410958905</v>
      </c>
      <c r="EK45" s="66">
        <f t="shared" si="437"/>
        <v>0</v>
      </c>
      <c r="EL45" s="66">
        <f t="shared" si="437"/>
        <v>0</v>
      </c>
      <c r="EM45" s="66">
        <f t="shared" si="437"/>
        <v>-657.21798801369869</v>
      </c>
      <c r="EN45" s="66">
        <f t="shared" si="437"/>
        <v>0</v>
      </c>
      <c r="EO45" s="66">
        <f t="shared" si="437"/>
        <v>0</v>
      </c>
      <c r="EP45" s="66">
        <f t="shared" si="437"/>
        <v>-652.86797671232875</v>
      </c>
      <c r="EQ45" s="66">
        <f t="shared" si="437"/>
        <v>0</v>
      </c>
      <c r="ER45" s="66">
        <f t="shared" si="437"/>
        <v>0</v>
      </c>
      <c r="ES45" s="66">
        <f t="shared" si="437"/>
        <v>-646.41312123287673</v>
      </c>
      <c r="ET45" s="66">
        <f t="shared" si="437"/>
        <v>0</v>
      </c>
      <c r="EU45" s="66">
        <f t="shared" si="437"/>
        <v>0</v>
      </c>
      <c r="EV45" s="66">
        <f t="shared" si="437"/>
        <v>-639.11632808219179</v>
      </c>
      <c r="EW45" s="66">
        <f t="shared" si="437"/>
        <v>0</v>
      </c>
      <c r="EX45" s="66">
        <f t="shared" si="437"/>
        <v>0</v>
      </c>
      <c r="EY45" s="66">
        <f t="shared" si="437"/>
        <v>-632.53974436475403</v>
      </c>
      <c r="EZ45" s="66">
        <f t="shared" si="437"/>
        <v>0</v>
      </c>
      <c r="FA45" s="66">
        <f t="shared" si="437"/>
        <v>0</v>
      </c>
      <c r="FB45" s="66">
        <f t="shared" si="437"/>
        <v>-626.87219262295082</v>
      </c>
      <c r="FC45" s="66">
        <f t="shared" si="437"/>
        <v>0</v>
      </c>
      <c r="FD45" s="66">
        <f t="shared" si="437"/>
        <v>0</v>
      </c>
      <c r="FE45" s="66">
        <f t="shared" si="437"/>
        <v>-620.4349733606557</v>
      </c>
      <c r="FF45" s="66">
        <f t="shared" si="437"/>
        <v>0</v>
      </c>
      <c r="FG45" s="66">
        <f t="shared" si="437"/>
        <v>0</v>
      </c>
      <c r="FH45" s="66">
        <f t="shared" si="437"/>
        <v>-613.43799590163928</v>
      </c>
      <c r="FI45" s="66">
        <f t="shared" si="437"/>
        <v>0</v>
      </c>
      <c r="FJ45" s="66">
        <f t="shared" si="437"/>
        <v>0</v>
      </c>
      <c r="FK45" s="66">
        <f t="shared" si="437"/>
        <v>-606.70172773972604</v>
      </c>
      <c r="FL45" s="66">
        <f t="shared" si="437"/>
        <v>0</v>
      </c>
      <c r="FM45" s="66">
        <f t="shared" si="437"/>
        <v>0</v>
      </c>
      <c r="FN45" s="66">
        <f t="shared" si="437"/>
        <v>-601.22913287671224</v>
      </c>
      <c r="FO45" s="66">
        <f t="shared" si="437"/>
        <v>0</v>
      </c>
      <c r="FP45" s="66">
        <f t="shared" si="437"/>
        <v>0</v>
      </c>
      <c r="FQ45" s="66">
        <f t="shared" si="437"/>
        <v>-594.77427739726033</v>
      </c>
      <c r="FR45" s="66">
        <f t="shared" si="437"/>
        <v>0</v>
      </c>
      <c r="FS45" s="66">
        <f t="shared" si="437"/>
        <v>0</v>
      </c>
      <c r="FT45" s="66">
        <f t="shared" si="437"/>
        <v>-588.03877602739715</v>
      </c>
      <c r="FU45" s="66">
        <f t="shared" si="437"/>
        <v>0</v>
      </c>
      <c r="FV45" s="66">
        <f t="shared" si="437"/>
        <v>0</v>
      </c>
      <c r="FW45" s="66">
        <f t="shared" si="437"/>
        <v>-581.44359760273971</v>
      </c>
      <c r="FX45" s="66">
        <f t="shared" si="437"/>
        <v>0</v>
      </c>
      <c r="FY45" s="66">
        <f t="shared" si="437"/>
        <v>0</v>
      </c>
      <c r="FZ45" s="66">
        <f t="shared" si="437"/>
        <v>-575.40971095890416</v>
      </c>
      <c r="GA45" s="66">
        <f t="shared" si="437"/>
        <v>0</v>
      </c>
      <c r="GB45" s="66">
        <f t="shared" si="437"/>
        <v>0</v>
      </c>
      <c r="GC45" s="66">
        <f t="shared" si="437"/>
        <v>-568.95485547945202</v>
      </c>
      <c r="GD45" s="66">
        <f t="shared" si="437"/>
        <v>0</v>
      </c>
      <c r="GE45" s="66">
        <f t="shared" si="437"/>
        <v>0</v>
      </c>
      <c r="GF45" s="67">
        <f t="shared" si="437"/>
        <v>0</v>
      </c>
    </row>
    <row r="46" spans="2:188" s="1" customFormat="1" x14ac:dyDescent="0.3">
      <c r="C46" s="468" t="s">
        <v>679</v>
      </c>
      <c r="D46" s="84">
        <f>SUM(E46:GF46)</f>
        <v>-27000</v>
      </c>
      <c r="E46" s="84">
        <f t="shared" ref="E46:AJ46" si="438">-E13</f>
        <v>-13000</v>
      </c>
      <c r="F46" s="84">
        <f t="shared" si="438"/>
        <v>0</v>
      </c>
      <c r="G46" s="84">
        <f t="shared" si="438"/>
        <v>0</v>
      </c>
      <c r="H46" s="84">
        <f t="shared" si="438"/>
        <v>0</v>
      </c>
      <c r="I46" s="84">
        <f t="shared" si="438"/>
        <v>-12000</v>
      </c>
      <c r="J46" s="84">
        <f t="shared" si="438"/>
        <v>0</v>
      </c>
      <c r="K46" s="84">
        <f t="shared" si="438"/>
        <v>0</v>
      </c>
      <c r="L46" s="84">
        <f t="shared" si="438"/>
        <v>0</v>
      </c>
      <c r="M46" s="84">
        <f t="shared" si="438"/>
        <v>0</v>
      </c>
      <c r="N46" s="84">
        <f t="shared" si="438"/>
        <v>-2000</v>
      </c>
      <c r="O46" s="84">
        <f t="shared" si="438"/>
        <v>0</v>
      </c>
      <c r="P46" s="84">
        <f t="shared" si="438"/>
        <v>0</v>
      </c>
      <c r="Q46" s="84">
        <f t="shared" si="438"/>
        <v>0</v>
      </c>
      <c r="R46" s="84">
        <f t="shared" si="438"/>
        <v>0</v>
      </c>
      <c r="S46" s="84">
        <f t="shared" si="438"/>
        <v>0</v>
      </c>
      <c r="T46" s="84">
        <f t="shared" si="438"/>
        <v>0</v>
      </c>
      <c r="U46" s="84">
        <f t="shared" si="438"/>
        <v>0</v>
      </c>
      <c r="V46" s="84">
        <f t="shared" si="438"/>
        <v>0</v>
      </c>
      <c r="W46" s="84">
        <f t="shared" si="438"/>
        <v>0</v>
      </c>
      <c r="X46" s="84">
        <f t="shared" si="438"/>
        <v>0</v>
      </c>
      <c r="Y46" s="84">
        <f t="shared" si="438"/>
        <v>0</v>
      </c>
      <c r="Z46" s="84">
        <f t="shared" si="438"/>
        <v>0</v>
      </c>
      <c r="AA46" s="84">
        <f t="shared" si="438"/>
        <v>0</v>
      </c>
      <c r="AB46" s="84">
        <f t="shared" si="438"/>
        <v>0</v>
      </c>
      <c r="AC46" s="84">
        <f t="shared" si="438"/>
        <v>0</v>
      </c>
      <c r="AD46" s="84">
        <f t="shared" si="438"/>
        <v>0</v>
      </c>
      <c r="AE46" s="84">
        <f t="shared" si="438"/>
        <v>0</v>
      </c>
      <c r="AF46" s="84">
        <f t="shared" si="438"/>
        <v>0</v>
      </c>
      <c r="AG46" s="84">
        <f t="shared" si="438"/>
        <v>0</v>
      </c>
      <c r="AH46" s="84">
        <f t="shared" si="438"/>
        <v>0</v>
      </c>
      <c r="AI46" s="84">
        <f t="shared" si="438"/>
        <v>0</v>
      </c>
      <c r="AJ46" s="84">
        <f t="shared" si="438"/>
        <v>0</v>
      </c>
      <c r="AK46" s="84">
        <f t="shared" ref="AK46:BP46" si="439">-AK13</f>
        <v>0</v>
      </c>
      <c r="AL46" s="84">
        <f t="shared" si="439"/>
        <v>0</v>
      </c>
      <c r="AM46" s="84">
        <f t="shared" si="439"/>
        <v>0</v>
      </c>
      <c r="AN46" s="84">
        <f t="shared" si="439"/>
        <v>0</v>
      </c>
      <c r="AO46" s="84">
        <f t="shared" si="439"/>
        <v>0</v>
      </c>
      <c r="AP46" s="84">
        <f t="shared" si="439"/>
        <v>0</v>
      </c>
      <c r="AQ46" s="84">
        <f t="shared" si="439"/>
        <v>0</v>
      </c>
      <c r="AR46" s="84">
        <f t="shared" si="439"/>
        <v>0</v>
      </c>
      <c r="AS46" s="84">
        <f t="shared" si="439"/>
        <v>0</v>
      </c>
      <c r="AT46" s="84">
        <f t="shared" si="439"/>
        <v>0</v>
      </c>
      <c r="AU46" s="84">
        <f t="shared" si="439"/>
        <v>0</v>
      </c>
      <c r="AV46" s="84">
        <f t="shared" si="439"/>
        <v>0</v>
      </c>
      <c r="AW46" s="84">
        <f t="shared" si="439"/>
        <v>0</v>
      </c>
      <c r="AX46" s="84">
        <f t="shared" si="439"/>
        <v>0</v>
      </c>
      <c r="AY46" s="84">
        <f t="shared" si="439"/>
        <v>0</v>
      </c>
      <c r="AZ46" s="84">
        <f t="shared" si="439"/>
        <v>0</v>
      </c>
      <c r="BA46" s="84">
        <f t="shared" si="439"/>
        <v>0</v>
      </c>
      <c r="BB46" s="84">
        <f t="shared" si="439"/>
        <v>0</v>
      </c>
      <c r="BC46" s="84">
        <f t="shared" si="439"/>
        <v>0</v>
      </c>
      <c r="BD46" s="84">
        <f t="shared" si="439"/>
        <v>0</v>
      </c>
      <c r="BE46" s="84">
        <f t="shared" si="439"/>
        <v>0</v>
      </c>
      <c r="BF46" s="84">
        <f t="shared" si="439"/>
        <v>0</v>
      </c>
      <c r="BG46" s="84">
        <f t="shared" si="439"/>
        <v>0</v>
      </c>
      <c r="BH46" s="84">
        <f t="shared" si="439"/>
        <v>0</v>
      </c>
      <c r="BI46" s="84">
        <f t="shared" si="439"/>
        <v>0</v>
      </c>
      <c r="BJ46" s="84">
        <f t="shared" si="439"/>
        <v>0</v>
      </c>
      <c r="BK46" s="84">
        <f t="shared" si="439"/>
        <v>0</v>
      </c>
      <c r="BL46" s="84">
        <f t="shared" si="439"/>
        <v>0</v>
      </c>
      <c r="BM46" s="84">
        <f t="shared" si="439"/>
        <v>0</v>
      </c>
      <c r="BN46" s="84">
        <f t="shared" si="439"/>
        <v>0</v>
      </c>
      <c r="BO46" s="84">
        <f t="shared" si="439"/>
        <v>0</v>
      </c>
      <c r="BP46" s="84">
        <f t="shared" si="439"/>
        <v>0</v>
      </c>
      <c r="BQ46" s="84">
        <f t="shared" ref="BQ46:CV46" si="440">-BQ13</f>
        <v>0</v>
      </c>
      <c r="BR46" s="84">
        <f t="shared" si="440"/>
        <v>0</v>
      </c>
      <c r="BS46" s="84">
        <f t="shared" si="440"/>
        <v>0</v>
      </c>
      <c r="BT46" s="84">
        <f t="shared" si="440"/>
        <v>0</v>
      </c>
      <c r="BU46" s="84">
        <f t="shared" si="440"/>
        <v>0</v>
      </c>
      <c r="BV46" s="84">
        <f t="shared" si="440"/>
        <v>0</v>
      </c>
      <c r="BW46" s="84">
        <f t="shared" si="440"/>
        <v>0</v>
      </c>
      <c r="BX46" s="84">
        <f t="shared" si="440"/>
        <v>0</v>
      </c>
      <c r="BY46" s="84">
        <f t="shared" si="440"/>
        <v>0</v>
      </c>
      <c r="BZ46" s="84">
        <f t="shared" si="440"/>
        <v>0</v>
      </c>
      <c r="CA46" s="84">
        <f t="shared" si="440"/>
        <v>0</v>
      </c>
      <c r="CB46" s="84">
        <f t="shared" si="440"/>
        <v>0</v>
      </c>
      <c r="CC46" s="84">
        <f t="shared" si="440"/>
        <v>0</v>
      </c>
      <c r="CD46" s="84">
        <f t="shared" si="440"/>
        <v>0</v>
      </c>
      <c r="CE46" s="84">
        <f t="shared" si="440"/>
        <v>0</v>
      </c>
      <c r="CF46" s="84">
        <f t="shared" si="440"/>
        <v>0</v>
      </c>
      <c r="CG46" s="84">
        <f t="shared" si="440"/>
        <v>0</v>
      </c>
      <c r="CH46" s="84">
        <f t="shared" si="440"/>
        <v>0</v>
      </c>
      <c r="CI46" s="84">
        <f t="shared" si="440"/>
        <v>0</v>
      </c>
      <c r="CJ46" s="84">
        <f t="shared" si="440"/>
        <v>0</v>
      </c>
      <c r="CK46" s="84">
        <f t="shared" si="440"/>
        <v>0</v>
      </c>
      <c r="CL46" s="84">
        <f t="shared" si="440"/>
        <v>0</v>
      </c>
      <c r="CM46" s="84">
        <f t="shared" si="440"/>
        <v>0</v>
      </c>
      <c r="CN46" s="84">
        <f t="shared" si="440"/>
        <v>0</v>
      </c>
      <c r="CO46" s="84">
        <f t="shared" si="440"/>
        <v>0</v>
      </c>
      <c r="CP46" s="84">
        <f t="shared" si="440"/>
        <v>0</v>
      </c>
      <c r="CQ46" s="84">
        <f t="shared" si="440"/>
        <v>0</v>
      </c>
      <c r="CR46" s="84">
        <f t="shared" si="440"/>
        <v>0</v>
      </c>
      <c r="CS46" s="84">
        <f t="shared" si="440"/>
        <v>0</v>
      </c>
      <c r="CT46" s="84">
        <f t="shared" si="440"/>
        <v>0</v>
      </c>
      <c r="CU46" s="84">
        <f t="shared" si="440"/>
        <v>0</v>
      </c>
      <c r="CV46" s="84">
        <f t="shared" si="440"/>
        <v>0</v>
      </c>
      <c r="CW46" s="84">
        <f t="shared" ref="CW46:EB46" si="441">-CW13</f>
        <v>0</v>
      </c>
      <c r="CX46" s="84">
        <f t="shared" si="441"/>
        <v>0</v>
      </c>
      <c r="CY46" s="84">
        <f t="shared" si="441"/>
        <v>0</v>
      </c>
      <c r="CZ46" s="84">
        <f t="shared" si="441"/>
        <v>0</v>
      </c>
      <c r="DA46" s="84">
        <f t="shared" si="441"/>
        <v>0</v>
      </c>
      <c r="DB46" s="84">
        <f t="shared" si="441"/>
        <v>0</v>
      </c>
      <c r="DC46" s="84">
        <f t="shared" si="441"/>
        <v>0</v>
      </c>
      <c r="DD46" s="84">
        <f t="shared" si="441"/>
        <v>0</v>
      </c>
      <c r="DE46" s="84">
        <f t="shared" si="441"/>
        <v>0</v>
      </c>
      <c r="DF46" s="84">
        <f t="shared" si="441"/>
        <v>0</v>
      </c>
      <c r="DG46" s="84">
        <f t="shared" si="441"/>
        <v>0</v>
      </c>
      <c r="DH46" s="84">
        <f t="shared" si="441"/>
        <v>0</v>
      </c>
      <c r="DI46" s="84">
        <f t="shared" si="441"/>
        <v>0</v>
      </c>
      <c r="DJ46" s="84">
        <f t="shared" si="441"/>
        <v>0</v>
      </c>
      <c r="DK46" s="84">
        <f t="shared" si="441"/>
        <v>0</v>
      </c>
      <c r="DL46" s="84">
        <f t="shared" si="441"/>
        <v>0</v>
      </c>
      <c r="DM46" s="84">
        <f t="shared" si="441"/>
        <v>0</v>
      </c>
      <c r="DN46" s="84">
        <f t="shared" si="441"/>
        <v>0</v>
      </c>
      <c r="DO46" s="84">
        <f t="shared" si="441"/>
        <v>0</v>
      </c>
      <c r="DP46" s="84">
        <f t="shared" si="441"/>
        <v>0</v>
      </c>
      <c r="DQ46" s="84">
        <f t="shared" si="441"/>
        <v>0</v>
      </c>
      <c r="DR46" s="84">
        <f t="shared" si="441"/>
        <v>0</v>
      </c>
      <c r="DS46" s="84">
        <f t="shared" si="441"/>
        <v>0</v>
      </c>
      <c r="DT46" s="84">
        <f t="shared" si="441"/>
        <v>0</v>
      </c>
      <c r="DU46" s="84">
        <f t="shared" si="441"/>
        <v>0</v>
      </c>
      <c r="DV46" s="84">
        <f t="shared" si="441"/>
        <v>0</v>
      </c>
      <c r="DW46" s="84">
        <f t="shared" si="441"/>
        <v>0</v>
      </c>
      <c r="DX46" s="84">
        <f t="shared" si="441"/>
        <v>0</v>
      </c>
      <c r="DY46" s="84">
        <f t="shared" si="441"/>
        <v>0</v>
      </c>
      <c r="DZ46" s="84">
        <f t="shared" si="441"/>
        <v>0</v>
      </c>
      <c r="EA46" s="84">
        <f t="shared" si="441"/>
        <v>0</v>
      </c>
      <c r="EB46" s="84">
        <f t="shared" si="441"/>
        <v>0</v>
      </c>
      <c r="EC46" s="84">
        <f t="shared" ref="EC46:FH46" si="442">-EC13</f>
        <v>0</v>
      </c>
      <c r="ED46" s="84">
        <f t="shared" si="442"/>
        <v>0</v>
      </c>
      <c r="EE46" s="84">
        <f t="shared" si="442"/>
        <v>0</v>
      </c>
      <c r="EF46" s="84">
        <f t="shared" si="442"/>
        <v>0</v>
      </c>
      <c r="EG46" s="84">
        <f t="shared" si="442"/>
        <v>0</v>
      </c>
      <c r="EH46" s="84">
        <f t="shared" si="442"/>
        <v>0</v>
      </c>
      <c r="EI46" s="84">
        <f t="shared" si="442"/>
        <v>0</v>
      </c>
      <c r="EJ46" s="84">
        <f t="shared" si="442"/>
        <v>0</v>
      </c>
      <c r="EK46" s="84">
        <f t="shared" si="442"/>
        <v>0</v>
      </c>
      <c r="EL46" s="84">
        <f t="shared" si="442"/>
        <v>0</v>
      </c>
      <c r="EM46" s="84">
        <f t="shared" si="442"/>
        <v>0</v>
      </c>
      <c r="EN46" s="84">
        <f t="shared" si="442"/>
        <v>0</v>
      </c>
      <c r="EO46" s="84">
        <f t="shared" si="442"/>
        <v>0</v>
      </c>
      <c r="EP46" s="84">
        <f t="shared" si="442"/>
        <v>0</v>
      </c>
      <c r="EQ46" s="84">
        <f t="shared" si="442"/>
        <v>0</v>
      </c>
      <c r="ER46" s="84">
        <f t="shared" si="442"/>
        <v>0</v>
      </c>
      <c r="ES46" s="84">
        <f t="shared" si="442"/>
        <v>0</v>
      </c>
      <c r="ET46" s="84">
        <f t="shared" si="442"/>
        <v>0</v>
      </c>
      <c r="EU46" s="84">
        <f t="shared" si="442"/>
        <v>0</v>
      </c>
      <c r="EV46" s="84">
        <f t="shared" si="442"/>
        <v>0</v>
      </c>
      <c r="EW46" s="84">
        <f t="shared" si="442"/>
        <v>0</v>
      </c>
      <c r="EX46" s="84">
        <f t="shared" si="442"/>
        <v>0</v>
      </c>
      <c r="EY46" s="84">
        <f t="shared" si="442"/>
        <v>0</v>
      </c>
      <c r="EZ46" s="84">
        <f t="shared" si="442"/>
        <v>0</v>
      </c>
      <c r="FA46" s="84">
        <f t="shared" si="442"/>
        <v>0</v>
      </c>
      <c r="FB46" s="84">
        <f t="shared" si="442"/>
        <v>0</v>
      </c>
      <c r="FC46" s="84">
        <f t="shared" si="442"/>
        <v>0</v>
      </c>
      <c r="FD46" s="84">
        <f t="shared" si="442"/>
        <v>0</v>
      </c>
      <c r="FE46" s="84">
        <f t="shared" si="442"/>
        <v>0</v>
      </c>
      <c r="FF46" s="84">
        <f t="shared" si="442"/>
        <v>0</v>
      </c>
      <c r="FG46" s="84">
        <f t="shared" si="442"/>
        <v>0</v>
      </c>
      <c r="FH46" s="84">
        <f t="shared" si="442"/>
        <v>0</v>
      </c>
      <c r="FI46" s="84">
        <f t="shared" ref="FI46:GF46" si="443">-FI13</f>
        <v>0</v>
      </c>
      <c r="FJ46" s="84">
        <f t="shared" si="443"/>
        <v>0</v>
      </c>
      <c r="FK46" s="84">
        <f t="shared" si="443"/>
        <v>0</v>
      </c>
      <c r="FL46" s="84">
        <f t="shared" si="443"/>
        <v>0</v>
      </c>
      <c r="FM46" s="84">
        <f t="shared" si="443"/>
        <v>0</v>
      </c>
      <c r="FN46" s="84">
        <f t="shared" si="443"/>
        <v>0</v>
      </c>
      <c r="FO46" s="84">
        <f t="shared" si="443"/>
        <v>0</v>
      </c>
      <c r="FP46" s="84">
        <f t="shared" si="443"/>
        <v>0</v>
      </c>
      <c r="FQ46" s="84">
        <f t="shared" si="443"/>
        <v>0</v>
      </c>
      <c r="FR46" s="84">
        <f t="shared" si="443"/>
        <v>0</v>
      </c>
      <c r="FS46" s="84">
        <f t="shared" si="443"/>
        <v>0</v>
      </c>
      <c r="FT46" s="84">
        <f t="shared" si="443"/>
        <v>0</v>
      </c>
      <c r="FU46" s="84">
        <f t="shared" si="443"/>
        <v>0</v>
      </c>
      <c r="FV46" s="84">
        <f t="shared" si="443"/>
        <v>0</v>
      </c>
      <c r="FW46" s="84">
        <f t="shared" si="443"/>
        <v>0</v>
      </c>
      <c r="FX46" s="84">
        <f t="shared" si="443"/>
        <v>0</v>
      </c>
      <c r="FY46" s="84">
        <f t="shared" si="443"/>
        <v>0</v>
      </c>
      <c r="FZ46" s="84">
        <f t="shared" si="443"/>
        <v>0</v>
      </c>
      <c r="GA46" s="84">
        <f t="shared" si="443"/>
        <v>0</v>
      </c>
      <c r="GB46" s="84">
        <f t="shared" si="443"/>
        <v>0</v>
      </c>
      <c r="GC46" s="84">
        <f t="shared" si="443"/>
        <v>0</v>
      </c>
      <c r="GD46" s="84">
        <f t="shared" si="443"/>
        <v>0</v>
      </c>
      <c r="GE46" s="84">
        <f t="shared" si="443"/>
        <v>0</v>
      </c>
      <c r="GF46" s="102">
        <f t="shared" si="443"/>
        <v>0</v>
      </c>
    </row>
    <row r="47" spans="2:188" s="1" customFormat="1" x14ac:dyDescent="0.3">
      <c r="C47" s="103" t="s">
        <v>675</v>
      </c>
      <c r="D47" s="84">
        <f>SUM(E47:GF47)</f>
        <v>-600.3449582210493</v>
      </c>
      <c r="E47" s="88"/>
      <c r="F47" s="88">
        <f t="shared" ref="F47:AK47" si="444">IF(MOD(F36,3)=1,-SUM(D27:F27),0)</f>
        <v>0</v>
      </c>
      <c r="G47" s="88">
        <f t="shared" si="444"/>
        <v>0</v>
      </c>
      <c r="H47" s="88">
        <f t="shared" si="444"/>
        <v>-8.1917808219178081</v>
      </c>
      <c r="I47" s="88">
        <f t="shared" si="444"/>
        <v>0</v>
      </c>
      <c r="J47" s="88">
        <f t="shared" si="444"/>
        <v>0</v>
      </c>
      <c r="K47" s="88">
        <f t="shared" si="444"/>
        <v>-12.998633879781421</v>
      </c>
      <c r="L47" s="88">
        <f t="shared" si="444"/>
        <v>0</v>
      </c>
      <c r="M47" s="88">
        <f t="shared" si="444"/>
        <v>0</v>
      </c>
      <c r="N47" s="88">
        <f t="shared" si="444"/>
        <v>-15.539617486338798</v>
      </c>
      <c r="O47" s="88">
        <f t="shared" si="444"/>
        <v>0</v>
      </c>
      <c r="P47" s="88">
        <f t="shared" si="444"/>
        <v>0</v>
      </c>
      <c r="Q47" s="88">
        <f t="shared" si="444"/>
        <v>-16.967213114754099</v>
      </c>
      <c r="R47" s="88">
        <f t="shared" si="444"/>
        <v>0</v>
      </c>
      <c r="S47" s="88">
        <f t="shared" si="444"/>
        <v>0</v>
      </c>
      <c r="T47" s="88">
        <f t="shared" si="444"/>
        <v>-16.967213114754099</v>
      </c>
      <c r="U47" s="88">
        <f t="shared" si="444"/>
        <v>0</v>
      </c>
      <c r="V47" s="88">
        <f t="shared" si="444"/>
        <v>0</v>
      </c>
      <c r="W47" s="88">
        <f t="shared" si="444"/>
        <v>-16.643835616438356</v>
      </c>
      <c r="X47" s="88">
        <f t="shared" si="444"/>
        <v>0</v>
      </c>
      <c r="Y47" s="88">
        <f t="shared" si="444"/>
        <v>0</v>
      </c>
      <c r="Z47" s="88">
        <f t="shared" si="444"/>
        <v>-16.828767123287669</v>
      </c>
      <c r="AA47" s="88">
        <f t="shared" si="444"/>
        <v>0</v>
      </c>
      <c r="AB47" s="88">
        <f t="shared" si="444"/>
        <v>0</v>
      </c>
      <c r="AC47" s="88">
        <f t="shared" si="444"/>
        <v>-17.013698630136986</v>
      </c>
      <c r="AD47" s="88">
        <f t="shared" si="444"/>
        <v>0</v>
      </c>
      <c r="AE47" s="88">
        <f t="shared" si="444"/>
        <v>0</v>
      </c>
      <c r="AF47" s="88">
        <f t="shared" si="444"/>
        <v>-17.013698630136986</v>
      </c>
      <c r="AG47" s="88">
        <f t="shared" si="444"/>
        <v>0</v>
      </c>
      <c r="AH47" s="88">
        <f t="shared" si="444"/>
        <v>0</v>
      </c>
      <c r="AI47" s="88">
        <f t="shared" si="444"/>
        <v>-16.643835616438356</v>
      </c>
      <c r="AJ47" s="88">
        <f t="shared" si="444"/>
        <v>0</v>
      </c>
      <c r="AK47" s="88">
        <f t="shared" si="444"/>
        <v>0</v>
      </c>
      <c r="AL47" s="88">
        <f t="shared" ref="AL47:BQ47" si="445">IF(MOD(AL36,3)=1,-SUM(AJ27:AL27),0)</f>
        <v>-16.828767123287669</v>
      </c>
      <c r="AM47" s="88">
        <f t="shared" si="445"/>
        <v>0</v>
      </c>
      <c r="AN47" s="88">
        <f t="shared" si="445"/>
        <v>0</v>
      </c>
      <c r="AO47" s="88">
        <f t="shared" si="445"/>
        <v>-17.013698630136986</v>
      </c>
      <c r="AP47" s="88">
        <f t="shared" si="445"/>
        <v>0</v>
      </c>
      <c r="AQ47" s="88">
        <f t="shared" si="445"/>
        <v>0</v>
      </c>
      <c r="AR47" s="88">
        <f t="shared" si="445"/>
        <v>-17.013698630136986</v>
      </c>
      <c r="AS47" s="88">
        <f t="shared" si="445"/>
        <v>0</v>
      </c>
      <c r="AT47" s="88">
        <f t="shared" si="445"/>
        <v>0</v>
      </c>
      <c r="AU47" s="88">
        <f t="shared" si="445"/>
        <v>-16.297089041095891</v>
      </c>
      <c r="AV47" s="88">
        <f t="shared" si="445"/>
        <v>0</v>
      </c>
      <c r="AW47" s="88">
        <f t="shared" si="445"/>
        <v>0</v>
      </c>
      <c r="AX47" s="88">
        <f t="shared" si="445"/>
        <v>-16.127568493150683</v>
      </c>
      <c r="AY47" s="88">
        <f t="shared" si="445"/>
        <v>0</v>
      </c>
      <c r="AZ47" s="88">
        <f t="shared" si="445"/>
        <v>0</v>
      </c>
      <c r="BA47" s="88">
        <f t="shared" si="445"/>
        <v>-15.950342465753424</v>
      </c>
      <c r="BB47" s="88">
        <f t="shared" si="445"/>
        <v>0</v>
      </c>
      <c r="BC47" s="88">
        <f t="shared" si="445"/>
        <v>0</v>
      </c>
      <c r="BD47" s="88">
        <f t="shared" si="445"/>
        <v>-15.595890410958905</v>
      </c>
      <c r="BE47" s="88">
        <f t="shared" si="445"/>
        <v>0</v>
      </c>
      <c r="BF47" s="88">
        <f t="shared" si="445"/>
        <v>0</v>
      </c>
      <c r="BG47" s="88">
        <f t="shared" si="445"/>
        <v>-15.034579918032787</v>
      </c>
      <c r="BH47" s="88">
        <f t="shared" si="445"/>
        <v>0</v>
      </c>
      <c r="BI47" s="88">
        <f t="shared" si="445"/>
        <v>0</v>
      </c>
      <c r="BJ47" s="88">
        <f t="shared" si="445"/>
        <v>-14.684938524590164</v>
      </c>
      <c r="BK47" s="88">
        <f t="shared" si="445"/>
        <v>0</v>
      </c>
      <c r="BL47" s="88">
        <f t="shared" si="445"/>
        <v>0</v>
      </c>
      <c r="BM47" s="88">
        <f t="shared" si="445"/>
        <v>-14.492827868852459</v>
      </c>
      <c r="BN47" s="88">
        <f t="shared" si="445"/>
        <v>0</v>
      </c>
      <c r="BO47" s="88">
        <f t="shared" si="445"/>
        <v>0</v>
      </c>
      <c r="BP47" s="88">
        <f t="shared" si="445"/>
        <v>-14.139344262295083</v>
      </c>
      <c r="BQ47" s="88">
        <f t="shared" si="445"/>
        <v>0</v>
      </c>
      <c r="BR47" s="88">
        <f t="shared" ref="BR47:CW47" si="446">IF(MOD(BR36,3)=1,-SUM(BP27:BR27),0)</f>
        <v>0</v>
      </c>
      <c r="BS47" s="88">
        <f t="shared" si="446"/>
        <v>-13.523116438356166</v>
      </c>
      <c r="BT47" s="88">
        <f t="shared" si="446"/>
        <v>0</v>
      </c>
      <c r="BU47" s="88">
        <f t="shared" si="446"/>
        <v>0</v>
      </c>
      <c r="BV47" s="88">
        <f t="shared" si="446"/>
        <v>-13.322773972602739</v>
      </c>
      <c r="BW47" s="88">
        <f t="shared" si="446"/>
        <v>0</v>
      </c>
      <c r="BX47" s="88">
        <f t="shared" si="446"/>
        <v>0</v>
      </c>
      <c r="BY47" s="88">
        <f t="shared" si="446"/>
        <v>-13.114726027397261</v>
      </c>
      <c r="BZ47" s="88">
        <f t="shared" si="446"/>
        <v>0</v>
      </c>
      <c r="CA47" s="88">
        <f t="shared" si="446"/>
        <v>0</v>
      </c>
      <c r="CB47" s="88">
        <f t="shared" si="446"/>
        <v>-12.760273972602741</v>
      </c>
      <c r="CC47" s="88">
        <f t="shared" si="446"/>
        <v>0</v>
      </c>
      <c r="CD47" s="88">
        <f t="shared" si="446"/>
        <v>0</v>
      </c>
      <c r="CE47" s="88">
        <f t="shared" si="446"/>
        <v>-12.136130136986303</v>
      </c>
      <c r="CF47" s="88">
        <f t="shared" si="446"/>
        <v>0</v>
      </c>
      <c r="CG47" s="88">
        <f t="shared" si="446"/>
        <v>0</v>
      </c>
      <c r="CH47" s="88">
        <f t="shared" si="446"/>
        <v>-11.920376712328768</v>
      </c>
      <c r="CI47" s="88">
        <f t="shared" si="446"/>
        <v>0</v>
      </c>
      <c r="CJ47" s="88">
        <f t="shared" si="446"/>
        <v>0</v>
      </c>
      <c r="CK47" s="88">
        <f t="shared" si="446"/>
        <v>-11.696917808219178</v>
      </c>
      <c r="CL47" s="88">
        <f t="shared" si="446"/>
        <v>0</v>
      </c>
      <c r="CM47" s="88">
        <f t="shared" si="446"/>
        <v>0</v>
      </c>
      <c r="CN47" s="88">
        <f t="shared" si="446"/>
        <v>-11.342465753424658</v>
      </c>
      <c r="CO47" s="88">
        <f t="shared" si="446"/>
        <v>0</v>
      </c>
      <c r="CP47" s="88">
        <f t="shared" si="446"/>
        <v>0</v>
      </c>
      <c r="CQ47" s="88">
        <f t="shared" si="446"/>
        <v>-10.749143835616438</v>
      </c>
      <c r="CR47" s="88">
        <f t="shared" si="446"/>
        <v>0</v>
      </c>
      <c r="CS47" s="88">
        <f t="shared" si="446"/>
        <v>0</v>
      </c>
      <c r="CT47" s="88">
        <f t="shared" si="446"/>
        <v>-10.517979452054796</v>
      </c>
      <c r="CU47" s="88">
        <f t="shared" si="446"/>
        <v>0</v>
      </c>
      <c r="CV47" s="88">
        <f t="shared" si="446"/>
        <v>0</v>
      </c>
      <c r="CW47" s="88">
        <f t="shared" si="446"/>
        <v>-10.279109589041097</v>
      </c>
      <c r="CX47" s="88">
        <f t="shared" ref="CX47:EC47" si="447">IF(MOD(CX36,3)=1,-SUM(CV27:CX27),0)</f>
        <v>0</v>
      </c>
      <c r="CY47" s="88">
        <f t="shared" si="447"/>
        <v>0</v>
      </c>
      <c r="CZ47" s="88">
        <f t="shared" si="447"/>
        <v>-9.9246575342465739</v>
      </c>
      <c r="DA47" s="88">
        <f t="shared" si="447"/>
        <v>0</v>
      </c>
      <c r="DB47" s="88">
        <f t="shared" si="447"/>
        <v>0</v>
      </c>
      <c r="DC47" s="88">
        <f t="shared" si="447"/>
        <v>-9.4403176229508201</v>
      </c>
      <c r="DD47" s="88">
        <f t="shared" si="447"/>
        <v>0</v>
      </c>
      <c r="DE47" s="88">
        <f t="shared" si="447"/>
        <v>0</v>
      </c>
      <c r="DF47" s="88">
        <f t="shared" si="447"/>
        <v>-9.0906762295081975</v>
      </c>
      <c r="DG47" s="88">
        <f t="shared" si="447"/>
        <v>0</v>
      </c>
      <c r="DH47" s="88">
        <f t="shared" si="447"/>
        <v>0</v>
      </c>
      <c r="DI47" s="88">
        <f t="shared" si="447"/>
        <v>-8.8370901639344268</v>
      </c>
      <c r="DJ47" s="88">
        <f t="shared" si="447"/>
        <v>0</v>
      </c>
      <c r="DK47" s="88">
        <f t="shared" si="447"/>
        <v>0</v>
      </c>
      <c r="DL47" s="88">
        <f t="shared" si="447"/>
        <v>-8.4836065573770494</v>
      </c>
      <c r="DM47" s="88">
        <f t="shared" si="447"/>
        <v>0</v>
      </c>
      <c r="DN47" s="88">
        <f t="shared" si="447"/>
        <v>0</v>
      </c>
      <c r="DO47" s="88">
        <f t="shared" si="447"/>
        <v>-7.9751712328767121</v>
      </c>
      <c r="DP47" s="88">
        <f t="shared" si="447"/>
        <v>0</v>
      </c>
      <c r="DQ47" s="88">
        <f t="shared" si="447"/>
        <v>0</v>
      </c>
      <c r="DR47" s="88">
        <f t="shared" si="447"/>
        <v>-7.7131849315068504</v>
      </c>
      <c r="DS47" s="88">
        <f t="shared" si="447"/>
        <v>0</v>
      </c>
      <c r="DT47" s="88">
        <f t="shared" si="447"/>
        <v>0</v>
      </c>
      <c r="DU47" s="88">
        <f t="shared" si="447"/>
        <v>-7.4434931506849313</v>
      </c>
      <c r="DV47" s="88">
        <f t="shared" si="447"/>
        <v>0</v>
      </c>
      <c r="DW47" s="88">
        <f t="shared" si="447"/>
        <v>0</v>
      </c>
      <c r="DX47" s="88">
        <f t="shared" si="447"/>
        <v>-7.0890410958904102</v>
      </c>
      <c r="DY47" s="88">
        <f t="shared" si="447"/>
        <v>0</v>
      </c>
      <c r="DZ47" s="88">
        <f t="shared" si="447"/>
        <v>0</v>
      </c>
      <c r="EA47" s="88">
        <f t="shared" si="447"/>
        <v>-6.5881849315068486</v>
      </c>
      <c r="EB47" s="88">
        <f t="shared" si="447"/>
        <v>0</v>
      </c>
      <c r="EC47" s="88">
        <f t="shared" si="447"/>
        <v>0</v>
      </c>
      <c r="ED47" s="88">
        <f t="shared" ref="ED47:FI47" si="448">IF(MOD(ED36,3)=1,-SUM(EB27:ED27),0)</f>
        <v>-6.3107876712328768</v>
      </c>
      <c r="EE47" s="88">
        <f t="shared" si="448"/>
        <v>0</v>
      </c>
      <c r="EF47" s="88">
        <f t="shared" si="448"/>
        <v>0</v>
      </c>
      <c r="EG47" s="88">
        <f t="shared" si="448"/>
        <v>-6.0256849315068495</v>
      </c>
      <c r="EH47" s="88">
        <f t="shared" si="448"/>
        <v>0</v>
      </c>
      <c r="EI47" s="88">
        <f t="shared" si="448"/>
        <v>0</v>
      </c>
      <c r="EJ47" s="88">
        <f t="shared" si="448"/>
        <v>-5.6712328767123292</v>
      </c>
      <c r="EK47" s="88">
        <f t="shared" si="448"/>
        <v>0</v>
      </c>
      <c r="EL47" s="88">
        <f t="shared" si="448"/>
        <v>0</v>
      </c>
      <c r="EM47" s="88">
        <f t="shared" si="448"/>
        <v>-5.2011986301369859</v>
      </c>
      <c r="EN47" s="88">
        <f t="shared" si="448"/>
        <v>0</v>
      </c>
      <c r="EO47" s="88">
        <f t="shared" si="448"/>
        <v>0</v>
      </c>
      <c r="EP47" s="88">
        <f t="shared" si="448"/>
        <v>-4.908390410958904</v>
      </c>
      <c r="EQ47" s="88">
        <f t="shared" si="448"/>
        <v>0</v>
      </c>
      <c r="ER47" s="88">
        <f t="shared" si="448"/>
        <v>0</v>
      </c>
      <c r="ES47" s="88">
        <f t="shared" si="448"/>
        <v>-4.6078767123287676</v>
      </c>
      <c r="ET47" s="88">
        <f t="shared" si="448"/>
        <v>0</v>
      </c>
      <c r="EU47" s="88">
        <f t="shared" si="448"/>
        <v>0</v>
      </c>
      <c r="EV47" s="88">
        <f t="shared" si="448"/>
        <v>-4.2534246575342465</v>
      </c>
      <c r="EW47" s="88">
        <f t="shared" si="448"/>
        <v>0</v>
      </c>
      <c r="EX47" s="88">
        <f t="shared" si="448"/>
        <v>0</v>
      </c>
      <c r="EY47" s="88">
        <f t="shared" si="448"/>
        <v>-3.8460553278688518</v>
      </c>
      <c r="EZ47" s="88">
        <f t="shared" si="448"/>
        <v>0</v>
      </c>
      <c r="FA47" s="88">
        <f t="shared" si="448"/>
        <v>0</v>
      </c>
      <c r="FB47" s="88">
        <f t="shared" si="448"/>
        <v>-3.4964139344262293</v>
      </c>
      <c r="FC47" s="88">
        <f t="shared" si="448"/>
        <v>0</v>
      </c>
      <c r="FD47" s="88">
        <f t="shared" si="448"/>
        <v>0</v>
      </c>
      <c r="FE47" s="88">
        <f t="shared" si="448"/>
        <v>-3.1813524590163933</v>
      </c>
      <c r="FF47" s="88">
        <f t="shared" si="448"/>
        <v>0</v>
      </c>
      <c r="FG47" s="88">
        <f t="shared" si="448"/>
        <v>0</v>
      </c>
      <c r="FH47" s="88">
        <f t="shared" si="448"/>
        <v>-2.8278688524590163</v>
      </c>
      <c r="FI47" s="88">
        <f t="shared" si="448"/>
        <v>0</v>
      </c>
      <c r="FJ47" s="88">
        <f t="shared" ref="FJ47:FT47" si="449">IF(MOD(FJ36,3)=1,-SUM(FH27:FJ27),0)</f>
        <v>0</v>
      </c>
      <c r="FK47" s="88">
        <f t="shared" si="449"/>
        <v>-2.4272260273972606</v>
      </c>
      <c r="FL47" s="88">
        <f t="shared" si="449"/>
        <v>0</v>
      </c>
      <c r="FM47" s="88">
        <f t="shared" si="449"/>
        <v>0</v>
      </c>
      <c r="FN47" s="88">
        <f t="shared" si="449"/>
        <v>-2.1035958904109586</v>
      </c>
      <c r="FO47" s="88">
        <f t="shared" si="449"/>
        <v>0</v>
      </c>
      <c r="FP47" s="88">
        <f t="shared" si="449"/>
        <v>0</v>
      </c>
      <c r="FQ47" s="88">
        <f t="shared" si="449"/>
        <v>-1.7722602739726028</v>
      </c>
      <c r="FR47" s="88">
        <f t="shared" si="449"/>
        <v>0</v>
      </c>
      <c r="FS47" s="88">
        <f t="shared" si="449"/>
        <v>0</v>
      </c>
      <c r="FT47" s="88">
        <f t="shared" si="449"/>
        <v>-1.4178082191780823</v>
      </c>
      <c r="FU47" s="88">
        <f t="shared" ref="FU47" si="450">IF(MOD(FU36,3)=1,-SUM(FS27:FU27),0)</f>
        <v>0</v>
      </c>
      <c r="FV47" s="88">
        <f t="shared" ref="FV47" si="451">IF(MOD(FV36,3)=1,-SUM(FT27:FV27),0)</f>
        <v>0</v>
      </c>
      <c r="FW47" s="88">
        <f t="shared" ref="FW47" si="452">IF(MOD(FW36,3)=1,-SUM(FU27:FW27),0)</f>
        <v>-0.35830479452054792</v>
      </c>
      <c r="FX47" s="88">
        <f t="shared" ref="FX47" si="453">IF(MOD(FX36,3)=1,-SUM(FV27:FX27),0)</f>
        <v>0</v>
      </c>
      <c r="FY47" s="88">
        <f t="shared" ref="FY47" si="454">IF(MOD(FY36,3)=1,-SUM(FW27:FY27),0)</f>
        <v>0</v>
      </c>
      <c r="FZ47" s="88">
        <f t="shared" ref="FZ47" si="455">IF(MOD(FZ36,3)=1,-SUM(FX27:FZ27),0)</f>
        <v>0</v>
      </c>
      <c r="GA47" s="88">
        <f t="shared" ref="GA47" si="456">IF(MOD(GA36,3)=1,-SUM(FY27:GA27),0)</f>
        <v>0</v>
      </c>
      <c r="GB47" s="88">
        <f t="shared" ref="GB47" si="457">IF(MOD(GB36,3)=1,-SUM(FZ27:GB27),0)</f>
        <v>0</v>
      </c>
      <c r="GC47" s="88">
        <f t="shared" ref="GC47" si="458">IF(MOD(GC36,3)=1,-SUM(GA27:GC27),0)</f>
        <v>0</v>
      </c>
      <c r="GD47" s="88">
        <f t="shared" ref="GD47" si="459">IF(MOD(GD36,3)=1,-SUM(GB27:GD27),0)</f>
        <v>0</v>
      </c>
      <c r="GE47" s="88">
        <f t="shared" ref="GE47" si="460">IF(MOD(GE36,3)=1,-SUM(GC27:GE27),0)</f>
        <v>0</v>
      </c>
      <c r="GF47" s="100">
        <f t="shared" ref="GF47" si="461">IF(MOD(GF36,3)=1,-SUM(GD27:GF27),0)</f>
        <v>0</v>
      </c>
    </row>
    <row r="48" spans="2:188" s="1" customFormat="1" x14ac:dyDescent="0.3">
      <c r="C48" s="103" t="s">
        <v>676</v>
      </c>
      <c r="D48" s="84">
        <f>D49+D52</f>
        <v>-37360.389325348551</v>
      </c>
      <c r="E48" s="88">
        <f>E49+E52</f>
        <v>0</v>
      </c>
      <c r="F48" s="88">
        <f t="shared" ref="F48:BQ48" si="462">F49+F52</f>
        <v>0</v>
      </c>
      <c r="G48" s="88">
        <f t="shared" si="462"/>
        <v>0</v>
      </c>
      <c r="H48" s="88">
        <f t="shared" si="462"/>
        <v>-139.36559178082192</v>
      </c>
      <c r="I48" s="88">
        <f t="shared" si="462"/>
        <v>0</v>
      </c>
      <c r="J48" s="88">
        <f t="shared" si="462"/>
        <v>0</v>
      </c>
      <c r="K48" s="88">
        <f t="shared" si="462"/>
        <v>-220.73151092896174</v>
      </c>
      <c r="L48" s="88">
        <f t="shared" si="462"/>
        <v>0</v>
      </c>
      <c r="M48" s="88">
        <f t="shared" si="462"/>
        <v>0</v>
      </c>
      <c r="N48" s="88">
        <f t="shared" si="462"/>
        <v>-270.55901639344262</v>
      </c>
      <c r="O48" s="88">
        <f t="shared" si="462"/>
        <v>0</v>
      </c>
      <c r="P48" s="88">
        <f t="shared" si="462"/>
        <v>0</v>
      </c>
      <c r="Q48" s="88">
        <f t="shared" si="462"/>
        <v>-291.52174863387978</v>
      </c>
      <c r="R48" s="88">
        <f t="shared" si="462"/>
        <v>0</v>
      </c>
      <c r="S48" s="88">
        <f t="shared" si="462"/>
        <v>0</v>
      </c>
      <c r="T48" s="88">
        <f t="shared" si="462"/>
        <v>-288.66076229508195</v>
      </c>
      <c r="U48" s="88">
        <f t="shared" si="462"/>
        <v>0</v>
      </c>
      <c r="V48" s="88">
        <f t="shared" si="462"/>
        <v>0</v>
      </c>
      <c r="W48" s="88">
        <f t="shared" si="462"/>
        <v>-286.45372602739729</v>
      </c>
      <c r="X48" s="88">
        <f t="shared" si="462"/>
        <v>0</v>
      </c>
      <c r="Y48" s="88">
        <f t="shared" si="462"/>
        <v>0</v>
      </c>
      <c r="Z48" s="88">
        <f t="shared" si="462"/>
        <v>-293.00429589041096</v>
      </c>
      <c r="AA48" s="88">
        <f t="shared" si="462"/>
        <v>0</v>
      </c>
      <c r="AB48" s="88">
        <f t="shared" si="462"/>
        <v>0</v>
      </c>
      <c r="AC48" s="88">
        <f t="shared" si="462"/>
        <v>-292.81936438356161</v>
      </c>
      <c r="AD48" s="88">
        <f t="shared" si="462"/>
        <v>0</v>
      </c>
      <c r="AE48" s="88">
        <f t="shared" si="462"/>
        <v>0</v>
      </c>
      <c r="AF48" s="88">
        <f t="shared" si="462"/>
        <v>-289.45161369863013</v>
      </c>
      <c r="AG48" s="88">
        <f t="shared" si="462"/>
        <v>0</v>
      </c>
      <c r="AH48" s="88">
        <f t="shared" si="462"/>
        <v>0</v>
      </c>
      <c r="AI48" s="88">
        <f t="shared" si="462"/>
        <v>-286.45372602739729</v>
      </c>
      <c r="AJ48" s="88">
        <f t="shared" si="462"/>
        <v>0</v>
      </c>
      <c r="AK48" s="88">
        <f t="shared" si="462"/>
        <v>0</v>
      </c>
      <c r="AL48" s="88">
        <f t="shared" si="462"/>
        <v>-293.00429589041096</v>
      </c>
      <c r="AM48" s="88">
        <f t="shared" si="462"/>
        <v>0</v>
      </c>
      <c r="AN48" s="88">
        <f t="shared" si="462"/>
        <v>0</v>
      </c>
      <c r="AO48" s="88">
        <f t="shared" si="462"/>
        <v>-292.81936438356161</v>
      </c>
      <c r="AP48" s="88">
        <f t="shared" si="462"/>
        <v>0</v>
      </c>
      <c r="AQ48" s="88">
        <f t="shared" si="462"/>
        <v>0</v>
      </c>
      <c r="AR48" s="88">
        <f t="shared" si="462"/>
        <v>-851.95161369863013</v>
      </c>
      <c r="AS48" s="88">
        <f t="shared" si="462"/>
        <v>0</v>
      </c>
      <c r="AT48" s="88">
        <f t="shared" si="462"/>
        <v>0</v>
      </c>
      <c r="AU48" s="88">
        <f t="shared" si="462"/>
        <v>-842.98594006849316</v>
      </c>
      <c r="AV48" s="88">
        <f t="shared" si="462"/>
        <v>0</v>
      </c>
      <c r="AW48" s="88">
        <f t="shared" si="462"/>
        <v>0</v>
      </c>
      <c r="AX48" s="88">
        <f t="shared" si="462"/>
        <v>-843.29578356164382</v>
      </c>
      <c r="AY48" s="88">
        <f t="shared" si="462"/>
        <v>0</v>
      </c>
      <c r="AZ48" s="88">
        <f t="shared" si="462"/>
        <v>0</v>
      </c>
      <c r="BA48" s="88">
        <f t="shared" si="462"/>
        <v>-837.01815410958898</v>
      </c>
      <c r="BB48" s="88">
        <f t="shared" si="462"/>
        <v>0</v>
      </c>
      <c r="BC48" s="88">
        <f t="shared" si="462"/>
        <v>0</v>
      </c>
      <c r="BD48" s="88">
        <f t="shared" si="462"/>
        <v>-827.83064589041089</v>
      </c>
      <c r="BE48" s="88">
        <f t="shared" si="462"/>
        <v>0</v>
      </c>
      <c r="BF48" s="88">
        <f t="shared" si="462"/>
        <v>0</v>
      </c>
      <c r="BG48" s="88">
        <f t="shared" si="462"/>
        <v>-821.2571480532788</v>
      </c>
      <c r="BH48" s="88">
        <f t="shared" si="462"/>
        <v>0</v>
      </c>
      <c r="BI48" s="88">
        <f t="shared" si="462"/>
        <v>0</v>
      </c>
      <c r="BJ48" s="88">
        <f t="shared" si="462"/>
        <v>-818.17827049180323</v>
      </c>
      <c r="BK48" s="88">
        <f t="shared" si="462"/>
        <v>0</v>
      </c>
      <c r="BL48" s="88">
        <f t="shared" si="462"/>
        <v>0</v>
      </c>
      <c r="BM48" s="88">
        <f t="shared" si="462"/>
        <v>-811.93316188524591</v>
      </c>
      <c r="BN48" s="88">
        <f t="shared" si="462"/>
        <v>0</v>
      </c>
      <c r="BO48" s="88">
        <f t="shared" si="462"/>
        <v>0</v>
      </c>
      <c r="BP48" s="88">
        <f t="shared" si="462"/>
        <v>-803.05063524590162</v>
      </c>
      <c r="BQ48" s="88">
        <f t="shared" si="462"/>
        <v>0</v>
      </c>
      <c r="BR48" s="88">
        <f t="shared" ref="BR48:EC48" si="463">BR49+BR52</f>
        <v>0</v>
      </c>
      <c r="BS48" s="88">
        <f t="shared" si="463"/>
        <v>-795.24365239726023</v>
      </c>
      <c r="BT48" s="88">
        <f t="shared" si="463"/>
        <v>0</v>
      </c>
      <c r="BU48" s="88">
        <f t="shared" si="463"/>
        <v>0</v>
      </c>
      <c r="BV48" s="88">
        <f t="shared" si="463"/>
        <v>-794.46173424657536</v>
      </c>
      <c r="BW48" s="88">
        <f t="shared" si="463"/>
        <v>0</v>
      </c>
      <c r="BX48" s="88">
        <f t="shared" si="463"/>
        <v>0</v>
      </c>
      <c r="BY48" s="88">
        <f t="shared" si="463"/>
        <v>-788.21492671232875</v>
      </c>
      <c r="BZ48" s="88">
        <f t="shared" si="463"/>
        <v>0</v>
      </c>
      <c r="CA48" s="88">
        <f t="shared" si="463"/>
        <v>0</v>
      </c>
      <c r="CB48" s="88">
        <f t="shared" si="463"/>
        <v>-779.58871027397265</v>
      </c>
      <c r="CC48" s="88">
        <f t="shared" si="463"/>
        <v>0</v>
      </c>
      <c r="CD48" s="88">
        <f t="shared" si="463"/>
        <v>0</v>
      </c>
      <c r="CE48" s="88">
        <f t="shared" si="463"/>
        <v>-771.37250856164383</v>
      </c>
      <c r="CF48" s="88">
        <f t="shared" si="463"/>
        <v>0</v>
      </c>
      <c r="CG48" s="88">
        <f t="shared" si="463"/>
        <v>0</v>
      </c>
      <c r="CH48" s="88">
        <f t="shared" si="463"/>
        <v>-770.04470958904108</v>
      </c>
      <c r="CI48" s="88">
        <f t="shared" si="463"/>
        <v>0</v>
      </c>
      <c r="CJ48" s="88">
        <f t="shared" si="463"/>
        <v>0</v>
      </c>
      <c r="CK48" s="88">
        <f t="shared" si="463"/>
        <v>-763.81331301369858</v>
      </c>
      <c r="CL48" s="88">
        <f t="shared" si="463"/>
        <v>0</v>
      </c>
      <c r="CM48" s="88">
        <f t="shared" si="463"/>
        <v>0</v>
      </c>
      <c r="CN48" s="88">
        <f t="shared" si="463"/>
        <v>-755.46774246575342</v>
      </c>
      <c r="CO48" s="88">
        <f t="shared" si="463"/>
        <v>0</v>
      </c>
      <c r="CP48" s="88">
        <f t="shared" si="463"/>
        <v>0</v>
      </c>
      <c r="CQ48" s="88">
        <f t="shared" si="463"/>
        <v>-747.5013647260273</v>
      </c>
      <c r="CR48" s="88">
        <f t="shared" si="463"/>
        <v>0</v>
      </c>
      <c r="CS48" s="88">
        <f t="shared" si="463"/>
        <v>0</v>
      </c>
      <c r="CT48" s="88">
        <f t="shared" si="463"/>
        <v>-745.62768493150679</v>
      </c>
      <c r="CU48" s="88">
        <f t="shared" si="463"/>
        <v>0</v>
      </c>
      <c r="CV48" s="88">
        <f t="shared" si="463"/>
        <v>0</v>
      </c>
      <c r="CW48" s="88">
        <f t="shared" si="463"/>
        <v>-739.41169931506852</v>
      </c>
      <c r="CX48" s="88">
        <f t="shared" si="463"/>
        <v>0</v>
      </c>
      <c r="CY48" s="88">
        <f t="shared" si="463"/>
        <v>0</v>
      </c>
      <c r="CZ48" s="88">
        <f t="shared" si="463"/>
        <v>-731.3467746575343</v>
      </c>
      <c r="DA48" s="88">
        <f t="shared" si="463"/>
        <v>0</v>
      </c>
      <c r="DB48" s="88">
        <f t="shared" si="463"/>
        <v>0</v>
      </c>
      <c r="DC48" s="88">
        <f t="shared" si="463"/>
        <v>-724.97541854508199</v>
      </c>
      <c r="DD48" s="88">
        <f t="shared" si="463"/>
        <v>0</v>
      </c>
      <c r="DE48" s="88">
        <f t="shared" si="463"/>
        <v>0</v>
      </c>
      <c r="DF48" s="88">
        <f t="shared" si="463"/>
        <v>-720.77702459016393</v>
      </c>
      <c r="DG48" s="88">
        <f t="shared" si="463"/>
        <v>0</v>
      </c>
      <c r="DH48" s="88">
        <f t="shared" si="463"/>
        <v>0</v>
      </c>
      <c r="DI48" s="88">
        <f t="shared" si="463"/>
        <v>-714.59339139344263</v>
      </c>
      <c r="DJ48" s="88">
        <f t="shared" si="463"/>
        <v>0</v>
      </c>
      <c r="DK48" s="88">
        <f t="shared" si="463"/>
        <v>0</v>
      </c>
      <c r="DL48" s="88">
        <f t="shared" si="463"/>
        <v>-706.83038114754095</v>
      </c>
      <c r="DM48" s="88">
        <f t="shared" si="463"/>
        <v>0</v>
      </c>
      <c r="DN48" s="88">
        <f t="shared" si="463"/>
        <v>0</v>
      </c>
      <c r="DO48" s="88">
        <f t="shared" si="463"/>
        <v>-699.75907705479449</v>
      </c>
      <c r="DP48" s="88">
        <f t="shared" si="463"/>
        <v>0</v>
      </c>
      <c r="DQ48" s="88">
        <f t="shared" si="463"/>
        <v>0</v>
      </c>
      <c r="DR48" s="88">
        <f t="shared" si="463"/>
        <v>-696.79363561643834</v>
      </c>
      <c r="DS48" s="88">
        <f t="shared" si="463"/>
        <v>0</v>
      </c>
      <c r="DT48" s="88">
        <f t="shared" si="463"/>
        <v>0</v>
      </c>
      <c r="DU48" s="88">
        <f t="shared" si="463"/>
        <v>-690.60847191780817</v>
      </c>
      <c r="DV48" s="88">
        <f t="shared" si="463"/>
        <v>0</v>
      </c>
      <c r="DW48" s="88">
        <f t="shared" si="463"/>
        <v>0</v>
      </c>
      <c r="DX48" s="88">
        <f t="shared" si="463"/>
        <v>-683.10483904109583</v>
      </c>
      <c r="DY48" s="88">
        <f t="shared" si="463"/>
        <v>0</v>
      </c>
      <c r="DZ48" s="88">
        <f t="shared" si="463"/>
        <v>0</v>
      </c>
      <c r="EA48" s="88">
        <f t="shared" si="463"/>
        <v>-675.88793321917808</v>
      </c>
      <c r="EB48" s="88">
        <f t="shared" si="463"/>
        <v>0</v>
      </c>
      <c r="EC48" s="88">
        <f t="shared" si="463"/>
        <v>0</v>
      </c>
      <c r="ED48" s="88">
        <f t="shared" ref="ED48:FT48" si="464">ED49+ED52</f>
        <v>-672.37661095890417</v>
      </c>
      <c r="EE48" s="88">
        <f t="shared" si="464"/>
        <v>0</v>
      </c>
      <c r="EF48" s="88">
        <f t="shared" si="464"/>
        <v>0</v>
      </c>
      <c r="EG48" s="88">
        <f t="shared" si="464"/>
        <v>-666.206858219178</v>
      </c>
      <c r="EH48" s="88">
        <f t="shared" si="464"/>
        <v>0</v>
      </c>
      <c r="EI48" s="88">
        <f t="shared" si="464"/>
        <v>0</v>
      </c>
      <c r="EJ48" s="88">
        <f t="shared" si="464"/>
        <v>-658.98387123287671</v>
      </c>
      <c r="EK48" s="88">
        <f t="shared" si="464"/>
        <v>0</v>
      </c>
      <c r="EL48" s="88">
        <f t="shared" si="464"/>
        <v>0</v>
      </c>
      <c r="EM48" s="88">
        <f t="shared" si="464"/>
        <v>-652.01678938356167</v>
      </c>
      <c r="EN48" s="88">
        <f t="shared" si="464"/>
        <v>0</v>
      </c>
      <c r="EO48" s="88">
        <f t="shared" si="464"/>
        <v>0</v>
      </c>
      <c r="EP48" s="88">
        <f t="shared" si="464"/>
        <v>-647.95958630136988</v>
      </c>
      <c r="EQ48" s="88">
        <f t="shared" si="464"/>
        <v>0</v>
      </c>
      <c r="ER48" s="88">
        <f t="shared" si="464"/>
        <v>0</v>
      </c>
      <c r="ES48" s="88">
        <f t="shared" si="464"/>
        <v>-641.80524452054794</v>
      </c>
      <c r="ET48" s="88">
        <f t="shared" si="464"/>
        <v>0</v>
      </c>
      <c r="EU48" s="88">
        <f t="shared" si="464"/>
        <v>0</v>
      </c>
      <c r="EV48" s="88">
        <f t="shared" si="464"/>
        <v>-634.86290342465759</v>
      </c>
      <c r="EW48" s="88">
        <f t="shared" si="464"/>
        <v>0</v>
      </c>
      <c r="EX48" s="88">
        <f t="shared" si="464"/>
        <v>0</v>
      </c>
      <c r="EY48" s="88">
        <f t="shared" si="464"/>
        <v>-628.69368903688519</v>
      </c>
      <c r="EZ48" s="88">
        <f t="shared" si="464"/>
        <v>0</v>
      </c>
      <c r="FA48" s="88">
        <f t="shared" si="464"/>
        <v>0</v>
      </c>
      <c r="FB48" s="88">
        <f t="shared" si="464"/>
        <v>-623.37577868852463</v>
      </c>
      <c r="FC48" s="88">
        <f t="shared" si="464"/>
        <v>0</v>
      </c>
      <c r="FD48" s="88">
        <f t="shared" si="464"/>
        <v>0</v>
      </c>
      <c r="FE48" s="88">
        <f t="shared" si="464"/>
        <v>-617.25362090163935</v>
      </c>
      <c r="FF48" s="88">
        <f t="shared" si="464"/>
        <v>0</v>
      </c>
      <c r="FG48" s="88">
        <f t="shared" si="464"/>
        <v>0</v>
      </c>
      <c r="FH48" s="88">
        <f t="shared" si="464"/>
        <v>-610.61012704918028</v>
      </c>
      <c r="FI48" s="88">
        <f t="shared" si="464"/>
        <v>0</v>
      </c>
      <c r="FJ48" s="88">
        <f t="shared" si="464"/>
        <v>0</v>
      </c>
      <c r="FK48" s="88">
        <f t="shared" si="464"/>
        <v>-604.27450171232874</v>
      </c>
      <c r="FL48" s="88">
        <f t="shared" si="464"/>
        <v>0</v>
      </c>
      <c r="FM48" s="88">
        <f t="shared" si="464"/>
        <v>0</v>
      </c>
      <c r="FN48" s="88">
        <f t="shared" si="464"/>
        <v>-599.12553698630131</v>
      </c>
      <c r="FO48" s="88">
        <f t="shared" si="464"/>
        <v>0</v>
      </c>
      <c r="FP48" s="88">
        <f t="shared" si="464"/>
        <v>0</v>
      </c>
      <c r="FQ48" s="88">
        <f t="shared" si="464"/>
        <v>-593.00201712328771</v>
      </c>
      <c r="FR48" s="88">
        <f t="shared" si="464"/>
        <v>0</v>
      </c>
      <c r="FS48" s="88">
        <f t="shared" si="464"/>
        <v>0</v>
      </c>
      <c r="FT48" s="88">
        <f t="shared" si="464"/>
        <v>-586.62096780821912</v>
      </c>
      <c r="FU48" s="88">
        <f t="shared" ref="FU48:GC48" si="465">FU49+FU52</f>
        <v>0</v>
      </c>
      <c r="FV48" s="88">
        <f t="shared" si="465"/>
        <v>0</v>
      </c>
      <c r="FW48" s="88">
        <f t="shared" si="465"/>
        <v>-581.08529280821915</v>
      </c>
      <c r="FX48" s="88">
        <f t="shared" si="465"/>
        <v>0</v>
      </c>
      <c r="FY48" s="88">
        <f t="shared" si="465"/>
        <v>0</v>
      </c>
      <c r="FZ48" s="88">
        <f t="shared" si="465"/>
        <v>-575.40971095890416</v>
      </c>
      <c r="GA48" s="88">
        <f t="shared" si="465"/>
        <v>0</v>
      </c>
      <c r="GB48" s="88">
        <f t="shared" si="465"/>
        <v>0</v>
      </c>
      <c r="GC48" s="88">
        <f t="shared" si="465"/>
        <v>-568.95485547945202</v>
      </c>
      <c r="GD48" s="88">
        <f t="shared" ref="GD48:GF48" si="466">GD49+GD52</f>
        <v>0</v>
      </c>
      <c r="GE48" s="88">
        <f t="shared" si="466"/>
        <v>0</v>
      </c>
      <c r="GF48" s="100">
        <f t="shared" si="466"/>
        <v>0</v>
      </c>
    </row>
    <row r="49" spans="3:192" s="1" customFormat="1" x14ac:dyDescent="0.3">
      <c r="C49" s="104" t="s">
        <v>680</v>
      </c>
      <c r="D49" s="84">
        <f>SUM(E49:GF49)</f>
        <v>-10360.389325348551</v>
      </c>
      <c r="E49" s="88">
        <f>IF(MOD(E36,3)=1,-(E43+E47),0)</f>
        <v>0</v>
      </c>
      <c r="F49" s="88">
        <f t="shared" ref="F49:BQ49" si="467">IF(MOD(F36,3)=1,-(F43+F47),0)</f>
        <v>0</v>
      </c>
      <c r="G49" s="88">
        <f t="shared" si="467"/>
        <v>0</v>
      </c>
      <c r="H49" s="88">
        <f t="shared" si="467"/>
        <v>-139.36559178082192</v>
      </c>
      <c r="I49" s="88">
        <f t="shared" si="467"/>
        <v>0</v>
      </c>
      <c r="J49" s="88">
        <f t="shared" si="467"/>
        <v>0</v>
      </c>
      <c r="K49" s="88">
        <f t="shared" si="467"/>
        <v>-220.73151092896174</v>
      </c>
      <c r="L49" s="88">
        <f t="shared" si="467"/>
        <v>0</v>
      </c>
      <c r="M49" s="88">
        <f t="shared" si="467"/>
        <v>0</v>
      </c>
      <c r="N49" s="88">
        <f t="shared" si="467"/>
        <v>-270.55901639344262</v>
      </c>
      <c r="O49" s="88">
        <f t="shared" si="467"/>
        <v>0</v>
      </c>
      <c r="P49" s="88">
        <f t="shared" si="467"/>
        <v>0</v>
      </c>
      <c r="Q49" s="88">
        <f t="shared" si="467"/>
        <v>-291.52174863387978</v>
      </c>
      <c r="R49" s="88">
        <f t="shared" si="467"/>
        <v>0</v>
      </c>
      <c r="S49" s="88">
        <f t="shared" si="467"/>
        <v>0</v>
      </c>
      <c r="T49" s="88">
        <f t="shared" si="467"/>
        <v>-288.66076229508195</v>
      </c>
      <c r="U49" s="88">
        <f t="shared" si="467"/>
        <v>0</v>
      </c>
      <c r="V49" s="88">
        <f t="shared" si="467"/>
        <v>0</v>
      </c>
      <c r="W49" s="88">
        <f t="shared" si="467"/>
        <v>-286.45372602739729</v>
      </c>
      <c r="X49" s="88">
        <f t="shared" si="467"/>
        <v>0</v>
      </c>
      <c r="Y49" s="88">
        <f t="shared" si="467"/>
        <v>0</v>
      </c>
      <c r="Z49" s="88">
        <f t="shared" si="467"/>
        <v>-293.00429589041096</v>
      </c>
      <c r="AA49" s="88">
        <f t="shared" si="467"/>
        <v>0</v>
      </c>
      <c r="AB49" s="88">
        <f t="shared" si="467"/>
        <v>0</v>
      </c>
      <c r="AC49" s="88">
        <f t="shared" si="467"/>
        <v>-292.81936438356161</v>
      </c>
      <c r="AD49" s="88">
        <f t="shared" si="467"/>
        <v>0</v>
      </c>
      <c r="AE49" s="88">
        <f t="shared" si="467"/>
        <v>0</v>
      </c>
      <c r="AF49" s="88">
        <f t="shared" si="467"/>
        <v>-289.45161369863013</v>
      </c>
      <c r="AG49" s="88">
        <f t="shared" si="467"/>
        <v>0</v>
      </c>
      <c r="AH49" s="88">
        <f t="shared" si="467"/>
        <v>0</v>
      </c>
      <c r="AI49" s="88">
        <f t="shared" si="467"/>
        <v>-286.45372602739729</v>
      </c>
      <c r="AJ49" s="88">
        <f t="shared" si="467"/>
        <v>0</v>
      </c>
      <c r="AK49" s="88">
        <f t="shared" si="467"/>
        <v>0</v>
      </c>
      <c r="AL49" s="88">
        <f t="shared" si="467"/>
        <v>-293.00429589041096</v>
      </c>
      <c r="AM49" s="88">
        <f t="shared" si="467"/>
        <v>0</v>
      </c>
      <c r="AN49" s="88">
        <f t="shared" si="467"/>
        <v>0</v>
      </c>
      <c r="AO49" s="88">
        <f t="shared" si="467"/>
        <v>-292.81936438356161</v>
      </c>
      <c r="AP49" s="88">
        <f t="shared" si="467"/>
        <v>0</v>
      </c>
      <c r="AQ49" s="88">
        <f t="shared" si="467"/>
        <v>0</v>
      </c>
      <c r="AR49" s="88">
        <f t="shared" si="467"/>
        <v>-289.45161369863013</v>
      </c>
      <c r="AS49" s="88">
        <f t="shared" si="467"/>
        <v>0</v>
      </c>
      <c r="AT49" s="88">
        <f t="shared" si="467"/>
        <v>0</v>
      </c>
      <c r="AU49" s="88">
        <f t="shared" si="467"/>
        <v>-280.48594006849311</v>
      </c>
      <c r="AV49" s="88">
        <f t="shared" si="467"/>
        <v>0</v>
      </c>
      <c r="AW49" s="88">
        <f t="shared" si="467"/>
        <v>0</v>
      </c>
      <c r="AX49" s="88">
        <f t="shared" si="467"/>
        <v>-280.79578356164382</v>
      </c>
      <c r="AY49" s="88">
        <f t="shared" si="467"/>
        <v>0</v>
      </c>
      <c r="AZ49" s="88">
        <f t="shared" si="467"/>
        <v>0</v>
      </c>
      <c r="BA49" s="88">
        <f t="shared" si="467"/>
        <v>-274.51815410958903</v>
      </c>
      <c r="BB49" s="88">
        <f t="shared" si="467"/>
        <v>0</v>
      </c>
      <c r="BC49" s="88">
        <f t="shared" si="467"/>
        <v>0</v>
      </c>
      <c r="BD49" s="88">
        <f t="shared" si="467"/>
        <v>-265.33064589041089</v>
      </c>
      <c r="BE49" s="88">
        <f t="shared" si="467"/>
        <v>0</v>
      </c>
      <c r="BF49" s="88">
        <f t="shared" si="467"/>
        <v>0</v>
      </c>
      <c r="BG49" s="88">
        <f t="shared" si="467"/>
        <v>-258.75714805327874</v>
      </c>
      <c r="BH49" s="88">
        <f t="shared" si="467"/>
        <v>0</v>
      </c>
      <c r="BI49" s="88">
        <f t="shared" si="467"/>
        <v>0</v>
      </c>
      <c r="BJ49" s="88">
        <f t="shared" si="467"/>
        <v>-255.67827049180323</v>
      </c>
      <c r="BK49" s="88">
        <f t="shared" si="467"/>
        <v>0</v>
      </c>
      <c r="BL49" s="88">
        <f t="shared" si="467"/>
        <v>0</v>
      </c>
      <c r="BM49" s="88">
        <f t="shared" si="467"/>
        <v>-249.43316188524588</v>
      </c>
      <c r="BN49" s="88">
        <f t="shared" si="467"/>
        <v>0</v>
      </c>
      <c r="BO49" s="88">
        <f t="shared" si="467"/>
        <v>0</v>
      </c>
      <c r="BP49" s="88">
        <f t="shared" si="467"/>
        <v>-240.55063524590159</v>
      </c>
      <c r="BQ49" s="88">
        <f t="shared" si="467"/>
        <v>0</v>
      </c>
      <c r="BR49" s="88">
        <f t="shared" ref="BR49:EC49" si="468">IF(MOD(BR36,3)=1,-(BR43+BR47),0)</f>
        <v>0</v>
      </c>
      <c r="BS49" s="88">
        <f t="shared" si="468"/>
        <v>-232.74365239726026</v>
      </c>
      <c r="BT49" s="88">
        <f t="shared" si="468"/>
        <v>0</v>
      </c>
      <c r="BU49" s="88">
        <f t="shared" si="468"/>
        <v>0</v>
      </c>
      <c r="BV49" s="88">
        <f t="shared" si="468"/>
        <v>-231.96173424657533</v>
      </c>
      <c r="BW49" s="88">
        <f t="shared" si="468"/>
        <v>0</v>
      </c>
      <c r="BX49" s="88">
        <f t="shared" si="468"/>
        <v>0</v>
      </c>
      <c r="BY49" s="88">
        <f t="shared" si="468"/>
        <v>-225.71492671232875</v>
      </c>
      <c r="BZ49" s="88">
        <f t="shared" si="468"/>
        <v>0</v>
      </c>
      <c r="CA49" s="88">
        <f t="shared" si="468"/>
        <v>0</v>
      </c>
      <c r="CB49" s="88">
        <f t="shared" si="468"/>
        <v>-217.08871027397262</v>
      </c>
      <c r="CC49" s="88">
        <f t="shared" si="468"/>
        <v>0</v>
      </c>
      <c r="CD49" s="88">
        <f t="shared" si="468"/>
        <v>0</v>
      </c>
      <c r="CE49" s="88">
        <f t="shared" si="468"/>
        <v>-208.87250856164383</v>
      </c>
      <c r="CF49" s="88">
        <f t="shared" si="468"/>
        <v>0</v>
      </c>
      <c r="CG49" s="88">
        <f t="shared" si="468"/>
        <v>0</v>
      </c>
      <c r="CH49" s="88">
        <f t="shared" si="468"/>
        <v>-207.54470958904105</v>
      </c>
      <c r="CI49" s="88">
        <f t="shared" si="468"/>
        <v>0</v>
      </c>
      <c r="CJ49" s="88">
        <f t="shared" si="468"/>
        <v>0</v>
      </c>
      <c r="CK49" s="88">
        <f t="shared" si="468"/>
        <v>-201.3133130136986</v>
      </c>
      <c r="CL49" s="88">
        <f t="shared" si="468"/>
        <v>0</v>
      </c>
      <c r="CM49" s="88">
        <f t="shared" si="468"/>
        <v>0</v>
      </c>
      <c r="CN49" s="88">
        <f t="shared" si="468"/>
        <v>-192.96774246575342</v>
      </c>
      <c r="CO49" s="88">
        <f t="shared" si="468"/>
        <v>0</v>
      </c>
      <c r="CP49" s="88">
        <f t="shared" si="468"/>
        <v>0</v>
      </c>
      <c r="CQ49" s="88">
        <f t="shared" si="468"/>
        <v>-185.00136472602736</v>
      </c>
      <c r="CR49" s="88">
        <f t="shared" si="468"/>
        <v>0</v>
      </c>
      <c r="CS49" s="88">
        <f t="shared" si="468"/>
        <v>0</v>
      </c>
      <c r="CT49" s="88">
        <f t="shared" si="468"/>
        <v>-183.12768493150682</v>
      </c>
      <c r="CU49" s="88">
        <f t="shared" si="468"/>
        <v>0</v>
      </c>
      <c r="CV49" s="88">
        <f t="shared" si="468"/>
        <v>0</v>
      </c>
      <c r="CW49" s="88">
        <f t="shared" si="468"/>
        <v>-176.91169931506846</v>
      </c>
      <c r="CX49" s="88">
        <f t="shared" si="468"/>
        <v>0</v>
      </c>
      <c r="CY49" s="88">
        <f t="shared" si="468"/>
        <v>0</v>
      </c>
      <c r="CZ49" s="88">
        <f t="shared" si="468"/>
        <v>-168.84677465753427</v>
      </c>
      <c r="DA49" s="88">
        <f t="shared" si="468"/>
        <v>0</v>
      </c>
      <c r="DB49" s="88">
        <f t="shared" si="468"/>
        <v>0</v>
      </c>
      <c r="DC49" s="88">
        <f t="shared" si="468"/>
        <v>-162.47541854508194</v>
      </c>
      <c r="DD49" s="88">
        <f t="shared" si="468"/>
        <v>0</v>
      </c>
      <c r="DE49" s="88">
        <f t="shared" si="468"/>
        <v>0</v>
      </c>
      <c r="DF49" s="88">
        <f t="shared" si="468"/>
        <v>-158.2770245901639</v>
      </c>
      <c r="DG49" s="88">
        <f t="shared" si="468"/>
        <v>0</v>
      </c>
      <c r="DH49" s="88">
        <f t="shared" si="468"/>
        <v>0</v>
      </c>
      <c r="DI49" s="88">
        <f t="shared" si="468"/>
        <v>-152.0933913934426</v>
      </c>
      <c r="DJ49" s="88">
        <f t="shared" si="468"/>
        <v>0</v>
      </c>
      <c r="DK49" s="88">
        <f t="shared" si="468"/>
        <v>0</v>
      </c>
      <c r="DL49" s="88">
        <f t="shared" si="468"/>
        <v>-144.33038114754098</v>
      </c>
      <c r="DM49" s="88">
        <f t="shared" si="468"/>
        <v>0</v>
      </c>
      <c r="DN49" s="88">
        <f t="shared" si="468"/>
        <v>0</v>
      </c>
      <c r="DO49" s="88">
        <f t="shared" si="468"/>
        <v>-137.25907705479452</v>
      </c>
      <c r="DP49" s="88">
        <f t="shared" si="468"/>
        <v>0</v>
      </c>
      <c r="DQ49" s="88">
        <f t="shared" si="468"/>
        <v>0</v>
      </c>
      <c r="DR49" s="88">
        <f t="shared" si="468"/>
        <v>-134.29363561643834</v>
      </c>
      <c r="DS49" s="88">
        <f t="shared" si="468"/>
        <v>0</v>
      </c>
      <c r="DT49" s="88">
        <f t="shared" si="468"/>
        <v>0</v>
      </c>
      <c r="DU49" s="88">
        <f t="shared" si="468"/>
        <v>-128.1084719178082</v>
      </c>
      <c r="DV49" s="88">
        <f t="shared" si="468"/>
        <v>0</v>
      </c>
      <c r="DW49" s="88">
        <f t="shared" si="468"/>
        <v>0</v>
      </c>
      <c r="DX49" s="88">
        <f t="shared" si="468"/>
        <v>-120.60483904109587</v>
      </c>
      <c r="DY49" s="88">
        <f t="shared" si="468"/>
        <v>0</v>
      </c>
      <c r="DZ49" s="88">
        <f t="shared" si="468"/>
        <v>0</v>
      </c>
      <c r="EA49" s="88">
        <f t="shared" si="468"/>
        <v>-113.38793321917808</v>
      </c>
      <c r="EB49" s="88">
        <f t="shared" si="468"/>
        <v>0</v>
      </c>
      <c r="EC49" s="88">
        <f t="shared" si="468"/>
        <v>0</v>
      </c>
      <c r="ED49" s="88">
        <f t="shared" ref="ED49:FT49" si="469">IF(MOD(ED36,3)=1,-(ED43+ED47),0)</f>
        <v>-109.87661095890411</v>
      </c>
      <c r="EE49" s="88">
        <f t="shared" si="469"/>
        <v>0</v>
      </c>
      <c r="EF49" s="88">
        <f t="shared" si="469"/>
        <v>0</v>
      </c>
      <c r="EG49" s="88">
        <f t="shared" si="469"/>
        <v>-103.70685821917806</v>
      </c>
      <c r="EH49" s="88">
        <f t="shared" si="469"/>
        <v>0</v>
      </c>
      <c r="EI49" s="88">
        <f t="shared" si="469"/>
        <v>0</v>
      </c>
      <c r="EJ49" s="88">
        <f t="shared" si="469"/>
        <v>-96.483871232876709</v>
      </c>
      <c r="EK49" s="88">
        <f t="shared" si="469"/>
        <v>0</v>
      </c>
      <c r="EL49" s="88">
        <f t="shared" si="469"/>
        <v>0</v>
      </c>
      <c r="EM49" s="88">
        <f t="shared" si="469"/>
        <v>-89.516789383561644</v>
      </c>
      <c r="EN49" s="88">
        <f t="shared" si="469"/>
        <v>0</v>
      </c>
      <c r="EO49" s="88">
        <f t="shared" si="469"/>
        <v>0</v>
      </c>
      <c r="EP49" s="88">
        <f t="shared" si="469"/>
        <v>-85.459586301369868</v>
      </c>
      <c r="EQ49" s="88">
        <f t="shared" si="469"/>
        <v>0</v>
      </c>
      <c r="ER49" s="88">
        <f t="shared" si="469"/>
        <v>0</v>
      </c>
      <c r="ES49" s="88">
        <f t="shared" si="469"/>
        <v>-79.305244520547944</v>
      </c>
      <c r="ET49" s="88">
        <f t="shared" si="469"/>
        <v>0</v>
      </c>
      <c r="EU49" s="88">
        <f t="shared" si="469"/>
        <v>0</v>
      </c>
      <c r="EV49" s="88">
        <f t="shared" si="469"/>
        <v>-72.362903424657532</v>
      </c>
      <c r="EW49" s="88">
        <f t="shared" si="469"/>
        <v>0</v>
      </c>
      <c r="EX49" s="88">
        <f t="shared" si="469"/>
        <v>0</v>
      </c>
      <c r="EY49" s="88">
        <f t="shared" si="469"/>
        <v>-66.193689036885232</v>
      </c>
      <c r="EZ49" s="88">
        <f t="shared" si="469"/>
        <v>0</v>
      </c>
      <c r="FA49" s="88">
        <f t="shared" si="469"/>
        <v>0</v>
      </c>
      <c r="FB49" s="88">
        <f t="shared" si="469"/>
        <v>-60.875778688524576</v>
      </c>
      <c r="FC49" s="88">
        <f t="shared" si="469"/>
        <v>0</v>
      </c>
      <c r="FD49" s="88">
        <f t="shared" si="469"/>
        <v>0</v>
      </c>
      <c r="FE49" s="88">
        <f t="shared" si="469"/>
        <v>-54.753620901639337</v>
      </c>
      <c r="FF49" s="88">
        <f t="shared" si="469"/>
        <v>0</v>
      </c>
      <c r="FG49" s="88">
        <f t="shared" si="469"/>
        <v>0</v>
      </c>
      <c r="FH49" s="88">
        <f t="shared" si="469"/>
        <v>-48.110127049180321</v>
      </c>
      <c r="FI49" s="88">
        <f t="shared" si="469"/>
        <v>0</v>
      </c>
      <c r="FJ49" s="88">
        <f t="shared" si="469"/>
        <v>0</v>
      </c>
      <c r="FK49" s="88">
        <f t="shared" si="469"/>
        <v>-41.774501712328764</v>
      </c>
      <c r="FL49" s="88">
        <f t="shared" si="469"/>
        <v>0</v>
      </c>
      <c r="FM49" s="88">
        <f t="shared" si="469"/>
        <v>0</v>
      </c>
      <c r="FN49" s="88">
        <f t="shared" si="469"/>
        <v>-36.62553698630137</v>
      </c>
      <c r="FO49" s="88">
        <f t="shared" si="469"/>
        <v>0</v>
      </c>
      <c r="FP49" s="88">
        <f t="shared" si="469"/>
        <v>0</v>
      </c>
      <c r="FQ49" s="88">
        <f t="shared" si="469"/>
        <v>-30.502017123287661</v>
      </c>
      <c r="FR49" s="88">
        <f t="shared" si="469"/>
        <v>0</v>
      </c>
      <c r="FS49" s="88">
        <f t="shared" si="469"/>
        <v>0</v>
      </c>
      <c r="FT49" s="88">
        <f t="shared" si="469"/>
        <v>-24.120967808219177</v>
      </c>
      <c r="FU49" s="88">
        <f t="shared" ref="FU49:GC49" si="470">IF(MOD(FU36,3)=1,-(FU43+FU47),0)</f>
        <v>0</v>
      </c>
      <c r="FV49" s="88">
        <f t="shared" si="470"/>
        <v>0</v>
      </c>
      <c r="FW49" s="88">
        <f t="shared" si="470"/>
        <v>-18.58529280821918</v>
      </c>
      <c r="FX49" s="88">
        <f t="shared" si="470"/>
        <v>0</v>
      </c>
      <c r="FY49" s="88">
        <f t="shared" si="470"/>
        <v>0</v>
      </c>
      <c r="FZ49" s="88">
        <f t="shared" si="470"/>
        <v>-12.909710958904109</v>
      </c>
      <c r="GA49" s="88">
        <f t="shared" si="470"/>
        <v>0</v>
      </c>
      <c r="GB49" s="88">
        <f t="shared" si="470"/>
        <v>0</v>
      </c>
      <c r="GC49" s="88">
        <f t="shared" si="470"/>
        <v>-6.4548554794520543</v>
      </c>
      <c r="GD49" s="88">
        <f t="shared" ref="GD49:GF49" si="471">IF(MOD(GD36,3)=1,-(GD43+GD47),0)</f>
        <v>0</v>
      </c>
      <c r="GE49" s="88">
        <f t="shared" si="471"/>
        <v>0</v>
      </c>
      <c r="GF49" s="100">
        <f t="shared" si="471"/>
        <v>0</v>
      </c>
    </row>
    <row r="50" spans="3:192" s="1" customFormat="1" x14ac:dyDescent="0.3">
      <c r="C50" s="525" t="s">
        <v>673</v>
      </c>
      <c r="D50" s="84">
        <f t="shared" ref="D50:D51" si="472">SUM(E50:GF50)</f>
        <v>-9842.3698590811218</v>
      </c>
      <c r="E50" s="88">
        <f>E49*Assumption!$C$99</f>
        <v>0</v>
      </c>
      <c r="F50" s="88">
        <f>F49*Assumption!$C$99</f>
        <v>0</v>
      </c>
      <c r="G50" s="88">
        <f>G49*Assumption!$C$99</f>
        <v>0</v>
      </c>
      <c r="H50" s="88">
        <f>H49*Assumption!$C$99</f>
        <v>-132.39731219178083</v>
      </c>
      <c r="I50" s="88">
        <f>I49*Assumption!$C$99</f>
        <v>0</v>
      </c>
      <c r="J50" s="88">
        <f>J49*Assumption!$C$99</f>
        <v>0</v>
      </c>
      <c r="K50" s="88">
        <f>K49*Assumption!$C$99</f>
        <v>-209.69493538251365</v>
      </c>
      <c r="L50" s="88">
        <f>L49*Assumption!$C$99</f>
        <v>0</v>
      </c>
      <c r="M50" s="88">
        <f>M49*Assumption!$C$99</f>
        <v>0</v>
      </c>
      <c r="N50" s="88">
        <f>N49*Assumption!$C$99</f>
        <v>-257.03106557377049</v>
      </c>
      <c r="O50" s="88">
        <f>O49*Assumption!$C$99</f>
        <v>0</v>
      </c>
      <c r="P50" s="88">
        <f>P49*Assumption!$C$99</f>
        <v>0</v>
      </c>
      <c r="Q50" s="88">
        <f>Q49*Assumption!$C$99</f>
        <v>-276.94566120218576</v>
      </c>
      <c r="R50" s="88">
        <f>R49*Assumption!$C$99</f>
        <v>0</v>
      </c>
      <c r="S50" s="88">
        <f>S49*Assumption!$C$99</f>
        <v>0</v>
      </c>
      <c r="T50" s="88">
        <f>T49*Assumption!$C$99</f>
        <v>-274.22772418032787</v>
      </c>
      <c r="U50" s="88">
        <f>U49*Assumption!$C$99</f>
        <v>0</v>
      </c>
      <c r="V50" s="88">
        <f>V49*Assumption!$C$99</f>
        <v>0</v>
      </c>
      <c r="W50" s="88">
        <f>W49*Assumption!$C$99</f>
        <v>-272.13103972602744</v>
      </c>
      <c r="X50" s="88">
        <f>X49*Assumption!$C$99</f>
        <v>0</v>
      </c>
      <c r="Y50" s="88">
        <f>Y49*Assumption!$C$99</f>
        <v>0</v>
      </c>
      <c r="Z50" s="88">
        <f>Z49*Assumption!$C$99</f>
        <v>-278.35408109589042</v>
      </c>
      <c r="AA50" s="88">
        <f>AA49*Assumption!$C$99</f>
        <v>0</v>
      </c>
      <c r="AB50" s="88">
        <f>AB49*Assumption!$C$99</f>
        <v>0</v>
      </c>
      <c r="AC50" s="88">
        <f>AC49*Assumption!$C$99</f>
        <v>-278.17839616438351</v>
      </c>
      <c r="AD50" s="88">
        <f>AD49*Assumption!$C$99</f>
        <v>0</v>
      </c>
      <c r="AE50" s="88">
        <f>AE49*Assumption!$C$99</f>
        <v>0</v>
      </c>
      <c r="AF50" s="88">
        <f>AF49*Assumption!$C$99</f>
        <v>-274.9790330136986</v>
      </c>
      <c r="AG50" s="88">
        <f>AG49*Assumption!$C$99</f>
        <v>0</v>
      </c>
      <c r="AH50" s="88">
        <f>AH49*Assumption!$C$99</f>
        <v>0</v>
      </c>
      <c r="AI50" s="88">
        <f>AI49*Assumption!$C$99</f>
        <v>-272.13103972602744</v>
      </c>
      <c r="AJ50" s="88">
        <f>AJ49*Assumption!$C$99</f>
        <v>0</v>
      </c>
      <c r="AK50" s="88">
        <f>AK49*Assumption!$C$99</f>
        <v>0</v>
      </c>
      <c r="AL50" s="88">
        <f>AL49*Assumption!$C$99</f>
        <v>-278.35408109589042</v>
      </c>
      <c r="AM50" s="88">
        <f>AM49*Assumption!$C$99</f>
        <v>0</v>
      </c>
      <c r="AN50" s="88">
        <f>AN49*Assumption!$C$99</f>
        <v>0</v>
      </c>
      <c r="AO50" s="88">
        <f>AO49*Assumption!$C$99</f>
        <v>-278.17839616438351</v>
      </c>
      <c r="AP50" s="88">
        <f>AP49*Assumption!$C$99</f>
        <v>0</v>
      </c>
      <c r="AQ50" s="88">
        <f>AQ49*Assumption!$C$99</f>
        <v>0</v>
      </c>
      <c r="AR50" s="88">
        <f>AR49*Assumption!$C$99</f>
        <v>-274.9790330136986</v>
      </c>
      <c r="AS50" s="88">
        <f>AS49*Assumption!$C$99</f>
        <v>0</v>
      </c>
      <c r="AT50" s="88">
        <f>AT49*Assumption!$C$99</f>
        <v>0</v>
      </c>
      <c r="AU50" s="88">
        <f>AU49*Assumption!$C$99</f>
        <v>-266.46164306506842</v>
      </c>
      <c r="AV50" s="88">
        <f>AV49*Assumption!$C$99</f>
        <v>0</v>
      </c>
      <c r="AW50" s="88">
        <f>AW49*Assumption!$C$99</f>
        <v>0</v>
      </c>
      <c r="AX50" s="88">
        <f>AX49*Assumption!$C$99</f>
        <v>-266.75599438356159</v>
      </c>
      <c r="AY50" s="88">
        <f>AY49*Assumption!$C$99</f>
        <v>0</v>
      </c>
      <c r="AZ50" s="88">
        <f>AZ49*Assumption!$C$99</f>
        <v>0</v>
      </c>
      <c r="BA50" s="88">
        <f>BA49*Assumption!$C$99</f>
        <v>-260.79224640410956</v>
      </c>
      <c r="BB50" s="88">
        <f>BB49*Assumption!$C$99</f>
        <v>0</v>
      </c>
      <c r="BC50" s="88">
        <f>BC49*Assumption!$C$99</f>
        <v>0</v>
      </c>
      <c r="BD50" s="88">
        <f>BD49*Assumption!$C$99</f>
        <v>-252.06411359589035</v>
      </c>
      <c r="BE50" s="88">
        <f>BE49*Assumption!$C$99</f>
        <v>0</v>
      </c>
      <c r="BF50" s="88">
        <f>BF49*Assumption!$C$99</f>
        <v>0</v>
      </c>
      <c r="BG50" s="88">
        <f>BG49*Assumption!$C$99</f>
        <v>-245.81929065061479</v>
      </c>
      <c r="BH50" s="88">
        <f>BH49*Assumption!$C$99</f>
        <v>0</v>
      </c>
      <c r="BI50" s="88">
        <f>BI49*Assumption!$C$99</f>
        <v>0</v>
      </c>
      <c r="BJ50" s="88">
        <f>BJ49*Assumption!$C$99</f>
        <v>-242.89435696721307</v>
      </c>
      <c r="BK50" s="88">
        <f>BK49*Assumption!$C$99</f>
        <v>0</v>
      </c>
      <c r="BL50" s="88">
        <f>BL49*Assumption!$C$99</f>
        <v>0</v>
      </c>
      <c r="BM50" s="88">
        <f>BM49*Assumption!$C$99</f>
        <v>-236.96150379098358</v>
      </c>
      <c r="BN50" s="88">
        <f>BN49*Assumption!$C$99</f>
        <v>0</v>
      </c>
      <c r="BO50" s="88">
        <f>BO49*Assumption!$C$99</f>
        <v>0</v>
      </c>
      <c r="BP50" s="88">
        <f>BP49*Assumption!$C$99</f>
        <v>-228.52310348360649</v>
      </c>
      <c r="BQ50" s="88">
        <f>BQ49*Assumption!$C$99</f>
        <v>0</v>
      </c>
      <c r="BR50" s="88">
        <f>BR49*Assumption!$C$99</f>
        <v>0</v>
      </c>
      <c r="BS50" s="88">
        <f>BS49*Assumption!$C$99</f>
        <v>-221.10646977739725</v>
      </c>
      <c r="BT50" s="88">
        <f>BT49*Assumption!$C$99</f>
        <v>0</v>
      </c>
      <c r="BU50" s="88">
        <f>BU49*Assumption!$C$99</f>
        <v>0</v>
      </c>
      <c r="BV50" s="88">
        <f>BV49*Assumption!$C$99</f>
        <v>-220.36364753424655</v>
      </c>
      <c r="BW50" s="88">
        <f>BW49*Assumption!$C$99</f>
        <v>0</v>
      </c>
      <c r="BX50" s="88">
        <f>BX49*Assumption!$C$99</f>
        <v>0</v>
      </c>
      <c r="BY50" s="88">
        <f>BY49*Assumption!$C$99</f>
        <v>-214.42918037671231</v>
      </c>
      <c r="BZ50" s="88">
        <f>BZ49*Assumption!$C$99</f>
        <v>0</v>
      </c>
      <c r="CA50" s="88">
        <f>CA49*Assumption!$C$99</f>
        <v>0</v>
      </c>
      <c r="CB50" s="88">
        <f>CB49*Assumption!$C$99</f>
        <v>-206.23427476027399</v>
      </c>
      <c r="CC50" s="88">
        <f>CC49*Assumption!$C$99</f>
        <v>0</v>
      </c>
      <c r="CD50" s="88">
        <f>CD49*Assumption!$C$99</f>
        <v>0</v>
      </c>
      <c r="CE50" s="88">
        <f>CE49*Assumption!$C$99</f>
        <v>-198.42888313356161</v>
      </c>
      <c r="CF50" s="88">
        <f>CF49*Assumption!$C$99</f>
        <v>0</v>
      </c>
      <c r="CG50" s="88">
        <f>CG49*Assumption!$C$99</f>
        <v>0</v>
      </c>
      <c r="CH50" s="88">
        <f>CH49*Assumption!$C$99</f>
        <v>-197.16747410958899</v>
      </c>
      <c r="CI50" s="88">
        <f>CI49*Assumption!$C$99</f>
        <v>0</v>
      </c>
      <c r="CJ50" s="88">
        <f>CJ49*Assumption!$C$99</f>
        <v>0</v>
      </c>
      <c r="CK50" s="88">
        <f>CK49*Assumption!$C$99</f>
        <v>-191.24764736301367</v>
      </c>
      <c r="CL50" s="88">
        <f>CL49*Assumption!$C$99</f>
        <v>0</v>
      </c>
      <c r="CM50" s="88">
        <f>CM49*Assumption!$C$99</f>
        <v>0</v>
      </c>
      <c r="CN50" s="88">
        <f>CN49*Assumption!$C$99</f>
        <v>-183.31935534246574</v>
      </c>
      <c r="CO50" s="88">
        <f>CO49*Assumption!$C$99</f>
        <v>0</v>
      </c>
      <c r="CP50" s="88">
        <f>CP49*Assumption!$C$99</f>
        <v>0</v>
      </c>
      <c r="CQ50" s="88">
        <f>CQ49*Assumption!$C$99</f>
        <v>-175.75129648972597</v>
      </c>
      <c r="CR50" s="88">
        <f>CR49*Assumption!$C$99</f>
        <v>0</v>
      </c>
      <c r="CS50" s="88">
        <f>CS49*Assumption!$C$99</f>
        <v>0</v>
      </c>
      <c r="CT50" s="88">
        <f>CT49*Assumption!$C$99</f>
        <v>-173.97130068493146</v>
      </c>
      <c r="CU50" s="88">
        <f>CU49*Assumption!$C$99</f>
        <v>0</v>
      </c>
      <c r="CV50" s="88">
        <f>CV49*Assumption!$C$99</f>
        <v>0</v>
      </c>
      <c r="CW50" s="88">
        <f>CW49*Assumption!$C$99</f>
        <v>-168.06611434931503</v>
      </c>
      <c r="CX50" s="88">
        <f>CX49*Assumption!$C$99</f>
        <v>0</v>
      </c>
      <c r="CY50" s="88">
        <f>CY49*Assumption!$C$99</f>
        <v>0</v>
      </c>
      <c r="CZ50" s="88">
        <f>CZ49*Assumption!$C$99</f>
        <v>-160.40443592465755</v>
      </c>
      <c r="DA50" s="88">
        <f>DA49*Assumption!$C$99</f>
        <v>0</v>
      </c>
      <c r="DB50" s="88">
        <f>DB49*Assumption!$C$99</f>
        <v>0</v>
      </c>
      <c r="DC50" s="88">
        <f>DC49*Assumption!$C$99</f>
        <v>-154.35164761782784</v>
      </c>
      <c r="DD50" s="88">
        <f>DD49*Assumption!$C$99</f>
        <v>0</v>
      </c>
      <c r="DE50" s="88">
        <f>DE49*Assumption!$C$99</f>
        <v>0</v>
      </c>
      <c r="DF50" s="88">
        <f>DF49*Assumption!$C$99</f>
        <v>-150.36317336065571</v>
      </c>
      <c r="DG50" s="88">
        <f>DG49*Assumption!$C$99</f>
        <v>0</v>
      </c>
      <c r="DH50" s="88">
        <f>DH49*Assumption!$C$99</f>
        <v>0</v>
      </c>
      <c r="DI50" s="88">
        <f>DI49*Assumption!$C$99</f>
        <v>-144.48872182377048</v>
      </c>
      <c r="DJ50" s="88">
        <f>DJ49*Assumption!$C$99</f>
        <v>0</v>
      </c>
      <c r="DK50" s="88">
        <f>DK49*Assumption!$C$99</f>
        <v>0</v>
      </c>
      <c r="DL50" s="88">
        <f>DL49*Assumption!$C$99</f>
        <v>-137.11386209016393</v>
      </c>
      <c r="DM50" s="88">
        <f>DM49*Assumption!$C$99</f>
        <v>0</v>
      </c>
      <c r="DN50" s="88">
        <f>DN49*Assumption!$C$99</f>
        <v>0</v>
      </c>
      <c r="DO50" s="88">
        <f>DO49*Assumption!$C$99</f>
        <v>-130.39612320205478</v>
      </c>
      <c r="DP50" s="88">
        <f>DP49*Assumption!$C$99</f>
        <v>0</v>
      </c>
      <c r="DQ50" s="88">
        <f>DQ49*Assumption!$C$99</f>
        <v>0</v>
      </c>
      <c r="DR50" s="88">
        <f>DR49*Assumption!$C$99</f>
        <v>-127.57895383561642</v>
      </c>
      <c r="DS50" s="88">
        <f>DS49*Assumption!$C$99</f>
        <v>0</v>
      </c>
      <c r="DT50" s="88">
        <f>DT49*Assumption!$C$99</f>
        <v>0</v>
      </c>
      <c r="DU50" s="88">
        <f>DU49*Assumption!$C$99</f>
        <v>-121.70304832191779</v>
      </c>
      <c r="DV50" s="88">
        <f>DV49*Assumption!$C$99</f>
        <v>0</v>
      </c>
      <c r="DW50" s="88">
        <f>DW49*Assumption!$C$99</f>
        <v>0</v>
      </c>
      <c r="DX50" s="88">
        <f>DX49*Assumption!$C$99</f>
        <v>-114.57459708904108</v>
      </c>
      <c r="DY50" s="88">
        <f>DY49*Assumption!$C$99</f>
        <v>0</v>
      </c>
      <c r="DZ50" s="88">
        <f>DZ49*Assumption!$C$99</f>
        <v>0</v>
      </c>
      <c r="EA50" s="88">
        <f>EA49*Assumption!$C$99</f>
        <v>-107.71853655821917</v>
      </c>
      <c r="EB50" s="88">
        <f>EB49*Assumption!$C$99</f>
        <v>0</v>
      </c>
      <c r="EC50" s="88">
        <f>EC49*Assumption!$C$99</f>
        <v>0</v>
      </c>
      <c r="ED50" s="88">
        <f>ED49*Assumption!$C$99</f>
        <v>-104.3827804109589</v>
      </c>
      <c r="EE50" s="88">
        <f>EE49*Assumption!$C$99</f>
        <v>0</v>
      </c>
      <c r="EF50" s="88">
        <f>EF49*Assumption!$C$99</f>
        <v>0</v>
      </c>
      <c r="EG50" s="88">
        <f>EG49*Assumption!$C$99</f>
        <v>-98.521515308219151</v>
      </c>
      <c r="EH50" s="88">
        <f>EH49*Assumption!$C$99</f>
        <v>0</v>
      </c>
      <c r="EI50" s="88">
        <f>EI49*Assumption!$C$99</f>
        <v>0</v>
      </c>
      <c r="EJ50" s="88">
        <f>EJ49*Assumption!$C$99</f>
        <v>-91.65967767123287</v>
      </c>
      <c r="EK50" s="88">
        <f>EK49*Assumption!$C$99</f>
        <v>0</v>
      </c>
      <c r="EL50" s="88">
        <f>EL49*Assumption!$C$99</f>
        <v>0</v>
      </c>
      <c r="EM50" s="88">
        <f>EM49*Assumption!$C$99</f>
        <v>-85.04094991438356</v>
      </c>
      <c r="EN50" s="88">
        <f>EN49*Assumption!$C$99</f>
        <v>0</v>
      </c>
      <c r="EO50" s="88">
        <f>EO49*Assumption!$C$99</f>
        <v>0</v>
      </c>
      <c r="EP50" s="88">
        <f>EP49*Assumption!$C$99</f>
        <v>-81.186606986301371</v>
      </c>
      <c r="EQ50" s="88">
        <f>EQ49*Assumption!$C$99</f>
        <v>0</v>
      </c>
      <c r="ER50" s="88">
        <f>ER49*Assumption!$C$99</f>
        <v>0</v>
      </c>
      <c r="ES50" s="88">
        <f>ES49*Assumption!$C$99</f>
        <v>-75.339982294520539</v>
      </c>
      <c r="ET50" s="88">
        <f>ET49*Assumption!$C$99</f>
        <v>0</v>
      </c>
      <c r="EU50" s="88">
        <f>EU49*Assumption!$C$99</f>
        <v>0</v>
      </c>
      <c r="EV50" s="88">
        <f>EV49*Assumption!$C$99</f>
        <v>-68.744758253424649</v>
      </c>
      <c r="EW50" s="88">
        <f>EW49*Assumption!$C$99</f>
        <v>0</v>
      </c>
      <c r="EX50" s="88">
        <f>EX49*Assumption!$C$99</f>
        <v>0</v>
      </c>
      <c r="EY50" s="88">
        <f>EY49*Assumption!$C$99</f>
        <v>-62.884004585040969</v>
      </c>
      <c r="EZ50" s="88">
        <f>EZ49*Assumption!$C$99</f>
        <v>0</v>
      </c>
      <c r="FA50" s="88">
        <f>FA49*Assumption!$C$99</f>
        <v>0</v>
      </c>
      <c r="FB50" s="88">
        <f>FB49*Assumption!$C$99</f>
        <v>-57.831989754098345</v>
      </c>
      <c r="FC50" s="88">
        <f>FC49*Assumption!$C$99</f>
        <v>0</v>
      </c>
      <c r="FD50" s="88">
        <f>FD49*Assumption!$C$99</f>
        <v>0</v>
      </c>
      <c r="FE50" s="88">
        <f>FE49*Assumption!$C$99</f>
        <v>-52.015939856557367</v>
      </c>
      <c r="FF50" s="88">
        <f>FF49*Assumption!$C$99</f>
        <v>0</v>
      </c>
      <c r="FG50" s="88">
        <f>FG49*Assumption!$C$99</f>
        <v>0</v>
      </c>
      <c r="FH50" s="88">
        <f>FH49*Assumption!$C$99</f>
        <v>-45.7046206967213</v>
      </c>
      <c r="FI50" s="88">
        <f>FI49*Assumption!$C$99</f>
        <v>0</v>
      </c>
      <c r="FJ50" s="88">
        <f>FJ49*Assumption!$C$99</f>
        <v>0</v>
      </c>
      <c r="FK50" s="88">
        <f>FK49*Assumption!$C$99</f>
        <v>-39.685776626712325</v>
      </c>
      <c r="FL50" s="88">
        <f>FL49*Assumption!$C$99</f>
        <v>0</v>
      </c>
      <c r="FM50" s="88">
        <f>FM49*Assumption!$C$99</f>
        <v>0</v>
      </c>
      <c r="FN50" s="88">
        <f>FN49*Assumption!$C$99</f>
        <v>-34.794260136986303</v>
      </c>
      <c r="FO50" s="88">
        <f>FO49*Assumption!$C$99</f>
        <v>0</v>
      </c>
      <c r="FP50" s="88">
        <f>FP49*Assumption!$C$99</f>
        <v>0</v>
      </c>
      <c r="FQ50" s="88">
        <f>FQ49*Assumption!$C$99</f>
        <v>-28.976916267123276</v>
      </c>
      <c r="FR50" s="88">
        <f>FR49*Assumption!$C$99</f>
        <v>0</v>
      </c>
      <c r="FS50" s="88">
        <f>FS49*Assumption!$C$99</f>
        <v>0</v>
      </c>
      <c r="FT50" s="88">
        <f>FT49*Assumption!$C$99</f>
        <v>-22.914919417808218</v>
      </c>
      <c r="FU50" s="88">
        <f>FU49*Assumption!$C$99</f>
        <v>0</v>
      </c>
      <c r="FV50" s="88">
        <f>FV49*Assumption!$C$99</f>
        <v>0</v>
      </c>
      <c r="FW50" s="88">
        <f>FW49*Assumption!$C$99</f>
        <v>-17.65602816780822</v>
      </c>
      <c r="FX50" s="88">
        <f>FX49*Assumption!$C$99</f>
        <v>0</v>
      </c>
      <c r="FY50" s="88">
        <f>FY49*Assumption!$C$99</f>
        <v>0</v>
      </c>
      <c r="FZ50" s="88">
        <f>FZ49*Assumption!$C$99</f>
        <v>-12.264225410958902</v>
      </c>
      <c r="GA50" s="88">
        <f>GA49*Assumption!$C$99</f>
        <v>0</v>
      </c>
      <c r="GB50" s="88">
        <f>GB49*Assumption!$C$99</f>
        <v>0</v>
      </c>
      <c r="GC50" s="88">
        <f>GC49*Assumption!$C$99</f>
        <v>-6.1321127054794511</v>
      </c>
      <c r="GD50" s="88">
        <f>GD49*Assumption!$C$99</f>
        <v>0</v>
      </c>
      <c r="GE50" s="88">
        <f>GE49*Assumption!$C$99</f>
        <v>0</v>
      </c>
      <c r="GF50" s="100">
        <f>GF49*Assumption!$C$99</f>
        <v>0</v>
      </c>
    </row>
    <row r="51" spans="3:192" s="1" customFormat="1" x14ac:dyDescent="0.3">
      <c r="C51" s="525" t="s">
        <v>674</v>
      </c>
      <c r="D51" s="84">
        <f t="shared" si="472"/>
        <v>-518.01946626742722</v>
      </c>
      <c r="E51" s="88">
        <f>E49*Assumption!$C$100</f>
        <v>0</v>
      </c>
      <c r="F51" s="88">
        <f>F49*Assumption!$C$100</f>
        <v>0</v>
      </c>
      <c r="G51" s="88">
        <f>G49*Assumption!$C$100</f>
        <v>0</v>
      </c>
      <c r="H51" s="88">
        <f>H49*Assumption!$C$100</f>
        <v>-6.9682795890410958</v>
      </c>
      <c r="I51" s="88">
        <f>I49*Assumption!$C$100</f>
        <v>0</v>
      </c>
      <c r="J51" s="88">
        <f>J49*Assumption!$C$100</f>
        <v>0</v>
      </c>
      <c r="K51" s="88">
        <f>K49*Assumption!$C$100</f>
        <v>-11.036575546448088</v>
      </c>
      <c r="L51" s="88">
        <f>L49*Assumption!$C$100</f>
        <v>0</v>
      </c>
      <c r="M51" s="88">
        <f>M49*Assumption!$C$100</f>
        <v>0</v>
      </c>
      <c r="N51" s="88">
        <f>N49*Assumption!$C$100</f>
        <v>-13.527950819672132</v>
      </c>
      <c r="O51" s="88">
        <f>O49*Assumption!$C$100</f>
        <v>0</v>
      </c>
      <c r="P51" s="88">
        <f>P49*Assumption!$C$100</f>
        <v>0</v>
      </c>
      <c r="Q51" s="88">
        <f>Q49*Assumption!$C$100</f>
        <v>-14.57608743169399</v>
      </c>
      <c r="R51" s="88">
        <f>R49*Assumption!$C$100</f>
        <v>0</v>
      </c>
      <c r="S51" s="88">
        <f>S49*Assumption!$C$100</f>
        <v>0</v>
      </c>
      <c r="T51" s="88">
        <f>T49*Assumption!$C$100</f>
        <v>-14.433038114754098</v>
      </c>
      <c r="U51" s="88">
        <f>U49*Assumption!$C$100</f>
        <v>0</v>
      </c>
      <c r="V51" s="88">
        <f>V49*Assumption!$C$100</f>
        <v>0</v>
      </c>
      <c r="W51" s="88">
        <f>W49*Assumption!$C$100</f>
        <v>-14.322686301369865</v>
      </c>
      <c r="X51" s="88">
        <f>X49*Assumption!$C$100</f>
        <v>0</v>
      </c>
      <c r="Y51" s="88">
        <f>Y49*Assumption!$C$100</f>
        <v>0</v>
      </c>
      <c r="Z51" s="88">
        <f>Z49*Assumption!$C$100</f>
        <v>-14.650214794520549</v>
      </c>
      <c r="AA51" s="88">
        <f>AA49*Assumption!$C$100</f>
        <v>0</v>
      </c>
      <c r="AB51" s="88">
        <f>AB49*Assumption!$C$100</f>
        <v>0</v>
      </c>
      <c r="AC51" s="88">
        <f>AC49*Assumption!$C$100</f>
        <v>-14.640968219178081</v>
      </c>
      <c r="AD51" s="88">
        <f>AD49*Assumption!$C$100</f>
        <v>0</v>
      </c>
      <c r="AE51" s="88">
        <f>AE49*Assumption!$C$100</f>
        <v>0</v>
      </c>
      <c r="AF51" s="88">
        <f>AF49*Assumption!$C$100</f>
        <v>-14.472580684931508</v>
      </c>
      <c r="AG51" s="88">
        <f>AG49*Assumption!$C$100</f>
        <v>0</v>
      </c>
      <c r="AH51" s="88">
        <f>AH49*Assumption!$C$100</f>
        <v>0</v>
      </c>
      <c r="AI51" s="88">
        <f>AI49*Assumption!$C$100</f>
        <v>-14.322686301369865</v>
      </c>
      <c r="AJ51" s="88">
        <f>AJ49*Assumption!$C$100</f>
        <v>0</v>
      </c>
      <c r="AK51" s="88">
        <f>AK49*Assumption!$C$100</f>
        <v>0</v>
      </c>
      <c r="AL51" s="88">
        <f>AL49*Assumption!$C$100</f>
        <v>-14.650214794520549</v>
      </c>
      <c r="AM51" s="88">
        <f>AM49*Assumption!$C$100</f>
        <v>0</v>
      </c>
      <c r="AN51" s="88">
        <f>AN49*Assumption!$C$100</f>
        <v>0</v>
      </c>
      <c r="AO51" s="88">
        <f>AO49*Assumption!$C$100</f>
        <v>-14.640968219178081</v>
      </c>
      <c r="AP51" s="88">
        <f>AP49*Assumption!$C$100</f>
        <v>0</v>
      </c>
      <c r="AQ51" s="88">
        <f>AQ49*Assumption!$C$100</f>
        <v>0</v>
      </c>
      <c r="AR51" s="88">
        <f>AR49*Assumption!$C$100</f>
        <v>-14.472580684931508</v>
      </c>
      <c r="AS51" s="88">
        <f>AS49*Assumption!$C$100</f>
        <v>0</v>
      </c>
      <c r="AT51" s="88">
        <f>AT49*Assumption!$C$100</f>
        <v>0</v>
      </c>
      <c r="AU51" s="88">
        <f>AU49*Assumption!$C$100</f>
        <v>-14.024297003424657</v>
      </c>
      <c r="AV51" s="88">
        <f>AV49*Assumption!$C$100</f>
        <v>0</v>
      </c>
      <c r="AW51" s="88">
        <f>AW49*Assumption!$C$100</f>
        <v>0</v>
      </c>
      <c r="AX51" s="88">
        <f>AX49*Assumption!$C$100</f>
        <v>-14.039789178082192</v>
      </c>
      <c r="AY51" s="88">
        <f>AY49*Assumption!$C$100</f>
        <v>0</v>
      </c>
      <c r="AZ51" s="88">
        <f>AZ49*Assumption!$C$100</f>
        <v>0</v>
      </c>
      <c r="BA51" s="88">
        <f>BA49*Assumption!$C$100</f>
        <v>-13.725907705479452</v>
      </c>
      <c r="BB51" s="88">
        <f>BB49*Assumption!$C$100</f>
        <v>0</v>
      </c>
      <c r="BC51" s="88">
        <f>BC49*Assumption!$C$100</f>
        <v>0</v>
      </c>
      <c r="BD51" s="88">
        <f>BD49*Assumption!$C$100</f>
        <v>-13.266532294520545</v>
      </c>
      <c r="BE51" s="88">
        <f>BE49*Assumption!$C$100</f>
        <v>0</v>
      </c>
      <c r="BF51" s="88">
        <f>BF49*Assumption!$C$100</f>
        <v>0</v>
      </c>
      <c r="BG51" s="88">
        <f>BG49*Assumption!$C$100</f>
        <v>-12.937857402663937</v>
      </c>
      <c r="BH51" s="88">
        <f>BH49*Assumption!$C$100</f>
        <v>0</v>
      </c>
      <c r="BI51" s="88">
        <f>BI49*Assumption!$C$100</f>
        <v>0</v>
      </c>
      <c r="BJ51" s="88">
        <f>BJ49*Assumption!$C$100</f>
        <v>-12.783913524590162</v>
      </c>
      <c r="BK51" s="88">
        <f>BK49*Assumption!$C$100</f>
        <v>0</v>
      </c>
      <c r="BL51" s="88">
        <f>BL49*Assumption!$C$100</f>
        <v>0</v>
      </c>
      <c r="BM51" s="88">
        <f>BM49*Assumption!$C$100</f>
        <v>-12.471658094262295</v>
      </c>
      <c r="BN51" s="88">
        <f>BN49*Assumption!$C$100</f>
        <v>0</v>
      </c>
      <c r="BO51" s="88">
        <f>BO49*Assumption!$C$100</f>
        <v>0</v>
      </c>
      <c r="BP51" s="88">
        <f>BP49*Assumption!$C$100</f>
        <v>-12.02753176229508</v>
      </c>
      <c r="BQ51" s="88">
        <f>BQ49*Assumption!$C$100</f>
        <v>0</v>
      </c>
      <c r="BR51" s="88">
        <f>BR49*Assumption!$C$100</f>
        <v>0</v>
      </c>
      <c r="BS51" s="88">
        <f>BS49*Assumption!$C$100</f>
        <v>-11.637182619863013</v>
      </c>
      <c r="BT51" s="88">
        <f>BT49*Assumption!$C$100</f>
        <v>0</v>
      </c>
      <c r="BU51" s="88">
        <f>BU49*Assumption!$C$100</f>
        <v>0</v>
      </c>
      <c r="BV51" s="88">
        <f>BV49*Assumption!$C$100</f>
        <v>-11.598086712328767</v>
      </c>
      <c r="BW51" s="88">
        <f>BW49*Assumption!$C$100</f>
        <v>0</v>
      </c>
      <c r="BX51" s="88">
        <f>BX49*Assumption!$C$100</f>
        <v>0</v>
      </c>
      <c r="BY51" s="88">
        <f>BY49*Assumption!$C$100</f>
        <v>-11.285746335616437</v>
      </c>
      <c r="BZ51" s="88">
        <f>BZ49*Assumption!$C$100</f>
        <v>0</v>
      </c>
      <c r="CA51" s="88">
        <f>CA49*Assumption!$C$100</f>
        <v>0</v>
      </c>
      <c r="CB51" s="88">
        <f>CB49*Assumption!$C$100</f>
        <v>-10.854435513698633</v>
      </c>
      <c r="CC51" s="88">
        <f>CC49*Assumption!$C$100</f>
        <v>0</v>
      </c>
      <c r="CD51" s="88">
        <f>CD49*Assumption!$C$100</f>
        <v>0</v>
      </c>
      <c r="CE51" s="88">
        <f>CE49*Assumption!$C$100</f>
        <v>-10.443625428082193</v>
      </c>
      <c r="CF51" s="88">
        <f>CF49*Assumption!$C$100</f>
        <v>0</v>
      </c>
      <c r="CG51" s="88">
        <f>CG49*Assumption!$C$100</f>
        <v>0</v>
      </c>
      <c r="CH51" s="88">
        <f>CH49*Assumption!$C$100</f>
        <v>-10.377235479452054</v>
      </c>
      <c r="CI51" s="88">
        <f>CI49*Assumption!$C$100</f>
        <v>0</v>
      </c>
      <c r="CJ51" s="88">
        <f>CJ49*Assumption!$C$100</f>
        <v>0</v>
      </c>
      <c r="CK51" s="88">
        <f>CK49*Assumption!$C$100</f>
        <v>-10.065665650684931</v>
      </c>
      <c r="CL51" s="88">
        <f>CL49*Assumption!$C$100</f>
        <v>0</v>
      </c>
      <c r="CM51" s="88">
        <f>CM49*Assumption!$C$100</f>
        <v>0</v>
      </c>
      <c r="CN51" s="88">
        <f>CN49*Assumption!$C$100</f>
        <v>-9.6483871232876712</v>
      </c>
      <c r="CO51" s="88">
        <f>CO49*Assumption!$C$100</f>
        <v>0</v>
      </c>
      <c r="CP51" s="88">
        <f>CP49*Assumption!$C$100</f>
        <v>0</v>
      </c>
      <c r="CQ51" s="88">
        <f>CQ49*Assumption!$C$100</f>
        <v>-9.2500682363013684</v>
      </c>
      <c r="CR51" s="88">
        <f>CR49*Assumption!$C$100</f>
        <v>0</v>
      </c>
      <c r="CS51" s="88">
        <f>CS49*Assumption!$C$100</f>
        <v>0</v>
      </c>
      <c r="CT51" s="88">
        <f>CT49*Assumption!$C$100</f>
        <v>-9.1563842465753407</v>
      </c>
      <c r="CU51" s="88">
        <f>CU49*Assumption!$C$100</f>
        <v>0</v>
      </c>
      <c r="CV51" s="88">
        <f>CV49*Assumption!$C$100</f>
        <v>0</v>
      </c>
      <c r="CW51" s="88">
        <f>CW49*Assumption!$C$100</f>
        <v>-8.8455849657534227</v>
      </c>
      <c r="CX51" s="88">
        <f>CX49*Assumption!$C$100</f>
        <v>0</v>
      </c>
      <c r="CY51" s="88">
        <f>CY49*Assumption!$C$100</f>
        <v>0</v>
      </c>
      <c r="CZ51" s="88">
        <f>CZ49*Assumption!$C$100</f>
        <v>-8.4423387328767134</v>
      </c>
      <c r="DA51" s="88">
        <f>DA49*Assumption!$C$100</f>
        <v>0</v>
      </c>
      <c r="DB51" s="88">
        <f>DB49*Assumption!$C$100</f>
        <v>0</v>
      </c>
      <c r="DC51" s="88">
        <f>DC49*Assumption!$C$100</f>
        <v>-8.1237709272540979</v>
      </c>
      <c r="DD51" s="88">
        <f>DD49*Assumption!$C$100</f>
        <v>0</v>
      </c>
      <c r="DE51" s="88">
        <f>DE49*Assumption!$C$100</f>
        <v>0</v>
      </c>
      <c r="DF51" s="88">
        <f>DF49*Assumption!$C$100</f>
        <v>-7.9138512295081958</v>
      </c>
      <c r="DG51" s="88">
        <f>DG49*Assumption!$C$100</f>
        <v>0</v>
      </c>
      <c r="DH51" s="88">
        <f>DH49*Assumption!$C$100</f>
        <v>0</v>
      </c>
      <c r="DI51" s="88">
        <f>DI49*Assumption!$C$100</f>
        <v>-7.6046695696721303</v>
      </c>
      <c r="DJ51" s="88">
        <f>DJ49*Assumption!$C$100</f>
        <v>0</v>
      </c>
      <c r="DK51" s="88">
        <f>DK49*Assumption!$C$100</f>
        <v>0</v>
      </c>
      <c r="DL51" s="88">
        <f>DL49*Assumption!$C$100</f>
        <v>-7.2165190573770488</v>
      </c>
      <c r="DM51" s="88">
        <f>DM49*Assumption!$C$100</f>
        <v>0</v>
      </c>
      <c r="DN51" s="88">
        <f>DN49*Assumption!$C$100</f>
        <v>0</v>
      </c>
      <c r="DO51" s="88">
        <f>DO49*Assumption!$C$100</f>
        <v>-6.862953852739726</v>
      </c>
      <c r="DP51" s="88">
        <f>DP49*Assumption!$C$100</f>
        <v>0</v>
      </c>
      <c r="DQ51" s="88">
        <f>DQ49*Assumption!$C$100</f>
        <v>0</v>
      </c>
      <c r="DR51" s="88">
        <f>DR49*Assumption!$C$100</f>
        <v>-6.714681780821917</v>
      </c>
      <c r="DS51" s="88">
        <f>DS49*Assumption!$C$100</f>
        <v>0</v>
      </c>
      <c r="DT51" s="88">
        <f>DT49*Assumption!$C$100</f>
        <v>0</v>
      </c>
      <c r="DU51" s="88">
        <f>DU49*Assumption!$C$100</f>
        <v>-6.4054235958904107</v>
      </c>
      <c r="DV51" s="88">
        <f>DV49*Assumption!$C$100</f>
        <v>0</v>
      </c>
      <c r="DW51" s="88">
        <f>DW49*Assumption!$C$100</f>
        <v>0</v>
      </c>
      <c r="DX51" s="88">
        <f>DX49*Assumption!$C$100</f>
        <v>-6.0302419520547943</v>
      </c>
      <c r="DY51" s="88">
        <f>DY49*Assumption!$C$100</f>
        <v>0</v>
      </c>
      <c r="DZ51" s="88">
        <f>DZ49*Assumption!$C$100</f>
        <v>0</v>
      </c>
      <c r="EA51" s="88">
        <f>EA49*Assumption!$C$100</f>
        <v>-5.6693966609589044</v>
      </c>
      <c r="EB51" s="88">
        <f>EB49*Assumption!$C$100</f>
        <v>0</v>
      </c>
      <c r="EC51" s="88">
        <f>EC49*Assumption!$C$100</f>
        <v>0</v>
      </c>
      <c r="ED51" s="88">
        <f>ED49*Assumption!$C$100</f>
        <v>-5.4938305479452056</v>
      </c>
      <c r="EE51" s="88">
        <f>EE49*Assumption!$C$100</f>
        <v>0</v>
      </c>
      <c r="EF51" s="88">
        <f>EF49*Assumption!$C$100</f>
        <v>0</v>
      </c>
      <c r="EG51" s="88">
        <f>EG49*Assumption!$C$100</f>
        <v>-5.1853429109589033</v>
      </c>
      <c r="EH51" s="88">
        <f>EH49*Assumption!$C$100</f>
        <v>0</v>
      </c>
      <c r="EI51" s="88">
        <f>EI49*Assumption!$C$100</f>
        <v>0</v>
      </c>
      <c r="EJ51" s="88">
        <f>EJ49*Assumption!$C$100</f>
        <v>-4.8241935616438356</v>
      </c>
      <c r="EK51" s="88">
        <f>EK49*Assumption!$C$100</f>
        <v>0</v>
      </c>
      <c r="EL51" s="88">
        <f>EL49*Assumption!$C$100</f>
        <v>0</v>
      </c>
      <c r="EM51" s="88">
        <f>EM49*Assumption!$C$100</f>
        <v>-4.4758394691780827</v>
      </c>
      <c r="EN51" s="88">
        <f>EN49*Assumption!$C$100</f>
        <v>0</v>
      </c>
      <c r="EO51" s="88">
        <f>EO49*Assumption!$C$100</f>
        <v>0</v>
      </c>
      <c r="EP51" s="88">
        <f>EP49*Assumption!$C$100</f>
        <v>-4.2729793150684934</v>
      </c>
      <c r="EQ51" s="88">
        <f>EQ49*Assumption!$C$100</f>
        <v>0</v>
      </c>
      <c r="ER51" s="88">
        <f>ER49*Assumption!$C$100</f>
        <v>0</v>
      </c>
      <c r="ES51" s="88">
        <f>ES49*Assumption!$C$100</f>
        <v>-3.9652622260273973</v>
      </c>
      <c r="ET51" s="88">
        <f>ET49*Assumption!$C$100</f>
        <v>0</v>
      </c>
      <c r="EU51" s="88">
        <f>EU49*Assumption!$C$100</f>
        <v>0</v>
      </c>
      <c r="EV51" s="88">
        <f>EV49*Assumption!$C$100</f>
        <v>-3.6181451712328769</v>
      </c>
      <c r="EW51" s="88">
        <f>EW49*Assumption!$C$100</f>
        <v>0</v>
      </c>
      <c r="EX51" s="88">
        <f>EX49*Assumption!$C$100</f>
        <v>0</v>
      </c>
      <c r="EY51" s="88">
        <f>EY49*Assumption!$C$100</f>
        <v>-3.3096844518442619</v>
      </c>
      <c r="EZ51" s="88">
        <f>EZ49*Assumption!$C$100</f>
        <v>0</v>
      </c>
      <c r="FA51" s="88">
        <f>FA49*Assumption!$C$100</f>
        <v>0</v>
      </c>
      <c r="FB51" s="88">
        <f>FB49*Assumption!$C$100</f>
        <v>-3.043788934426229</v>
      </c>
      <c r="FC51" s="88">
        <f>FC49*Assumption!$C$100</f>
        <v>0</v>
      </c>
      <c r="FD51" s="88">
        <f>FD49*Assumption!$C$100</f>
        <v>0</v>
      </c>
      <c r="FE51" s="88">
        <f>FE49*Assumption!$C$100</f>
        <v>-2.7376810450819669</v>
      </c>
      <c r="FF51" s="88">
        <f>FF49*Assumption!$C$100</f>
        <v>0</v>
      </c>
      <c r="FG51" s="88">
        <f>FG49*Assumption!$C$100</f>
        <v>0</v>
      </c>
      <c r="FH51" s="88">
        <f>FH49*Assumption!$C$100</f>
        <v>-2.4055063524590161</v>
      </c>
      <c r="FI51" s="88">
        <f>FI49*Assumption!$C$100</f>
        <v>0</v>
      </c>
      <c r="FJ51" s="88">
        <f>FJ49*Assumption!$C$100</f>
        <v>0</v>
      </c>
      <c r="FK51" s="88">
        <f>FK49*Assumption!$C$100</f>
        <v>-2.0887250856164381</v>
      </c>
      <c r="FL51" s="88">
        <f>FL49*Assumption!$C$100</f>
        <v>0</v>
      </c>
      <c r="FM51" s="88">
        <f>FM49*Assumption!$C$100</f>
        <v>0</v>
      </c>
      <c r="FN51" s="88">
        <f>FN49*Assumption!$C$100</f>
        <v>-1.8312768493150686</v>
      </c>
      <c r="FO51" s="88">
        <f>FO49*Assumption!$C$100</f>
        <v>0</v>
      </c>
      <c r="FP51" s="88">
        <f>FP49*Assumption!$C$100</f>
        <v>0</v>
      </c>
      <c r="FQ51" s="88">
        <f>FQ49*Assumption!$C$100</f>
        <v>-1.5251008561643831</v>
      </c>
      <c r="FR51" s="88">
        <f>FR49*Assumption!$C$100</f>
        <v>0</v>
      </c>
      <c r="FS51" s="88">
        <f>FS49*Assumption!$C$100</f>
        <v>0</v>
      </c>
      <c r="FT51" s="88">
        <f>FT49*Assumption!$C$100</f>
        <v>-1.2060483904109589</v>
      </c>
      <c r="FU51" s="88">
        <f>FU49*Assumption!$C$100</f>
        <v>0</v>
      </c>
      <c r="FV51" s="88">
        <f>FV49*Assumption!$C$100</f>
        <v>0</v>
      </c>
      <c r="FW51" s="88">
        <f>FW49*Assumption!$C$100</f>
        <v>-0.92926464041095902</v>
      </c>
      <c r="FX51" s="88">
        <f>FX49*Assumption!$C$100</f>
        <v>0</v>
      </c>
      <c r="FY51" s="88">
        <f>FY49*Assumption!$C$100</f>
        <v>0</v>
      </c>
      <c r="FZ51" s="88">
        <f>FZ49*Assumption!$C$100</f>
        <v>-0.64548554794520552</v>
      </c>
      <c r="GA51" s="88">
        <f>GA49*Assumption!$C$100</f>
        <v>0</v>
      </c>
      <c r="GB51" s="88">
        <f>GB49*Assumption!$C$100</f>
        <v>0</v>
      </c>
      <c r="GC51" s="88">
        <f>GC49*Assumption!$C$100</f>
        <v>-0.32274277397260276</v>
      </c>
      <c r="GD51" s="88">
        <f>GD49*Assumption!$C$100</f>
        <v>0</v>
      </c>
      <c r="GE51" s="88">
        <f>GE49*Assumption!$C$100</f>
        <v>0</v>
      </c>
      <c r="GF51" s="100">
        <f>GF49*Assumption!$C$100</f>
        <v>0</v>
      </c>
    </row>
    <row r="52" spans="3:192" s="1" customFormat="1" x14ac:dyDescent="0.3">
      <c r="C52" s="104" t="s">
        <v>672</v>
      </c>
      <c r="D52" s="84">
        <f>SUM(E52:GF52)</f>
        <v>-27000</v>
      </c>
      <c r="E52" s="88">
        <f t="shared" ref="E52:AJ52" si="473">-E44</f>
        <v>0</v>
      </c>
      <c r="F52" s="88">
        <f t="shared" si="473"/>
        <v>0</v>
      </c>
      <c r="G52" s="88">
        <f t="shared" si="473"/>
        <v>0</v>
      </c>
      <c r="H52" s="88">
        <f t="shared" si="473"/>
        <v>0</v>
      </c>
      <c r="I52" s="88">
        <f t="shared" si="473"/>
        <v>0</v>
      </c>
      <c r="J52" s="88">
        <f t="shared" si="473"/>
        <v>0</v>
      </c>
      <c r="K52" s="88">
        <f t="shared" si="473"/>
        <v>0</v>
      </c>
      <c r="L52" s="88">
        <f t="shared" si="473"/>
        <v>0</v>
      </c>
      <c r="M52" s="88">
        <f t="shared" si="473"/>
        <v>0</v>
      </c>
      <c r="N52" s="88">
        <f t="shared" si="473"/>
        <v>0</v>
      </c>
      <c r="O52" s="88">
        <f t="shared" si="473"/>
        <v>0</v>
      </c>
      <c r="P52" s="88">
        <f t="shared" si="473"/>
        <v>0</v>
      </c>
      <c r="Q52" s="88">
        <f t="shared" si="473"/>
        <v>0</v>
      </c>
      <c r="R52" s="88">
        <f t="shared" si="473"/>
        <v>0</v>
      </c>
      <c r="S52" s="88">
        <f t="shared" si="473"/>
        <v>0</v>
      </c>
      <c r="T52" s="88">
        <f t="shared" si="473"/>
        <v>0</v>
      </c>
      <c r="U52" s="88">
        <f t="shared" si="473"/>
        <v>0</v>
      </c>
      <c r="V52" s="88">
        <f t="shared" si="473"/>
        <v>0</v>
      </c>
      <c r="W52" s="88">
        <f t="shared" si="473"/>
        <v>0</v>
      </c>
      <c r="X52" s="88">
        <f t="shared" si="473"/>
        <v>0</v>
      </c>
      <c r="Y52" s="88">
        <f t="shared" si="473"/>
        <v>0</v>
      </c>
      <c r="Z52" s="88">
        <f t="shared" si="473"/>
        <v>0</v>
      </c>
      <c r="AA52" s="88">
        <f t="shared" si="473"/>
        <v>0</v>
      </c>
      <c r="AB52" s="88">
        <f t="shared" si="473"/>
        <v>0</v>
      </c>
      <c r="AC52" s="88">
        <f t="shared" si="473"/>
        <v>0</v>
      </c>
      <c r="AD52" s="88">
        <f t="shared" si="473"/>
        <v>0</v>
      </c>
      <c r="AE52" s="88">
        <f t="shared" si="473"/>
        <v>0</v>
      </c>
      <c r="AF52" s="88">
        <f t="shared" si="473"/>
        <v>0</v>
      </c>
      <c r="AG52" s="88">
        <f t="shared" si="473"/>
        <v>0</v>
      </c>
      <c r="AH52" s="88">
        <f t="shared" si="473"/>
        <v>0</v>
      </c>
      <c r="AI52" s="88">
        <f t="shared" si="473"/>
        <v>0</v>
      </c>
      <c r="AJ52" s="88">
        <f t="shared" si="473"/>
        <v>0</v>
      </c>
      <c r="AK52" s="88">
        <f t="shared" ref="AK52:BP52" si="474">-AK44</f>
        <v>0</v>
      </c>
      <c r="AL52" s="88">
        <f t="shared" si="474"/>
        <v>0</v>
      </c>
      <c r="AM52" s="88">
        <f t="shared" si="474"/>
        <v>0</v>
      </c>
      <c r="AN52" s="88">
        <f t="shared" si="474"/>
        <v>0</v>
      </c>
      <c r="AO52" s="88">
        <f t="shared" si="474"/>
        <v>0</v>
      </c>
      <c r="AP52" s="88">
        <f t="shared" si="474"/>
        <v>0</v>
      </c>
      <c r="AQ52" s="88">
        <f t="shared" si="474"/>
        <v>0</v>
      </c>
      <c r="AR52" s="88">
        <f t="shared" si="474"/>
        <v>-562.5</v>
      </c>
      <c r="AS52" s="88">
        <f t="shared" si="474"/>
        <v>0</v>
      </c>
      <c r="AT52" s="88">
        <f t="shared" si="474"/>
        <v>0</v>
      </c>
      <c r="AU52" s="88">
        <f t="shared" si="474"/>
        <v>-562.5</v>
      </c>
      <c r="AV52" s="88">
        <f t="shared" si="474"/>
        <v>0</v>
      </c>
      <c r="AW52" s="88">
        <f t="shared" si="474"/>
        <v>0</v>
      </c>
      <c r="AX52" s="88">
        <f t="shared" si="474"/>
        <v>-562.5</v>
      </c>
      <c r="AY52" s="88">
        <f t="shared" si="474"/>
        <v>0</v>
      </c>
      <c r="AZ52" s="88">
        <f t="shared" si="474"/>
        <v>0</v>
      </c>
      <c r="BA52" s="88">
        <f t="shared" si="474"/>
        <v>-562.5</v>
      </c>
      <c r="BB52" s="88">
        <f t="shared" si="474"/>
        <v>0</v>
      </c>
      <c r="BC52" s="88">
        <f t="shared" si="474"/>
        <v>0</v>
      </c>
      <c r="BD52" s="88">
        <f t="shared" si="474"/>
        <v>-562.5</v>
      </c>
      <c r="BE52" s="88">
        <f t="shared" si="474"/>
        <v>0</v>
      </c>
      <c r="BF52" s="88">
        <f t="shared" si="474"/>
        <v>0</v>
      </c>
      <c r="BG52" s="88">
        <f t="shared" si="474"/>
        <v>-562.5</v>
      </c>
      <c r="BH52" s="88">
        <f t="shared" si="474"/>
        <v>0</v>
      </c>
      <c r="BI52" s="88">
        <f t="shared" si="474"/>
        <v>0</v>
      </c>
      <c r="BJ52" s="88">
        <f t="shared" si="474"/>
        <v>-562.5</v>
      </c>
      <c r="BK52" s="88">
        <f t="shared" si="474"/>
        <v>0</v>
      </c>
      <c r="BL52" s="88">
        <f t="shared" si="474"/>
        <v>0</v>
      </c>
      <c r="BM52" s="88">
        <f t="shared" si="474"/>
        <v>-562.5</v>
      </c>
      <c r="BN52" s="88">
        <f t="shared" si="474"/>
        <v>0</v>
      </c>
      <c r="BO52" s="88">
        <f t="shared" si="474"/>
        <v>0</v>
      </c>
      <c r="BP52" s="88">
        <f t="shared" si="474"/>
        <v>-562.5</v>
      </c>
      <c r="BQ52" s="88">
        <f t="shared" ref="BQ52:CV52" si="475">-BQ44</f>
        <v>0</v>
      </c>
      <c r="BR52" s="88">
        <f t="shared" si="475"/>
        <v>0</v>
      </c>
      <c r="BS52" s="88">
        <f t="shared" si="475"/>
        <v>-562.5</v>
      </c>
      <c r="BT52" s="88">
        <f t="shared" si="475"/>
        <v>0</v>
      </c>
      <c r="BU52" s="88">
        <f t="shared" si="475"/>
        <v>0</v>
      </c>
      <c r="BV52" s="88">
        <f t="shared" si="475"/>
        <v>-562.5</v>
      </c>
      <c r="BW52" s="88">
        <f t="shared" si="475"/>
        <v>0</v>
      </c>
      <c r="BX52" s="88">
        <f t="shared" si="475"/>
        <v>0</v>
      </c>
      <c r="BY52" s="88">
        <f t="shared" si="475"/>
        <v>-562.5</v>
      </c>
      <c r="BZ52" s="88">
        <f t="shared" si="475"/>
        <v>0</v>
      </c>
      <c r="CA52" s="88">
        <f t="shared" si="475"/>
        <v>0</v>
      </c>
      <c r="CB52" s="88">
        <f t="shared" si="475"/>
        <v>-562.5</v>
      </c>
      <c r="CC52" s="88">
        <f t="shared" si="475"/>
        <v>0</v>
      </c>
      <c r="CD52" s="88">
        <f t="shared" si="475"/>
        <v>0</v>
      </c>
      <c r="CE52" s="88">
        <f t="shared" si="475"/>
        <v>-562.5</v>
      </c>
      <c r="CF52" s="88">
        <f t="shared" si="475"/>
        <v>0</v>
      </c>
      <c r="CG52" s="88">
        <f t="shared" si="475"/>
        <v>0</v>
      </c>
      <c r="CH52" s="88">
        <f t="shared" si="475"/>
        <v>-562.5</v>
      </c>
      <c r="CI52" s="88">
        <f t="shared" si="475"/>
        <v>0</v>
      </c>
      <c r="CJ52" s="88">
        <f t="shared" si="475"/>
        <v>0</v>
      </c>
      <c r="CK52" s="88">
        <f t="shared" si="475"/>
        <v>-562.5</v>
      </c>
      <c r="CL52" s="88">
        <f t="shared" si="475"/>
        <v>0</v>
      </c>
      <c r="CM52" s="88">
        <f t="shared" si="475"/>
        <v>0</v>
      </c>
      <c r="CN52" s="88">
        <f t="shared" si="475"/>
        <v>-562.5</v>
      </c>
      <c r="CO52" s="88">
        <f t="shared" si="475"/>
        <v>0</v>
      </c>
      <c r="CP52" s="88">
        <f t="shared" si="475"/>
        <v>0</v>
      </c>
      <c r="CQ52" s="88">
        <f t="shared" si="475"/>
        <v>-562.5</v>
      </c>
      <c r="CR52" s="88">
        <f t="shared" si="475"/>
        <v>0</v>
      </c>
      <c r="CS52" s="88">
        <f t="shared" si="475"/>
        <v>0</v>
      </c>
      <c r="CT52" s="88">
        <f t="shared" si="475"/>
        <v>-562.5</v>
      </c>
      <c r="CU52" s="88">
        <f t="shared" si="475"/>
        <v>0</v>
      </c>
      <c r="CV52" s="88">
        <f t="shared" si="475"/>
        <v>0</v>
      </c>
      <c r="CW52" s="88">
        <f t="shared" ref="CW52:EB52" si="476">-CW44</f>
        <v>-562.5</v>
      </c>
      <c r="CX52" s="88">
        <f t="shared" si="476"/>
        <v>0</v>
      </c>
      <c r="CY52" s="88">
        <f t="shared" si="476"/>
        <v>0</v>
      </c>
      <c r="CZ52" s="88">
        <f t="shared" si="476"/>
        <v>-562.5</v>
      </c>
      <c r="DA52" s="88">
        <f t="shared" si="476"/>
        <v>0</v>
      </c>
      <c r="DB52" s="88">
        <f t="shared" si="476"/>
        <v>0</v>
      </c>
      <c r="DC52" s="88">
        <f t="shared" si="476"/>
        <v>-562.5</v>
      </c>
      <c r="DD52" s="88">
        <f t="shared" si="476"/>
        <v>0</v>
      </c>
      <c r="DE52" s="88">
        <f t="shared" si="476"/>
        <v>0</v>
      </c>
      <c r="DF52" s="88">
        <f t="shared" si="476"/>
        <v>-562.5</v>
      </c>
      <c r="DG52" s="88">
        <f t="shared" si="476"/>
        <v>0</v>
      </c>
      <c r="DH52" s="88">
        <f t="shared" si="476"/>
        <v>0</v>
      </c>
      <c r="DI52" s="88">
        <f t="shared" si="476"/>
        <v>-562.5</v>
      </c>
      <c r="DJ52" s="88">
        <f t="shared" si="476"/>
        <v>0</v>
      </c>
      <c r="DK52" s="88">
        <f t="shared" si="476"/>
        <v>0</v>
      </c>
      <c r="DL52" s="88">
        <f t="shared" si="476"/>
        <v>-562.5</v>
      </c>
      <c r="DM52" s="88">
        <f t="shared" si="476"/>
        <v>0</v>
      </c>
      <c r="DN52" s="88">
        <f t="shared" si="476"/>
        <v>0</v>
      </c>
      <c r="DO52" s="88">
        <f t="shared" si="476"/>
        <v>-562.5</v>
      </c>
      <c r="DP52" s="88">
        <f t="shared" si="476"/>
        <v>0</v>
      </c>
      <c r="DQ52" s="88">
        <f t="shared" si="476"/>
        <v>0</v>
      </c>
      <c r="DR52" s="88">
        <f t="shared" si="476"/>
        <v>-562.5</v>
      </c>
      <c r="DS52" s="88">
        <f t="shared" si="476"/>
        <v>0</v>
      </c>
      <c r="DT52" s="88">
        <f t="shared" si="476"/>
        <v>0</v>
      </c>
      <c r="DU52" s="88">
        <f t="shared" si="476"/>
        <v>-562.5</v>
      </c>
      <c r="DV52" s="88">
        <f t="shared" si="476"/>
        <v>0</v>
      </c>
      <c r="DW52" s="88">
        <f t="shared" si="476"/>
        <v>0</v>
      </c>
      <c r="DX52" s="88">
        <f t="shared" si="476"/>
        <v>-562.5</v>
      </c>
      <c r="DY52" s="88">
        <f t="shared" si="476"/>
        <v>0</v>
      </c>
      <c r="DZ52" s="88">
        <f t="shared" si="476"/>
        <v>0</v>
      </c>
      <c r="EA52" s="88">
        <f t="shared" si="476"/>
        <v>-562.5</v>
      </c>
      <c r="EB52" s="88">
        <f t="shared" si="476"/>
        <v>0</v>
      </c>
      <c r="EC52" s="88">
        <f t="shared" ref="EC52:FH52" si="477">-EC44</f>
        <v>0</v>
      </c>
      <c r="ED52" s="88">
        <f t="shared" si="477"/>
        <v>-562.5</v>
      </c>
      <c r="EE52" s="88">
        <f t="shared" si="477"/>
        <v>0</v>
      </c>
      <c r="EF52" s="88">
        <f t="shared" si="477"/>
        <v>0</v>
      </c>
      <c r="EG52" s="88">
        <f t="shared" si="477"/>
        <v>-562.5</v>
      </c>
      <c r="EH52" s="88">
        <f t="shared" si="477"/>
        <v>0</v>
      </c>
      <c r="EI52" s="88">
        <f t="shared" si="477"/>
        <v>0</v>
      </c>
      <c r="EJ52" s="88">
        <f t="shared" si="477"/>
        <v>-562.5</v>
      </c>
      <c r="EK52" s="88">
        <f t="shared" si="477"/>
        <v>0</v>
      </c>
      <c r="EL52" s="88">
        <f t="shared" si="477"/>
        <v>0</v>
      </c>
      <c r="EM52" s="88">
        <f t="shared" si="477"/>
        <v>-562.5</v>
      </c>
      <c r="EN52" s="88">
        <f t="shared" si="477"/>
        <v>0</v>
      </c>
      <c r="EO52" s="88">
        <f t="shared" si="477"/>
        <v>0</v>
      </c>
      <c r="EP52" s="88">
        <f t="shared" si="477"/>
        <v>-562.5</v>
      </c>
      <c r="EQ52" s="88">
        <f t="shared" si="477"/>
        <v>0</v>
      </c>
      <c r="ER52" s="88">
        <f t="shared" si="477"/>
        <v>0</v>
      </c>
      <c r="ES52" s="88">
        <f t="shared" si="477"/>
        <v>-562.5</v>
      </c>
      <c r="ET52" s="88">
        <f t="shared" si="477"/>
        <v>0</v>
      </c>
      <c r="EU52" s="88">
        <f t="shared" si="477"/>
        <v>0</v>
      </c>
      <c r="EV52" s="88">
        <f t="shared" si="477"/>
        <v>-562.5</v>
      </c>
      <c r="EW52" s="88">
        <f t="shared" si="477"/>
        <v>0</v>
      </c>
      <c r="EX52" s="88">
        <f t="shared" si="477"/>
        <v>0</v>
      </c>
      <c r="EY52" s="88">
        <f t="shared" si="477"/>
        <v>-562.5</v>
      </c>
      <c r="EZ52" s="88">
        <f t="shared" si="477"/>
        <v>0</v>
      </c>
      <c r="FA52" s="88">
        <f t="shared" si="477"/>
        <v>0</v>
      </c>
      <c r="FB52" s="88">
        <f t="shared" si="477"/>
        <v>-562.5</v>
      </c>
      <c r="FC52" s="88">
        <f t="shared" si="477"/>
        <v>0</v>
      </c>
      <c r="FD52" s="88">
        <f t="shared" si="477"/>
        <v>0</v>
      </c>
      <c r="FE52" s="88">
        <f t="shared" si="477"/>
        <v>-562.5</v>
      </c>
      <c r="FF52" s="88">
        <f t="shared" si="477"/>
        <v>0</v>
      </c>
      <c r="FG52" s="88">
        <f t="shared" si="477"/>
        <v>0</v>
      </c>
      <c r="FH52" s="88">
        <f t="shared" si="477"/>
        <v>-562.5</v>
      </c>
      <c r="FI52" s="88">
        <f t="shared" ref="FI52:FT52" si="478">-FI44</f>
        <v>0</v>
      </c>
      <c r="FJ52" s="88">
        <f t="shared" si="478"/>
        <v>0</v>
      </c>
      <c r="FK52" s="88">
        <f t="shared" si="478"/>
        <v>-562.5</v>
      </c>
      <c r="FL52" s="88">
        <f t="shared" si="478"/>
        <v>0</v>
      </c>
      <c r="FM52" s="88">
        <f t="shared" si="478"/>
        <v>0</v>
      </c>
      <c r="FN52" s="88">
        <f t="shared" si="478"/>
        <v>-562.5</v>
      </c>
      <c r="FO52" s="88">
        <f t="shared" si="478"/>
        <v>0</v>
      </c>
      <c r="FP52" s="88">
        <f t="shared" si="478"/>
        <v>0</v>
      </c>
      <c r="FQ52" s="88">
        <f t="shared" si="478"/>
        <v>-562.5</v>
      </c>
      <c r="FR52" s="88">
        <f t="shared" si="478"/>
        <v>0</v>
      </c>
      <c r="FS52" s="88">
        <f t="shared" si="478"/>
        <v>0</v>
      </c>
      <c r="FT52" s="88">
        <f t="shared" si="478"/>
        <v>-562.5</v>
      </c>
      <c r="FU52" s="88">
        <f t="shared" ref="FU52:GC52" si="479">-FU44</f>
        <v>0</v>
      </c>
      <c r="FV52" s="88">
        <f t="shared" si="479"/>
        <v>0</v>
      </c>
      <c r="FW52" s="88">
        <f t="shared" si="479"/>
        <v>-562.5</v>
      </c>
      <c r="FX52" s="88">
        <f t="shared" si="479"/>
        <v>0</v>
      </c>
      <c r="FY52" s="88">
        <f t="shared" si="479"/>
        <v>0</v>
      </c>
      <c r="FZ52" s="88">
        <f t="shared" si="479"/>
        <v>-562.5</v>
      </c>
      <c r="GA52" s="88">
        <f t="shared" si="479"/>
        <v>0</v>
      </c>
      <c r="GB52" s="88">
        <f t="shared" si="479"/>
        <v>0</v>
      </c>
      <c r="GC52" s="88">
        <f t="shared" si="479"/>
        <v>-562.5</v>
      </c>
      <c r="GD52" s="88">
        <f t="shared" ref="GD52:GF52" si="480">-GD44</f>
        <v>0</v>
      </c>
      <c r="GE52" s="88">
        <f t="shared" si="480"/>
        <v>0</v>
      </c>
      <c r="GF52" s="100">
        <f t="shared" si="480"/>
        <v>0</v>
      </c>
    </row>
    <row r="53" spans="3:192" s="1" customFormat="1" x14ac:dyDescent="0.3">
      <c r="C53" s="525" t="s">
        <v>673</v>
      </c>
      <c r="D53" s="88">
        <f t="shared" ref="D53:D54" si="481">SUM(E53:GF53)</f>
        <v>-25650</v>
      </c>
      <c r="E53" s="88">
        <f>E52*Assumption!$C$99</f>
        <v>0</v>
      </c>
      <c r="F53" s="88">
        <f>F52*Assumption!$C$99</f>
        <v>0</v>
      </c>
      <c r="G53" s="88">
        <f>G52*Assumption!$C$99</f>
        <v>0</v>
      </c>
      <c r="H53" s="88">
        <f>H52*Assumption!$C$99</f>
        <v>0</v>
      </c>
      <c r="I53" s="88">
        <f>I52*Assumption!$C$99</f>
        <v>0</v>
      </c>
      <c r="J53" s="88">
        <f>J52*Assumption!$C$99</f>
        <v>0</v>
      </c>
      <c r="K53" s="88">
        <f>K52*Assumption!$C$99</f>
        <v>0</v>
      </c>
      <c r="L53" s="88">
        <f>L52*Assumption!$C$99</f>
        <v>0</v>
      </c>
      <c r="M53" s="88">
        <f>M52*Assumption!$C$99</f>
        <v>0</v>
      </c>
      <c r="N53" s="88">
        <f>N52*Assumption!$C$99</f>
        <v>0</v>
      </c>
      <c r="O53" s="88">
        <f>O52*Assumption!$C$99</f>
        <v>0</v>
      </c>
      <c r="P53" s="88">
        <f>P52*Assumption!$C$99</f>
        <v>0</v>
      </c>
      <c r="Q53" s="88">
        <f>Q52*Assumption!$C$99</f>
        <v>0</v>
      </c>
      <c r="R53" s="88">
        <f>R52*Assumption!$C$99</f>
        <v>0</v>
      </c>
      <c r="S53" s="88">
        <f>S52*Assumption!$C$99</f>
        <v>0</v>
      </c>
      <c r="T53" s="88">
        <f>T52*Assumption!$C$99</f>
        <v>0</v>
      </c>
      <c r="U53" s="88">
        <f>U52*Assumption!$C$99</f>
        <v>0</v>
      </c>
      <c r="V53" s="88">
        <f>V52*Assumption!$C$99</f>
        <v>0</v>
      </c>
      <c r="W53" s="88">
        <f>W52*Assumption!$C$99</f>
        <v>0</v>
      </c>
      <c r="X53" s="88">
        <f>X52*Assumption!$C$99</f>
        <v>0</v>
      </c>
      <c r="Y53" s="88">
        <f>Y52*Assumption!$C$99</f>
        <v>0</v>
      </c>
      <c r="Z53" s="88">
        <f>Z52*Assumption!$C$99</f>
        <v>0</v>
      </c>
      <c r="AA53" s="88">
        <f>AA52*Assumption!$C$99</f>
        <v>0</v>
      </c>
      <c r="AB53" s="88">
        <f>AB52*Assumption!$C$99</f>
        <v>0</v>
      </c>
      <c r="AC53" s="88">
        <f>AC52*Assumption!$C$99</f>
        <v>0</v>
      </c>
      <c r="AD53" s="88">
        <f>AD52*Assumption!$C$99</f>
        <v>0</v>
      </c>
      <c r="AE53" s="88">
        <f>AE52*Assumption!$C$99</f>
        <v>0</v>
      </c>
      <c r="AF53" s="88">
        <f>AF52*Assumption!$C$99</f>
        <v>0</v>
      </c>
      <c r="AG53" s="88">
        <f>AG52*Assumption!$C$99</f>
        <v>0</v>
      </c>
      <c r="AH53" s="88">
        <f>AH52*Assumption!$C$99</f>
        <v>0</v>
      </c>
      <c r="AI53" s="88">
        <f>AI52*Assumption!$C$99</f>
        <v>0</v>
      </c>
      <c r="AJ53" s="88">
        <f>AJ52*Assumption!$C$99</f>
        <v>0</v>
      </c>
      <c r="AK53" s="88">
        <f>AK52*Assumption!$C$99</f>
        <v>0</v>
      </c>
      <c r="AL53" s="88">
        <f>AL52*Assumption!$C$99</f>
        <v>0</v>
      </c>
      <c r="AM53" s="88">
        <f>AM52*Assumption!$C$99</f>
        <v>0</v>
      </c>
      <c r="AN53" s="88">
        <f>AN52*Assumption!$C$99</f>
        <v>0</v>
      </c>
      <c r="AO53" s="88">
        <f>AO52*Assumption!$C$99</f>
        <v>0</v>
      </c>
      <c r="AP53" s="88">
        <f>AP52*Assumption!$C$99</f>
        <v>0</v>
      </c>
      <c r="AQ53" s="88">
        <f>AQ52*Assumption!$C$99</f>
        <v>0</v>
      </c>
      <c r="AR53" s="88">
        <f>AR52*Assumption!$C$99</f>
        <v>-534.375</v>
      </c>
      <c r="AS53" s="88">
        <f>AS52*Assumption!$C$99</f>
        <v>0</v>
      </c>
      <c r="AT53" s="88">
        <f>AT52*Assumption!$C$99</f>
        <v>0</v>
      </c>
      <c r="AU53" s="88">
        <f>AU52*Assumption!$C$99</f>
        <v>-534.375</v>
      </c>
      <c r="AV53" s="88">
        <f>AV52*Assumption!$C$99</f>
        <v>0</v>
      </c>
      <c r="AW53" s="88">
        <f>AW52*Assumption!$C$99</f>
        <v>0</v>
      </c>
      <c r="AX53" s="88">
        <f>AX52*Assumption!$C$99</f>
        <v>-534.375</v>
      </c>
      <c r="AY53" s="88">
        <f>AY52*Assumption!$C$99</f>
        <v>0</v>
      </c>
      <c r="AZ53" s="88">
        <f>AZ52*Assumption!$C$99</f>
        <v>0</v>
      </c>
      <c r="BA53" s="88">
        <f>BA52*Assumption!$C$99</f>
        <v>-534.375</v>
      </c>
      <c r="BB53" s="88">
        <f>BB52*Assumption!$C$99</f>
        <v>0</v>
      </c>
      <c r="BC53" s="88">
        <f>BC52*Assumption!$C$99</f>
        <v>0</v>
      </c>
      <c r="BD53" s="88">
        <f>BD52*Assumption!$C$99</f>
        <v>-534.375</v>
      </c>
      <c r="BE53" s="88">
        <f>BE52*Assumption!$C$99</f>
        <v>0</v>
      </c>
      <c r="BF53" s="88">
        <f>BF52*Assumption!$C$99</f>
        <v>0</v>
      </c>
      <c r="BG53" s="88">
        <f>BG52*Assumption!$C$99</f>
        <v>-534.375</v>
      </c>
      <c r="BH53" s="88">
        <f>BH52*Assumption!$C$99</f>
        <v>0</v>
      </c>
      <c r="BI53" s="88">
        <f>BI52*Assumption!$C$99</f>
        <v>0</v>
      </c>
      <c r="BJ53" s="88">
        <f>BJ52*Assumption!$C$99</f>
        <v>-534.375</v>
      </c>
      <c r="BK53" s="88">
        <f>BK52*Assumption!$C$99</f>
        <v>0</v>
      </c>
      <c r="BL53" s="88">
        <f>BL52*Assumption!$C$99</f>
        <v>0</v>
      </c>
      <c r="BM53" s="88">
        <f>BM52*Assumption!$C$99</f>
        <v>-534.375</v>
      </c>
      <c r="BN53" s="88">
        <f>BN52*Assumption!$C$99</f>
        <v>0</v>
      </c>
      <c r="BO53" s="88">
        <f>BO52*Assumption!$C$99</f>
        <v>0</v>
      </c>
      <c r="BP53" s="88">
        <f>BP52*Assumption!$C$99</f>
        <v>-534.375</v>
      </c>
      <c r="BQ53" s="88">
        <f>BQ52*Assumption!$C$99</f>
        <v>0</v>
      </c>
      <c r="BR53" s="88">
        <f>BR52*Assumption!$C$99</f>
        <v>0</v>
      </c>
      <c r="BS53" s="88">
        <f>BS52*Assumption!$C$99</f>
        <v>-534.375</v>
      </c>
      <c r="BT53" s="88">
        <f>BT52*Assumption!$C$99</f>
        <v>0</v>
      </c>
      <c r="BU53" s="88">
        <f>BU52*Assumption!$C$99</f>
        <v>0</v>
      </c>
      <c r="BV53" s="88">
        <f>BV52*Assumption!$C$99</f>
        <v>-534.375</v>
      </c>
      <c r="BW53" s="88">
        <f>BW52*Assumption!$C$99</f>
        <v>0</v>
      </c>
      <c r="BX53" s="88">
        <f>BX52*Assumption!$C$99</f>
        <v>0</v>
      </c>
      <c r="BY53" s="88">
        <f>BY52*Assumption!$C$99</f>
        <v>-534.375</v>
      </c>
      <c r="BZ53" s="88">
        <f>BZ52*Assumption!$C$99</f>
        <v>0</v>
      </c>
      <c r="CA53" s="88">
        <f>CA52*Assumption!$C$99</f>
        <v>0</v>
      </c>
      <c r="CB53" s="88">
        <f>CB52*Assumption!$C$99</f>
        <v>-534.375</v>
      </c>
      <c r="CC53" s="88">
        <f>CC52*Assumption!$C$99</f>
        <v>0</v>
      </c>
      <c r="CD53" s="88">
        <f>CD52*Assumption!$C$99</f>
        <v>0</v>
      </c>
      <c r="CE53" s="88">
        <f>CE52*Assumption!$C$99</f>
        <v>-534.375</v>
      </c>
      <c r="CF53" s="88">
        <f>CF52*Assumption!$C$99</f>
        <v>0</v>
      </c>
      <c r="CG53" s="88">
        <f>CG52*Assumption!$C$99</f>
        <v>0</v>
      </c>
      <c r="CH53" s="88">
        <f>CH52*Assumption!$C$99</f>
        <v>-534.375</v>
      </c>
      <c r="CI53" s="88">
        <f>CI52*Assumption!$C$99</f>
        <v>0</v>
      </c>
      <c r="CJ53" s="88">
        <f>CJ52*Assumption!$C$99</f>
        <v>0</v>
      </c>
      <c r="CK53" s="88">
        <f>CK52*Assumption!$C$99</f>
        <v>-534.375</v>
      </c>
      <c r="CL53" s="88">
        <f>CL52*Assumption!$C$99</f>
        <v>0</v>
      </c>
      <c r="CM53" s="88">
        <f>CM52*Assumption!$C$99</f>
        <v>0</v>
      </c>
      <c r="CN53" s="88">
        <f>CN52*Assumption!$C$99</f>
        <v>-534.375</v>
      </c>
      <c r="CO53" s="88">
        <f>CO52*Assumption!$C$99</f>
        <v>0</v>
      </c>
      <c r="CP53" s="88">
        <f>CP52*Assumption!$C$99</f>
        <v>0</v>
      </c>
      <c r="CQ53" s="88">
        <f>CQ52*Assumption!$C$99</f>
        <v>-534.375</v>
      </c>
      <c r="CR53" s="88">
        <f>CR52*Assumption!$C$99</f>
        <v>0</v>
      </c>
      <c r="CS53" s="88">
        <f>CS52*Assumption!$C$99</f>
        <v>0</v>
      </c>
      <c r="CT53" s="88">
        <f>CT52*Assumption!$C$99</f>
        <v>-534.375</v>
      </c>
      <c r="CU53" s="88">
        <f>CU52*Assumption!$C$99</f>
        <v>0</v>
      </c>
      <c r="CV53" s="88">
        <f>CV52*Assumption!$C$99</f>
        <v>0</v>
      </c>
      <c r="CW53" s="88">
        <f>CW52*Assumption!$C$99</f>
        <v>-534.375</v>
      </c>
      <c r="CX53" s="88">
        <f>CX52*Assumption!$C$99</f>
        <v>0</v>
      </c>
      <c r="CY53" s="88">
        <f>CY52*Assumption!$C$99</f>
        <v>0</v>
      </c>
      <c r="CZ53" s="88">
        <f>CZ52*Assumption!$C$99</f>
        <v>-534.375</v>
      </c>
      <c r="DA53" s="88">
        <f>DA52*Assumption!$C$99</f>
        <v>0</v>
      </c>
      <c r="DB53" s="88">
        <f>DB52*Assumption!$C$99</f>
        <v>0</v>
      </c>
      <c r="DC53" s="88">
        <f>DC52*Assumption!$C$99</f>
        <v>-534.375</v>
      </c>
      <c r="DD53" s="88">
        <f>DD52*Assumption!$C$99</f>
        <v>0</v>
      </c>
      <c r="DE53" s="88">
        <f>DE52*Assumption!$C$99</f>
        <v>0</v>
      </c>
      <c r="DF53" s="88">
        <f>DF52*Assumption!$C$99</f>
        <v>-534.375</v>
      </c>
      <c r="DG53" s="88">
        <f>DG52*Assumption!$C$99</f>
        <v>0</v>
      </c>
      <c r="DH53" s="88">
        <f>DH52*Assumption!$C$99</f>
        <v>0</v>
      </c>
      <c r="DI53" s="88">
        <f>DI52*Assumption!$C$99</f>
        <v>-534.375</v>
      </c>
      <c r="DJ53" s="88">
        <f>DJ52*Assumption!$C$99</f>
        <v>0</v>
      </c>
      <c r="DK53" s="88">
        <f>DK52*Assumption!$C$99</f>
        <v>0</v>
      </c>
      <c r="DL53" s="88">
        <f>DL52*Assumption!$C$99</f>
        <v>-534.375</v>
      </c>
      <c r="DM53" s="88">
        <f>DM52*Assumption!$C$99</f>
        <v>0</v>
      </c>
      <c r="DN53" s="88">
        <f>DN52*Assumption!$C$99</f>
        <v>0</v>
      </c>
      <c r="DO53" s="88">
        <f>DO52*Assumption!$C$99</f>
        <v>-534.375</v>
      </c>
      <c r="DP53" s="88">
        <f>DP52*Assumption!$C$99</f>
        <v>0</v>
      </c>
      <c r="DQ53" s="88">
        <f>DQ52*Assumption!$C$99</f>
        <v>0</v>
      </c>
      <c r="DR53" s="88">
        <f>DR52*Assumption!$C$99</f>
        <v>-534.375</v>
      </c>
      <c r="DS53" s="88">
        <f>DS52*Assumption!$C$99</f>
        <v>0</v>
      </c>
      <c r="DT53" s="88">
        <f>DT52*Assumption!$C$99</f>
        <v>0</v>
      </c>
      <c r="DU53" s="88">
        <f>DU52*Assumption!$C$99</f>
        <v>-534.375</v>
      </c>
      <c r="DV53" s="88">
        <f>DV52*Assumption!$C$99</f>
        <v>0</v>
      </c>
      <c r="DW53" s="88">
        <f>DW52*Assumption!$C$99</f>
        <v>0</v>
      </c>
      <c r="DX53" s="88">
        <f>DX52*Assumption!$C$99</f>
        <v>-534.375</v>
      </c>
      <c r="DY53" s="88">
        <f>DY52*Assumption!$C$99</f>
        <v>0</v>
      </c>
      <c r="DZ53" s="88">
        <f>DZ52*Assumption!$C$99</f>
        <v>0</v>
      </c>
      <c r="EA53" s="88">
        <f>EA52*Assumption!$C$99</f>
        <v>-534.375</v>
      </c>
      <c r="EB53" s="88">
        <f>EB52*Assumption!$C$99</f>
        <v>0</v>
      </c>
      <c r="EC53" s="88">
        <f>EC52*Assumption!$C$99</f>
        <v>0</v>
      </c>
      <c r="ED53" s="88">
        <f>ED52*Assumption!$C$99</f>
        <v>-534.375</v>
      </c>
      <c r="EE53" s="88">
        <f>EE52*Assumption!$C$99</f>
        <v>0</v>
      </c>
      <c r="EF53" s="88">
        <f>EF52*Assumption!$C$99</f>
        <v>0</v>
      </c>
      <c r="EG53" s="88">
        <f>EG52*Assumption!$C$99</f>
        <v>-534.375</v>
      </c>
      <c r="EH53" s="88">
        <f>EH52*Assumption!$C$99</f>
        <v>0</v>
      </c>
      <c r="EI53" s="88">
        <f>EI52*Assumption!$C$99</f>
        <v>0</v>
      </c>
      <c r="EJ53" s="88">
        <f>EJ52*Assumption!$C$99</f>
        <v>-534.375</v>
      </c>
      <c r="EK53" s="88">
        <f>EK52*Assumption!$C$99</f>
        <v>0</v>
      </c>
      <c r="EL53" s="88">
        <f>EL52*Assumption!$C$99</f>
        <v>0</v>
      </c>
      <c r="EM53" s="88">
        <f>EM52*Assumption!$C$99</f>
        <v>-534.375</v>
      </c>
      <c r="EN53" s="88">
        <f>EN52*Assumption!$C$99</f>
        <v>0</v>
      </c>
      <c r="EO53" s="88">
        <f>EO52*Assumption!$C$99</f>
        <v>0</v>
      </c>
      <c r="EP53" s="88">
        <f>EP52*Assumption!$C$99</f>
        <v>-534.375</v>
      </c>
      <c r="EQ53" s="88">
        <f>EQ52*Assumption!$C$99</f>
        <v>0</v>
      </c>
      <c r="ER53" s="88">
        <f>ER52*Assumption!$C$99</f>
        <v>0</v>
      </c>
      <c r="ES53" s="88">
        <f>ES52*Assumption!$C$99</f>
        <v>-534.375</v>
      </c>
      <c r="ET53" s="88">
        <f>ET52*Assumption!$C$99</f>
        <v>0</v>
      </c>
      <c r="EU53" s="88">
        <f>EU52*Assumption!$C$99</f>
        <v>0</v>
      </c>
      <c r="EV53" s="88">
        <f>EV52*Assumption!$C$99</f>
        <v>-534.375</v>
      </c>
      <c r="EW53" s="88">
        <f>EW52*Assumption!$C$99</f>
        <v>0</v>
      </c>
      <c r="EX53" s="88">
        <f>EX52*Assumption!$C$99</f>
        <v>0</v>
      </c>
      <c r="EY53" s="88">
        <f>EY52*Assumption!$C$99</f>
        <v>-534.375</v>
      </c>
      <c r="EZ53" s="88">
        <f>EZ52*Assumption!$C$99</f>
        <v>0</v>
      </c>
      <c r="FA53" s="88">
        <f>FA52*Assumption!$C$99</f>
        <v>0</v>
      </c>
      <c r="FB53" s="88">
        <f>FB52*Assumption!$C$99</f>
        <v>-534.375</v>
      </c>
      <c r="FC53" s="88">
        <f>FC52*Assumption!$C$99</f>
        <v>0</v>
      </c>
      <c r="FD53" s="88">
        <f>FD52*Assumption!$C$99</f>
        <v>0</v>
      </c>
      <c r="FE53" s="88">
        <f>FE52*Assumption!$C$99</f>
        <v>-534.375</v>
      </c>
      <c r="FF53" s="88">
        <f>FF52*Assumption!$C$99</f>
        <v>0</v>
      </c>
      <c r="FG53" s="88">
        <f>FG52*Assumption!$C$99</f>
        <v>0</v>
      </c>
      <c r="FH53" s="88">
        <f>FH52*Assumption!$C$99</f>
        <v>-534.375</v>
      </c>
      <c r="FI53" s="88">
        <f>FI52*Assumption!$C$99</f>
        <v>0</v>
      </c>
      <c r="FJ53" s="88">
        <f>FJ52*Assumption!$C$99</f>
        <v>0</v>
      </c>
      <c r="FK53" s="88">
        <f>FK52*Assumption!$C$99</f>
        <v>-534.375</v>
      </c>
      <c r="FL53" s="88">
        <f>FL52*Assumption!$C$99</f>
        <v>0</v>
      </c>
      <c r="FM53" s="88">
        <f>FM52*Assumption!$C$99</f>
        <v>0</v>
      </c>
      <c r="FN53" s="88">
        <f>FN52*Assumption!$C$99</f>
        <v>-534.375</v>
      </c>
      <c r="FO53" s="88">
        <f>FO52*Assumption!$C$99</f>
        <v>0</v>
      </c>
      <c r="FP53" s="88">
        <f>FP52*Assumption!$C$99</f>
        <v>0</v>
      </c>
      <c r="FQ53" s="88">
        <f>FQ52*Assumption!$C$99</f>
        <v>-534.375</v>
      </c>
      <c r="FR53" s="88">
        <f>FR52*Assumption!$C$99</f>
        <v>0</v>
      </c>
      <c r="FS53" s="88">
        <f>FS52*Assumption!$C$99</f>
        <v>0</v>
      </c>
      <c r="FT53" s="88">
        <f>FT52*Assumption!$C$99</f>
        <v>-534.375</v>
      </c>
      <c r="FU53" s="88">
        <f>FU52*Assumption!$C$99</f>
        <v>0</v>
      </c>
      <c r="FV53" s="88">
        <f>FV52*Assumption!$C$99</f>
        <v>0</v>
      </c>
      <c r="FW53" s="88">
        <f>FW52*Assumption!$C$99</f>
        <v>-534.375</v>
      </c>
      <c r="FX53" s="88">
        <f>FX52*Assumption!$C$99</f>
        <v>0</v>
      </c>
      <c r="FY53" s="88">
        <f>FY52*Assumption!$C$99</f>
        <v>0</v>
      </c>
      <c r="FZ53" s="88">
        <f>FZ52*Assumption!$C$99</f>
        <v>-534.375</v>
      </c>
      <c r="GA53" s="88">
        <f>GA52*Assumption!$C$99</f>
        <v>0</v>
      </c>
      <c r="GB53" s="88">
        <f>GB52*Assumption!$C$99</f>
        <v>0</v>
      </c>
      <c r="GC53" s="88">
        <f>GC52*Assumption!$C$99</f>
        <v>-534.375</v>
      </c>
      <c r="GD53" s="88">
        <f>GD52*Assumption!$C$99</f>
        <v>0</v>
      </c>
      <c r="GE53" s="88">
        <f>GE52*Assumption!$C$99</f>
        <v>0</v>
      </c>
      <c r="GF53" s="100">
        <f>GF52*Assumption!$C$99</f>
        <v>0</v>
      </c>
    </row>
    <row r="54" spans="3:192" s="1" customFormat="1" x14ac:dyDescent="0.3">
      <c r="C54" s="525" t="s">
        <v>674</v>
      </c>
      <c r="D54" s="88">
        <f t="shared" si="481"/>
        <v>-1350</v>
      </c>
      <c r="E54" s="88">
        <f>E52*Assumption!$C$100</f>
        <v>0</v>
      </c>
      <c r="F54" s="88">
        <f>F52*Assumption!$C$100</f>
        <v>0</v>
      </c>
      <c r="G54" s="88">
        <f>G52*Assumption!$C$100</f>
        <v>0</v>
      </c>
      <c r="H54" s="88">
        <f>H52*Assumption!$C$100</f>
        <v>0</v>
      </c>
      <c r="I54" s="88">
        <f>I52*Assumption!$C$100</f>
        <v>0</v>
      </c>
      <c r="J54" s="88">
        <f>J52*Assumption!$C$100</f>
        <v>0</v>
      </c>
      <c r="K54" s="88">
        <f>K52*Assumption!$C$100</f>
        <v>0</v>
      </c>
      <c r="L54" s="88">
        <f>L52*Assumption!$C$100</f>
        <v>0</v>
      </c>
      <c r="M54" s="88">
        <f>M52*Assumption!$C$100</f>
        <v>0</v>
      </c>
      <c r="N54" s="88">
        <f>N52*Assumption!$C$100</f>
        <v>0</v>
      </c>
      <c r="O54" s="88">
        <f>O52*Assumption!$C$100</f>
        <v>0</v>
      </c>
      <c r="P54" s="88">
        <f>P52*Assumption!$C$100</f>
        <v>0</v>
      </c>
      <c r="Q54" s="88">
        <f>Q52*Assumption!$C$100</f>
        <v>0</v>
      </c>
      <c r="R54" s="88">
        <f>R52*Assumption!$C$100</f>
        <v>0</v>
      </c>
      <c r="S54" s="88">
        <f>S52*Assumption!$C$100</f>
        <v>0</v>
      </c>
      <c r="T54" s="88">
        <f>T52*Assumption!$C$100</f>
        <v>0</v>
      </c>
      <c r="U54" s="88">
        <f>U52*Assumption!$C$100</f>
        <v>0</v>
      </c>
      <c r="V54" s="88">
        <f>V52*Assumption!$C$100</f>
        <v>0</v>
      </c>
      <c r="W54" s="88">
        <f>W52*Assumption!$C$100</f>
        <v>0</v>
      </c>
      <c r="X54" s="88">
        <f>X52*Assumption!$C$100</f>
        <v>0</v>
      </c>
      <c r="Y54" s="88">
        <f>Y52*Assumption!$C$100</f>
        <v>0</v>
      </c>
      <c r="Z54" s="88">
        <f>Z52*Assumption!$C$100</f>
        <v>0</v>
      </c>
      <c r="AA54" s="88">
        <f>AA52*Assumption!$C$100</f>
        <v>0</v>
      </c>
      <c r="AB54" s="88">
        <f>AB52*Assumption!$C$100</f>
        <v>0</v>
      </c>
      <c r="AC54" s="88">
        <f>AC52*Assumption!$C$100</f>
        <v>0</v>
      </c>
      <c r="AD54" s="88">
        <f>AD52*Assumption!$C$100</f>
        <v>0</v>
      </c>
      <c r="AE54" s="88">
        <f>AE52*Assumption!$C$100</f>
        <v>0</v>
      </c>
      <c r="AF54" s="88">
        <f>AF52*Assumption!$C$100</f>
        <v>0</v>
      </c>
      <c r="AG54" s="88">
        <f>AG52*Assumption!$C$100</f>
        <v>0</v>
      </c>
      <c r="AH54" s="88">
        <f>AH52*Assumption!$C$100</f>
        <v>0</v>
      </c>
      <c r="AI54" s="88">
        <f>AI52*Assumption!$C$100</f>
        <v>0</v>
      </c>
      <c r="AJ54" s="88">
        <f>AJ52*Assumption!$C$100</f>
        <v>0</v>
      </c>
      <c r="AK54" s="88">
        <f>AK52*Assumption!$C$100</f>
        <v>0</v>
      </c>
      <c r="AL54" s="88">
        <f>AL52*Assumption!$C$100</f>
        <v>0</v>
      </c>
      <c r="AM54" s="88">
        <f>AM52*Assumption!$C$100</f>
        <v>0</v>
      </c>
      <c r="AN54" s="88">
        <f>AN52*Assumption!$C$100</f>
        <v>0</v>
      </c>
      <c r="AO54" s="88">
        <f>AO52*Assumption!$C$100</f>
        <v>0</v>
      </c>
      <c r="AP54" s="88">
        <f>AP52*Assumption!$C$100</f>
        <v>0</v>
      </c>
      <c r="AQ54" s="88">
        <f>AQ52*Assumption!$C$100</f>
        <v>0</v>
      </c>
      <c r="AR54" s="88">
        <f>AR52*Assumption!$C$100</f>
        <v>-28.125</v>
      </c>
      <c r="AS54" s="88">
        <f>AS52*Assumption!$C$100</f>
        <v>0</v>
      </c>
      <c r="AT54" s="88">
        <f>AT52*Assumption!$C$100</f>
        <v>0</v>
      </c>
      <c r="AU54" s="88">
        <f>AU52*Assumption!$C$100</f>
        <v>-28.125</v>
      </c>
      <c r="AV54" s="88">
        <f>AV52*Assumption!$C$100</f>
        <v>0</v>
      </c>
      <c r="AW54" s="88">
        <f>AW52*Assumption!$C$100</f>
        <v>0</v>
      </c>
      <c r="AX54" s="88">
        <f>AX52*Assumption!$C$100</f>
        <v>-28.125</v>
      </c>
      <c r="AY54" s="88">
        <f>AY52*Assumption!$C$100</f>
        <v>0</v>
      </c>
      <c r="AZ54" s="88">
        <f>AZ52*Assumption!$C$100</f>
        <v>0</v>
      </c>
      <c r="BA54" s="88">
        <f>BA52*Assumption!$C$100</f>
        <v>-28.125</v>
      </c>
      <c r="BB54" s="88">
        <f>BB52*Assumption!$C$100</f>
        <v>0</v>
      </c>
      <c r="BC54" s="88">
        <f>BC52*Assumption!$C$100</f>
        <v>0</v>
      </c>
      <c r="BD54" s="88">
        <f>BD52*Assumption!$C$100</f>
        <v>-28.125</v>
      </c>
      <c r="BE54" s="88">
        <f>BE52*Assumption!$C$100</f>
        <v>0</v>
      </c>
      <c r="BF54" s="88">
        <f>BF52*Assumption!$C$100</f>
        <v>0</v>
      </c>
      <c r="BG54" s="88">
        <f>BG52*Assumption!$C$100</f>
        <v>-28.125</v>
      </c>
      <c r="BH54" s="88">
        <f>BH52*Assumption!$C$100</f>
        <v>0</v>
      </c>
      <c r="BI54" s="88">
        <f>BI52*Assumption!$C$100</f>
        <v>0</v>
      </c>
      <c r="BJ54" s="88">
        <f>BJ52*Assumption!$C$100</f>
        <v>-28.125</v>
      </c>
      <c r="BK54" s="88">
        <f>BK52*Assumption!$C$100</f>
        <v>0</v>
      </c>
      <c r="BL54" s="88">
        <f>BL52*Assumption!$C$100</f>
        <v>0</v>
      </c>
      <c r="BM54" s="88">
        <f>BM52*Assumption!$C$100</f>
        <v>-28.125</v>
      </c>
      <c r="BN54" s="88">
        <f>BN52*Assumption!$C$100</f>
        <v>0</v>
      </c>
      <c r="BO54" s="88">
        <f>BO52*Assumption!$C$100</f>
        <v>0</v>
      </c>
      <c r="BP54" s="88">
        <f>BP52*Assumption!$C$100</f>
        <v>-28.125</v>
      </c>
      <c r="BQ54" s="88">
        <f>BQ52*Assumption!$C$100</f>
        <v>0</v>
      </c>
      <c r="BR54" s="88">
        <f>BR52*Assumption!$C$100</f>
        <v>0</v>
      </c>
      <c r="BS54" s="88">
        <f>BS52*Assumption!$C$100</f>
        <v>-28.125</v>
      </c>
      <c r="BT54" s="88">
        <f>BT52*Assumption!$C$100</f>
        <v>0</v>
      </c>
      <c r="BU54" s="88">
        <f>BU52*Assumption!$C$100</f>
        <v>0</v>
      </c>
      <c r="BV54" s="88">
        <f>BV52*Assumption!$C$100</f>
        <v>-28.125</v>
      </c>
      <c r="BW54" s="88">
        <f>BW52*Assumption!$C$100</f>
        <v>0</v>
      </c>
      <c r="BX54" s="88">
        <f>BX52*Assumption!$C$100</f>
        <v>0</v>
      </c>
      <c r="BY54" s="88">
        <f>BY52*Assumption!$C$100</f>
        <v>-28.125</v>
      </c>
      <c r="BZ54" s="88">
        <f>BZ52*Assumption!$C$100</f>
        <v>0</v>
      </c>
      <c r="CA54" s="88">
        <f>CA52*Assumption!$C$100</f>
        <v>0</v>
      </c>
      <c r="CB54" s="88">
        <f>CB52*Assumption!$C$100</f>
        <v>-28.125</v>
      </c>
      <c r="CC54" s="88">
        <f>CC52*Assumption!$C$100</f>
        <v>0</v>
      </c>
      <c r="CD54" s="88">
        <f>CD52*Assumption!$C$100</f>
        <v>0</v>
      </c>
      <c r="CE54" s="88">
        <f>CE52*Assumption!$C$100</f>
        <v>-28.125</v>
      </c>
      <c r="CF54" s="88">
        <f>CF52*Assumption!$C$100</f>
        <v>0</v>
      </c>
      <c r="CG54" s="88">
        <f>CG52*Assumption!$C$100</f>
        <v>0</v>
      </c>
      <c r="CH54" s="88">
        <f>CH52*Assumption!$C$100</f>
        <v>-28.125</v>
      </c>
      <c r="CI54" s="88">
        <f>CI52*Assumption!$C$100</f>
        <v>0</v>
      </c>
      <c r="CJ54" s="88">
        <f>CJ52*Assumption!$C$100</f>
        <v>0</v>
      </c>
      <c r="CK54" s="88">
        <f>CK52*Assumption!$C$100</f>
        <v>-28.125</v>
      </c>
      <c r="CL54" s="88">
        <f>CL52*Assumption!$C$100</f>
        <v>0</v>
      </c>
      <c r="CM54" s="88">
        <f>CM52*Assumption!$C$100</f>
        <v>0</v>
      </c>
      <c r="CN54" s="88">
        <f>CN52*Assumption!$C$100</f>
        <v>-28.125</v>
      </c>
      <c r="CO54" s="88">
        <f>CO52*Assumption!$C$100</f>
        <v>0</v>
      </c>
      <c r="CP54" s="88">
        <f>CP52*Assumption!$C$100</f>
        <v>0</v>
      </c>
      <c r="CQ54" s="88">
        <f>CQ52*Assumption!$C$100</f>
        <v>-28.125</v>
      </c>
      <c r="CR54" s="88">
        <f>CR52*Assumption!$C$100</f>
        <v>0</v>
      </c>
      <c r="CS54" s="88">
        <f>CS52*Assumption!$C$100</f>
        <v>0</v>
      </c>
      <c r="CT54" s="88">
        <f>CT52*Assumption!$C$100</f>
        <v>-28.125</v>
      </c>
      <c r="CU54" s="88">
        <f>CU52*Assumption!$C$100</f>
        <v>0</v>
      </c>
      <c r="CV54" s="88">
        <f>CV52*Assumption!$C$100</f>
        <v>0</v>
      </c>
      <c r="CW54" s="88">
        <f>CW52*Assumption!$C$100</f>
        <v>-28.125</v>
      </c>
      <c r="CX54" s="88">
        <f>CX52*Assumption!$C$100</f>
        <v>0</v>
      </c>
      <c r="CY54" s="88">
        <f>CY52*Assumption!$C$100</f>
        <v>0</v>
      </c>
      <c r="CZ54" s="88">
        <f>CZ52*Assumption!$C$100</f>
        <v>-28.125</v>
      </c>
      <c r="DA54" s="88">
        <f>DA52*Assumption!$C$100</f>
        <v>0</v>
      </c>
      <c r="DB54" s="88">
        <f>DB52*Assumption!$C$100</f>
        <v>0</v>
      </c>
      <c r="DC54" s="88">
        <f>DC52*Assumption!$C$100</f>
        <v>-28.125</v>
      </c>
      <c r="DD54" s="88">
        <f>DD52*Assumption!$C$100</f>
        <v>0</v>
      </c>
      <c r="DE54" s="88">
        <f>DE52*Assumption!$C$100</f>
        <v>0</v>
      </c>
      <c r="DF54" s="88">
        <f>DF52*Assumption!$C$100</f>
        <v>-28.125</v>
      </c>
      <c r="DG54" s="88">
        <f>DG52*Assumption!$C$100</f>
        <v>0</v>
      </c>
      <c r="DH54" s="88">
        <f>DH52*Assumption!$C$100</f>
        <v>0</v>
      </c>
      <c r="DI54" s="88">
        <f>DI52*Assumption!$C$100</f>
        <v>-28.125</v>
      </c>
      <c r="DJ54" s="88">
        <f>DJ52*Assumption!$C$100</f>
        <v>0</v>
      </c>
      <c r="DK54" s="88">
        <f>DK52*Assumption!$C$100</f>
        <v>0</v>
      </c>
      <c r="DL54" s="88">
        <f>DL52*Assumption!$C$100</f>
        <v>-28.125</v>
      </c>
      <c r="DM54" s="88">
        <f>DM52*Assumption!$C$100</f>
        <v>0</v>
      </c>
      <c r="DN54" s="88">
        <f>DN52*Assumption!$C$100</f>
        <v>0</v>
      </c>
      <c r="DO54" s="88">
        <f>DO52*Assumption!$C$100</f>
        <v>-28.125</v>
      </c>
      <c r="DP54" s="88">
        <f>DP52*Assumption!$C$100</f>
        <v>0</v>
      </c>
      <c r="DQ54" s="88">
        <f>DQ52*Assumption!$C$100</f>
        <v>0</v>
      </c>
      <c r="DR54" s="88">
        <f>DR52*Assumption!$C$100</f>
        <v>-28.125</v>
      </c>
      <c r="DS54" s="88">
        <f>DS52*Assumption!$C$100</f>
        <v>0</v>
      </c>
      <c r="DT54" s="88">
        <f>DT52*Assumption!$C$100</f>
        <v>0</v>
      </c>
      <c r="DU54" s="88">
        <f>DU52*Assumption!$C$100</f>
        <v>-28.125</v>
      </c>
      <c r="DV54" s="88">
        <f>DV52*Assumption!$C$100</f>
        <v>0</v>
      </c>
      <c r="DW54" s="88">
        <f>DW52*Assumption!$C$100</f>
        <v>0</v>
      </c>
      <c r="DX54" s="88">
        <f>DX52*Assumption!$C$100</f>
        <v>-28.125</v>
      </c>
      <c r="DY54" s="88">
        <f>DY52*Assumption!$C$100</f>
        <v>0</v>
      </c>
      <c r="DZ54" s="88">
        <f>DZ52*Assumption!$C$100</f>
        <v>0</v>
      </c>
      <c r="EA54" s="88">
        <f>EA52*Assumption!$C$100</f>
        <v>-28.125</v>
      </c>
      <c r="EB54" s="88">
        <f>EB52*Assumption!$C$100</f>
        <v>0</v>
      </c>
      <c r="EC54" s="88">
        <f>EC52*Assumption!$C$100</f>
        <v>0</v>
      </c>
      <c r="ED54" s="88">
        <f>ED52*Assumption!$C$100</f>
        <v>-28.125</v>
      </c>
      <c r="EE54" s="88">
        <f>EE52*Assumption!$C$100</f>
        <v>0</v>
      </c>
      <c r="EF54" s="88">
        <f>EF52*Assumption!$C$100</f>
        <v>0</v>
      </c>
      <c r="EG54" s="88">
        <f>EG52*Assumption!$C$100</f>
        <v>-28.125</v>
      </c>
      <c r="EH54" s="88">
        <f>EH52*Assumption!$C$100</f>
        <v>0</v>
      </c>
      <c r="EI54" s="88">
        <f>EI52*Assumption!$C$100</f>
        <v>0</v>
      </c>
      <c r="EJ54" s="88">
        <f>EJ52*Assumption!$C$100</f>
        <v>-28.125</v>
      </c>
      <c r="EK54" s="88">
        <f>EK52*Assumption!$C$100</f>
        <v>0</v>
      </c>
      <c r="EL54" s="88">
        <f>EL52*Assumption!$C$100</f>
        <v>0</v>
      </c>
      <c r="EM54" s="88">
        <f>EM52*Assumption!$C$100</f>
        <v>-28.125</v>
      </c>
      <c r="EN54" s="88">
        <f>EN52*Assumption!$C$100</f>
        <v>0</v>
      </c>
      <c r="EO54" s="88">
        <f>EO52*Assumption!$C$100</f>
        <v>0</v>
      </c>
      <c r="EP54" s="88">
        <f>EP52*Assumption!$C$100</f>
        <v>-28.125</v>
      </c>
      <c r="EQ54" s="88">
        <f>EQ52*Assumption!$C$100</f>
        <v>0</v>
      </c>
      <c r="ER54" s="88">
        <f>ER52*Assumption!$C$100</f>
        <v>0</v>
      </c>
      <c r="ES54" s="88">
        <f>ES52*Assumption!$C$100</f>
        <v>-28.125</v>
      </c>
      <c r="ET54" s="88">
        <f>ET52*Assumption!$C$100</f>
        <v>0</v>
      </c>
      <c r="EU54" s="88">
        <f>EU52*Assumption!$C$100</f>
        <v>0</v>
      </c>
      <c r="EV54" s="88">
        <f>EV52*Assumption!$C$100</f>
        <v>-28.125</v>
      </c>
      <c r="EW54" s="88">
        <f>EW52*Assumption!$C$100</f>
        <v>0</v>
      </c>
      <c r="EX54" s="88">
        <f>EX52*Assumption!$C$100</f>
        <v>0</v>
      </c>
      <c r="EY54" s="88">
        <f>EY52*Assumption!$C$100</f>
        <v>-28.125</v>
      </c>
      <c r="EZ54" s="88">
        <f>EZ52*Assumption!$C$100</f>
        <v>0</v>
      </c>
      <c r="FA54" s="88">
        <f>FA52*Assumption!$C$100</f>
        <v>0</v>
      </c>
      <c r="FB54" s="88">
        <f>FB52*Assumption!$C$100</f>
        <v>-28.125</v>
      </c>
      <c r="FC54" s="88">
        <f>FC52*Assumption!$C$100</f>
        <v>0</v>
      </c>
      <c r="FD54" s="88">
        <f>FD52*Assumption!$C$100</f>
        <v>0</v>
      </c>
      <c r="FE54" s="88">
        <f>FE52*Assumption!$C$100</f>
        <v>-28.125</v>
      </c>
      <c r="FF54" s="88">
        <f>FF52*Assumption!$C$100</f>
        <v>0</v>
      </c>
      <c r="FG54" s="88">
        <f>FG52*Assumption!$C$100</f>
        <v>0</v>
      </c>
      <c r="FH54" s="88">
        <f>FH52*Assumption!$C$100</f>
        <v>-28.125</v>
      </c>
      <c r="FI54" s="88">
        <f>FI52*Assumption!$C$100</f>
        <v>0</v>
      </c>
      <c r="FJ54" s="88">
        <f>FJ52*Assumption!$C$100</f>
        <v>0</v>
      </c>
      <c r="FK54" s="88">
        <f>FK52*Assumption!$C$100</f>
        <v>-28.125</v>
      </c>
      <c r="FL54" s="88">
        <f>FL52*Assumption!$C$100</f>
        <v>0</v>
      </c>
      <c r="FM54" s="88">
        <f>FM52*Assumption!$C$100</f>
        <v>0</v>
      </c>
      <c r="FN54" s="88">
        <f>FN52*Assumption!$C$100</f>
        <v>-28.125</v>
      </c>
      <c r="FO54" s="88">
        <f>FO52*Assumption!$C$100</f>
        <v>0</v>
      </c>
      <c r="FP54" s="88">
        <f>FP52*Assumption!$C$100</f>
        <v>0</v>
      </c>
      <c r="FQ54" s="88">
        <f>FQ52*Assumption!$C$100</f>
        <v>-28.125</v>
      </c>
      <c r="FR54" s="88">
        <f>FR52*Assumption!$C$100</f>
        <v>0</v>
      </c>
      <c r="FS54" s="88">
        <f>FS52*Assumption!$C$100</f>
        <v>0</v>
      </c>
      <c r="FT54" s="88">
        <f>FT52*Assumption!$C$100</f>
        <v>-28.125</v>
      </c>
      <c r="FU54" s="88">
        <f>FU52*Assumption!$C$100</f>
        <v>0</v>
      </c>
      <c r="FV54" s="88">
        <f>FV52*Assumption!$C$100</f>
        <v>0</v>
      </c>
      <c r="FW54" s="88">
        <f>FW52*Assumption!$C$100</f>
        <v>-28.125</v>
      </c>
      <c r="FX54" s="88">
        <f>FX52*Assumption!$C$100</f>
        <v>0</v>
      </c>
      <c r="FY54" s="88">
        <f>FY52*Assumption!$C$100</f>
        <v>0</v>
      </c>
      <c r="FZ54" s="88">
        <f>FZ52*Assumption!$C$100</f>
        <v>-28.125</v>
      </c>
      <c r="GA54" s="88">
        <f>GA52*Assumption!$C$100</f>
        <v>0</v>
      </c>
      <c r="GB54" s="88">
        <f>GB52*Assumption!$C$100</f>
        <v>0</v>
      </c>
      <c r="GC54" s="88">
        <f>GC52*Assumption!$C$100</f>
        <v>-28.125</v>
      </c>
      <c r="GD54" s="88">
        <f>GD52*Assumption!$C$100</f>
        <v>0</v>
      </c>
      <c r="GE54" s="88">
        <f>GE52*Assumption!$C$100</f>
        <v>0</v>
      </c>
      <c r="GF54" s="100">
        <f>GF52*Assumption!$C$100</f>
        <v>0</v>
      </c>
    </row>
    <row r="55" spans="3:192" s="1" customFormat="1" x14ac:dyDescent="0.3">
      <c r="C55" s="68" t="s">
        <v>99</v>
      </c>
      <c r="D55" s="469">
        <f t="shared" ref="D55:AI55" si="482">D38+D45</f>
        <v>0</v>
      </c>
      <c r="E55" s="470">
        <f t="shared" si="482"/>
        <v>0</v>
      </c>
      <c r="F55" s="470">
        <f t="shared" si="482"/>
        <v>0</v>
      </c>
      <c r="G55" s="470">
        <f t="shared" si="482"/>
        <v>0</v>
      </c>
      <c r="H55" s="470">
        <f t="shared" si="482"/>
        <v>0</v>
      </c>
      <c r="I55" s="470">
        <f t="shared" si="482"/>
        <v>0</v>
      </c>
      <c r="J55" s="470">
        <f t="shared" si="482"/>
        <v>0</v>
      </c>
      <c r="K55" s="470">
        <f t="shared" si="482"/>
        <v>0</v>
      </c>
      <c r="L55" s="470">
        <f t="shared" si="482"/>
        <v>0</v>
      </c>
      <c r="M55" s="470">
        <f t="shared" si="482"/>
        <v>0</v>
      </c>
      <c r="N55" s="470">
        <f t="shared" si="482"/>
        <v>0</v>
      </c>
      <c r="O55" s="470">
        <f t="shared" si="482"/>
        <v>0</v>
      </c>
      <c r="P55" s="470">
        <f t="shared" si="482"/>
        <v>0</v>
      </c>
      <c r="Q55" s="470">
        <f t="shared" si="482"/>
        <v>0</v>
      </c>
      <c r="R55" s="470">
        <f t="shared" si="482"/>
        <v>0</v>
      </c>
      <c r="S55" s="470">
        <f t="shared" si="482"/>
        <v>0</v>
      </c>
      <c r="T55" s="470">
        <f t="shared" si="482"/>
        <v>0</v>
      </c>
      <c r="U55" s="469">
        <f t="shared" si="482"/>
        <v>0</v>
      </c>
      <c r="V55" s="470">
        <f t="shared" si="482"/>
        <v>0</v>
      </c>
      <c r="W55" s="470">
        <f t="shared" si="482"/>
        <v>0</v>
      </c>
      <c r="X55" s="470">
        <f t="shared" si="482"/>
        <v>0</v>
      </c>
      <c r="Y55" s="470">
        <f t="shared" si="482"/>
        <v>0</v>
      </c>
      <c r="Z55" s="470">
        <f t="shared" si="482"/>
        <v>0</v>
      </c>
      <c r="AA55" s="470">
        <f t="shared" si="482"/>
        <v>0</v>
      </c>
      <c r="AB55" s="470">
        <f t="shared" si="482"/>
        <v>0</v>
      </c>
      <c r="AC55" s="470">
        <f t="shared" si="482"/>
        <v>0</v>
      </c>
      <c r="AD55" s="470">
        <f t="shared" si="482"/>
        <v>0</v>
      </c>
      <c r="AE55" s="470">
        <f t="shared" si="482"/>
        <v>0</v>
      </c>
      <c r="AF55" s="470">
        <f t="shared" si="482"/>
        <v>0</v>
      </c>
      <c r="AG55" s="470">
        <f t="shared" si="482"/>
        <v>0</v>
      </c>
      <c r="AH55" s="470">
        <f t="shared" si="482"/>
        <v>0</v>
      </c>
      <c r="AI55" s="470">
        <f t="shared" si="482"/>
        <v>0</v>
      </c>
      <c r="AJ55" s="470">
        <f t="shared" ref="AJ55:BO55" si="483">AJ38+AJ45</f>
        <v>0</v>
      </c>
      <c r="AK55" s="470">
        <f t="shared" si="483"/>
        <v>0</v>
      </c>
      <c r="AL55" s="470">
        <f t="shared" si="483"/>
        <v>0</v>
      </c>
      <c r="AM55" s="470">
        <f t="shared" si="483"/>
        <v>0</v>
      </c>
      <c r="AN55" s="470">
        <f t="shared" si="483"/>
        <v>0</v>
      </c>
      <c r="AO55" s="470">
        <f t="shared" si="483"/>
        <v>0</v>
      </c>
      <c r="AP55" s="470">
        <f t="shared" si="483"/>
        <v>0</v>
      </c>
      <c r="AQ55" s="470">
        <f t="shared" si="483"/>
        <v>0</v>
      </c>
      <c r="AR55" s="470">
        <f t="shared" si="483"/>
        <v>0</v>
      </c>
      <c r="AS55" s="470">
        <f t="shared" si="483"/>
        <v>0</v>
      </c>
      <c r="AT55" s="470">
        <f t="shared" si="483"/>
        <v>0</v>
      </c>
      <c r="AU55" s="470">
        <f t="shared" si="483"/>
        <v>0</v>
      </c>
      <c r="AV55" s="470">
        <f t="shared" si="483"/>
        <v>0</v>
      </c>
      <c r="AW55" s="470">
        <f t="shared" si="483"/>
        <v>0</v>
      </c>
      <c r="AX55" s="470">
        <f t="shared" si="483"/>
        <v>0</v>
      </c>
      <c r="AY55" s="470">
        <f t="shared" si="483"/>
        <v>0</v>
      </c>
      <c r="AZ55" s="470">
        <f t="shared" si="483"/>
        <v>0</v>
      </c>
      <c r="BA55" s="470">
        <f t="shared" si="483"/>
        <v>0</v>
      </c>
      <c r="BB55" s="470">
        <f t="shared" si="483"/>
        <v>0</v>
      </c>
      <c r="BC55" s="470">
        <f t="shared" si="483"/>
        <v>0</v>
      </c>
      <c r="BD55" s="470">
        <f t="shared" si="483"/>
        <v>0</v>
      </c>
      <c r="BE55" s="470">
        <f t="shared" si="483"/>
        <v>0</v>
      </c>
      <c r="BF55" s="470">
        <f t="shared" si="483"/>
        <v>0</v>
      </c>
      <c r="BG55" s="470">
        <f t="shared" si="483"/>
        <v>0</v>
      </c>
      <c r="BH55" s="470">
        <f t="shared" si="483"/>
        <v>0</v>
      </c>
      <c r="BI55" s="470">
        <f t="shared" si="483"/>
        <v>0</v>
      </c>
      <c r="BJ55" s="470">
        <f t="shared" si="483"/>
        <v>0</v>
      </c>
      <c r="BK55" s="470">
        <f t="shared" si="483"/>
        <v>0</v>
      </c>
      <c r="BL55" s="470">
        <f t="shared" si="483"/>
        <v>0</v>
      </c>
      <c r="BM55" s="470">
        <f t="shared" si="483"/>
        <v>0</v>
      </c>
      <c r="BN55" s="470">
        <f t="shared" si="483"/>
        <v>0</v>
      </c>
      <c r="BO55" s="470">
        <f t="shared" si="483"/>
        <v>0</v>
      </c>
      <c r="BP55" s="470">
        <f t="shared" ref="BP55:CU55" si="484">BP38+BP45</f>
        <v>0</v>
      </c>
      <c r="BQ55" s="470">
        <f t="shared" si="484"/>
        <v>0</v>
      </c>
      <c r="BR55" s="470">
        <f t="shared" si="484"/>
        <v>0</v>
      </c>
      <c r="BS55" s="470">
        <f t="shared" si="484"/>
        <v>0</v>
      </c>
      <c r="BT55" s="470">
        <f t="shared" si="484"/>
        <v>0</v>
      </c>
      <c r="BU55" s="470">
        <f t="shared" si="484"/>
        <v>0</v>
      </c>
      <c r="BV55" s="470">
        <f t="shared" si="484"/>
        <v>0</v>
      </c>
      <c r="BW55" s="470">
        <f t="shared" si="484"/>
        <v>0</v>
      </c>
      <c r="BX55" s="470">
        <f t="shared" si="484"/>
        <v>0</v>
      </c>
      <c r="BY55" s="470">
        <f t="shared" si="484"/>
        <v>0</v>
      </c>
      <c r="BZ55" s="470">
        <f t="shared" si="484"/>
        <v>0</v>
      </c>
      <c r="CA55" s="470">
        <f t="shared" si="484"/>
        <v>0</v>
      </c>
      <c r="CB55" s="470">
        <f t="shared" si="484"/>
        <v>0</v>
      </c>
      <c r="CC55" s="470">
        <f t="shared" si="484"/>
        <v>0</v>
      </c>
      <c r="CD55" s="470">
        <f t="shared" si="484"/>
        <v>0</v>
      </c>
      <c r="CE55" s="470">
        <f t="shared" si="484"/>
        <v>0</v>
      </c>
      <c r="CF55" s="470">
        <f t="shared" si="484"/>
        <v>0</v>
      </c>
      <c r="CG55" s="470">
        <f t="shared" si="484"/>
        <v>0</v>
      </c>
      <c r="CH55" s="470">
        <f t="shared" si="484"/>
        <v>0</v>
      </c>
      <c r="CI55" s="470">
        <f t="shared" si="484"/>
        <v>0</v>
      </c>
      <c r="CJ55" s="470">
        <f t="shared" si="484"/>
        <v>0</v>
      </c>
      <c r="CK55" s="470">
        <f t="shared" si="484"/>
        <v>0</v>
      </c>
      <c r="CL55" s="470">
        <f t="shared" si="484"/>
        <v>0</v>
      </c>
      <c r="CM55" s="470">
        <f t="shared" si="484"/>
        <v>0</v>
      </c>
      <c r="CN55" s="470">
        <f t="shared" si="484"/>
        <v>0</v>
      </c>
      <c r="CO55" s="470">
        <f t="shared" si="484"/>
        <v>0</v>
      </c>
      <c r="CP55" s="470">
        <f t="shared" si="484"/>
        <v>0</v>
      </c>
      <c r="CQ55" s="470">
        <f t="shared" si="484"/>
        <v>0</v>
      </c>
      <c r="CR55" s="470">
        <f t="shared" si="484"/>
        <v>0</v>
      </c>
      <c r="CS55" s="470">
        <f t="shared" si="484"/>
        <v>0</v>
      </c>
      <c r="CT55" s="470">
        <f t="shared" si="484"/>
        <v>0</v>
      </c>
      <c r="CU55" s="470">
        <f t="shared" si="484"/>
        <v>0</v>
      </c>
      <c r="CV55" s="470">
        <f t="shared" ref="CV55:EA55" si="485">CV38+CV45</f>
        <v>0</v>
      </c>
      <c r="CW55" s="470">
        <f t="shared" si="485"/>
        <v>0</v>
      </c>
      <c r="CX55" s="470">
        <f t="shared" si="485"/>
        <v>0</v>
      </c>
      <c r="CY55" s="470">
        <f t="shared" si="485"/>
        <v>0</v>
      </c>
      <c r="CZ55" s="470">
        <f t="shared" si="485"/>
        <v>0</v>
      </c>
      <c r="DA55" s="470">
        <f t="shared" si="485"/>
        <v>0</v>
      </c>
      <c r="DB55" s="470">
        <f t="shared" si="485"/>
        <v>0</v>
      </c>
      <c r="DC55" s="470">
        <f t="shared" si="485"/>
        <v>0</v>
      </c>
      <c r="DD55" s="470">
        <f t="shared" si="485"/>
        <v>0</v>
      </c>
      <c r="DE55" s="470">
        <f t="shared" si="485"/>
        <v>0</v>
      </c>
      <c r="DF55" s="470">
        <f t="shared" si="485"/>
        <v>0</v>
      </c>
      <c r="DG55" s="470">
        <f t="shared" si="485"/>
        <v>0</v>
      </c>
      <c r="DH55" s="470">
        <f t="shared" si="485"/>
        <v>0</v>
      </c>
      <c r="DI55" s="470">
        <f t="shared" si="485"/>
        <v>0</v>
      </c>
      <c r="DJ55" s="470">
        <f t="shared" si="485"/>
        <v>0</v>
      </c>
      <c r="DK55" s="470">
        <f t="shared" si="485"/>
        <v>0</v>
      </c>
      <c r="DL55" s="470">
        <f t="shared" si="485"/>
        <v>0</v>
      </c>
      <c r="DM55" s="470">
        <f t="shared" si="485"/>
        <v>0</v>
      </c>
      <c r="DN55" s="470">
        <f t="shared" si="485"/>
        <v>0</v>
      </c>
      <c r="DO55" s="470">
        <f t="shared" si="485"/>
        <v>0</v>
      </c>
      <c r="DP55" s="470">
        <f t="shared" si="485"/>
        <v>0</v>
      </c>
      <c r="DQ55" s="470">
        <f t="shared" si="485"/>
        <v>0</v>
      </c>
      <c r="DR55" s="470">
        <f t="shared" si="485"/>
        <v>0</v>
      </c>
      <c r="DS55" s="470">
        <f t="shared" si="485"/>
        <v>0</v>
      </c>
      <c r="DT55" s="470">
        <f t="shared" si="485"/>
        <v>0</v>
      </c>
      <c r="DU55" s="470">
        <f t="shared" si="485"/>
        <v>0</v>
      </c>
      <c r="DV55" s="470">
        <f t="shared" si="485"/>
        <v>0</v>
      </c>
      <c r="DW55" s="470">
        <f t="shared" si="485"/>
        <v>0</v>
      </c>
      <c r="DX55" s="470">
        <f t="shared" si="485"/>
        <v>0</v>
      </c>
      <c r="DY55" s="470">
        <f t="shared" si="485"/>
        <v>0</v>
      </c>
      <c r="DZ55" s="470">
        <f t="shared" si="485"/>
        <v>0</v>
      </c>
      <c r="EA55" s="470">
        <f t="shared" si="485"/>
        <v>0</v>
      </c>
      <c r="EB55" s="470">
        <f t="shared" ref="EB55:FG55" si="486">EB38+EB45</f>
        <v>0</v>
      </c>
      <c r="EC55" s="470">
        <f t="shared" si="486"/>
        <v>0</v>
      </c>
      <c r="ED55" s="470">
        <f t="shared" si="486"/>
        <v>0</v>
      </c>
      <c r="EE55" s="470">
        <f t="shared" si="486"/>
        <v>0</v>
      </c>
      <c r="EF55" s="470">
        <f t="shared" si="486"/>
        <v>0</v>
      </c>
      <c r="EG55" s="470">
        <f t="shared" si="486"/>
        <v>0</v>
      </c>
      <c r="EH55" s="470">
        <f t="shared" si="486"/>
        <v>0</v>
      </c>
      <c r="EI55" s="470">
        <f t="shared" si="486"/>
        <v>0</v>
      </c>
      <c r="EJ55" s="470">
        <f t="shared" si="486"/>
        <v>0</v>
      </c>
      <c r="EK55" s="470">
        <f t="shared" si="486"/>
        <v>0</v>
      </c>
      <c r="EL55" s="470">
        <f t="shared" si="486"/>
        <v>0</v>
      </c>
      <c r="EM55" s="470">
        <f t="shared" si="486"/>
        <v>0</v>
      </c>
      <c r="EN55" s="470">
        <f t="shared" si="486"/>
        <v>0</v>
      </c>
      <c r="EO55" s="470">
        <f t="shared" si="486"/>
        <v>0</v>
      </c>
      <c r="EP55" s="470">
        <f t="shared" si="486"/>
        <v>0</v>
      </c>
      <c r="EQ55" s="470">
        <f t="shared" si="486"/>
        <v>0</v>
      </c>
      <c r="ER55" s="470">
        <f t="shared" si="486"/>
        <v>0</v>
      </c>
      <c r="ES55" s="470">
        <f t="shared" si="486"/>
        <v>0</v>
      </c>
      <c r="ET55" s="470">
        <f t="shared" si="486"/>
        <v>0</v>
      </c>
      <c r="EU55" s="470">
        <f t="shared" si="486"/>
        <v>0</v>
      </c>
      <c r="EV55" s="470">
        <f t="shared" si="486"/>
        <v>0</v>
      </c>
      <c r="EW55" s="470">
        <f t="shared" si="486"/>
        <v>0</v>
      </c>
      <c r="EX55" s="470">
        <f t="shared" si="486"/>
        <v>0</v>
      </c>
      <c r="EY55" s="470">
        <f t="shared" si="486"/>
        <v>0</v>
      </c>
      <c r="EZ55" s="470">
        <f t="shared" si="486"/>
        <v>0</v>
      </c>
      <c r="FA55" s="470">
        <f t="shared" si="486"/>
        <v>0</v>
      </c>
      <c r="FB55" s="470">
        <f t="shared" si="486"/>
        <v>0</v>
      </c>
      <c r="FC55" s="470">
        <f t="shared" si="486"/>
        <v>0</v>
      </c>
      <c r="FD55" s="470">
        <f t="shared" si="486"/>
        <v>0</v>
      </c>
      <c r="FE55" s="470">
        <f t="shared" si="486"/>
        <v>0</v>
      </c>
      <c r="FF55" s="470">
        <f t="shared" si="486"/>
        <v>0</v>
      </c>
      <c r="FG55" s="470">
        <f t="shared" si="486"/>
        <v>0</v>
      </c>
      <c r="FH55" s="470">
        <f t="shared" ref="FH55:GC55" si="487">FH38+FH45</f>
        <v>0</v>
      </c>
      <c r="FI55" s="470">
        <f t="shared" si="487"/>
        <v>0</v>
      </c>
      <c r="FJ55" s="470">
        <f t="shared" si="487"/>
        <v>0</v>
      </c>
      <c r="FK55" s="470">
        <f t="shared" si="487"/>
        <v>0</v>
      </c>
      <c r="FL55" s="470">
        <f t="shared" si="487"/>
        <v>0</v>
      </c>
      <c r="FM55" s="470">
        <f t="shared" si="487"/>
        <v>0</v>
      </c>
      <c r="FN55" s="470">
        <f t="shared" si="487"/>
        <v>0</v>
      </c>
      <c r="FO55" s="470">
        <f t="shared" si="487"/>
        <v>0</v>
      </c>
      <c r="FP55" s="470">
        <f t="shared" si="487"/>
        <v>0</v>
      </c>
      <c r="FQ55" s="470">
        <f t="shared" si="487"/>
        <v>0</v>
      </c>
      <c r="FR55" s="470">
        <f t="shared" si="487"/>
        <v>0</v>
      </c>
      <c r="FS55" s="470">
        <f t="shared" si="487"/>
        <v>0</v>
      </c>
      <c r="FT55" s="470">
        <f t="shared" si="487"/>
        <v>0</v>
      </c>
      <c r="FU55" s="470">
        <f t="shared" si="487"/>
        <v>0</v>
      </c>
      <c r="FV55" s="470">
        <f t="shared" si="487"/>
        <v>0</v>
      </c>
      <c r="FW55" s="470">
        <f t="shared" si="487"/>
        <v>0</v>
      </c>
      <c r="FX55" s="470">
        <f t="shared" si="487"/>
        <v>0</v>
      </c>
      <c r="FY55" s="470">
        <f t="shared" si="487"/>
        <v>0</v>
      </c>
      <c r="FZ55" s="470">
        <f t="shared" si="487"/>
        <v>0</v>
      </c>
      <c r="GA55" s="470">
        <f t="shared" si="487"/>
        <v>0</v>
      </c>
      <c r="GB55" s="470">
        <f t="shared" si="487"/>
        <v>0</v>
      </c>
      <c r="GC55" s="470">
        <f t="shared" si="487"/>
        <v>0</v>
      </c>
      <c r="GD55" s="470">
        <f t="shared" ref="GD55:GF55" si="488">GD38+GD45</f>
        <v>0</v>
      </c>
      <c r="GE55" s="470">
        <f t="shared" si="488"/>
        <v>0</v>
      </c>
      <c r="GF55" s="355">
        <f t="shared" si="488"/>
        <v>0</v>
      </c>
    </row>
    <row r="56" spans="3:192" s="1" customFormat="1" x14ac:dyDescent="0.3">
      <c r="C56" s="471" t="s">
        <v>100</v>
      </c>
      <c r="D56" s="69">
        <v>0</v>
      </c>
      <c r="E56" s="69">
        <v>0</v>
      </c>
      <c r="F56" s="69">
        <f>E57</f>
        <v>0</v>
      </c>
      <c r="G56" s="69">
        <f t="shared" ref="G56:T56" si="489">F57</f>
        <v>0</v>
      </c>
      <c r="H56" s="69">
        <f t="shared" si="489"/>
        <v>0</v>
      </c>
      <c r="I56" s="69">
        <f t="shared" si="489"/>
        <v>0</v>
      </c>
      <c r="J56" s="69">
        <f t="shared" si="489"/>
        <v>0</v>
      </c>
      <c r="K56" s="69">
        <f t="shared" si="489"/>
        <v>0</v>
      </c>
      <c r="L56" s="69">
        <f t="shared" si="489"/>
        <v>0</v>
      </c>
      <c r="M56" s="69">
        <f t="shared" si="489"/>
        <v>0</v>
      </c>
      <c r="N56" s="69">
        <f t="shared" si="489"/>
        <v>0</v>
      </c>
      <c r="O56" s="69">
        <f t="shared" si="489"/>
        <v>0</v>
      </c>
      <c r="P56" s="69">
        <f t="shared" si="489"/>
        <v>0</v>
      </c>
      <c r="Q56" s="69">
        <f t="shared" si="489"/>
        <v>0</v>
      </c>
      <c r="R56" s="69">
        <f t="shared" si="489"/>
        <v>0</v>
      </c>
      <c r="S56" s="69">
        <f t="shared" si="489"/>
        <v>0</v>
      </c>
      <c r="T56" s="69">
        <f t="shared" si="489"/>
        <v>0</v>
      </c>
      <c r="U56" s="69">
        <v>0</v>
      </c>
      <c r="V56" s="69">
        <v>0</v>
      </c>
      <c r="W56" s="69">
        <f>V57</f>
        <v>0</v>
      </c>
      <c r="X56" s="69">
        <f t="shared" ref="X56" si="490">W57</f>
        <v>0</v>
      </c>
      <c r="Y56" s="69">
        <f t="shared" ref="Y56" si="491">X57</f>
        <v>0</v>
      </c>
      <c r="Z56" s="69">
        <f t="shared" ref="Z56" si="492">Y57</f>
        <v>0</v>
      </c>
      <c r="AA56" s="69">
        <f t="shared" ref="AA56" si="493">Z57</f>
        <v>0</v>
      </c>
      <c r="AB56" s="69">
        <f t="shared" ref="AB56" si="494">AA57</f>
        <v>0</v>
      </c>
      <c r="AC56" s="69">
        <f t="shared" ref="AC56" si="495">AB57</f>
        <v>0</v>
      </c>
      <c r="AD56" s="69">
        <f t="shared" ref="AD56" si="496">AC57</f>
        <v>0</v>
      </c>
      <c r="AE56" s="69">
        <f t="shared" ref="AE56" si="497">AD57</f>
        <v>0</v>
      </c>
      <c r="AF56" s="69">
        <f t="shared" ref="AF56" si="498">AE57</f>
        <v>0</v>
      </c>
      <c r="AG56" s="69">
        <f t="shared" ref="AG56" si="499">AF57</f>
        <v>0</v>
      </c>
      <c r="AH56" s="69">
        <f t="shared" ref="AH56" si="500">AG57</f>
        <v>0</v>
      </c>
      <c r="AI56" s="69">
        <f t="shared" ref="AI56" si="501">AH57</f>
        <v>0</v>
      </c>
      <c r="AJ56" s="69">
        <f t="shared" ref="AJ56" si="502">AI57</f>
        <v>0</v>
      </c>
      <c r="AK56" s="69">
        <f t="shared" ref="AK56" si="503">AJ57</f>
        <v>0</v>
      </c>
      <c r="AL56" s="69">
        <f t="shared" ref="AL56" si="504">AK57</f>
        <v>0</v>
      </c>
      <c r="AM56" s="69">
        <f t="shared" ref="AM56" si="505">AL57</f>
        <v>0</v>
      </c>
      <c r="AN56" s="69">
        <f t="shared" ref="AN56" si="506">AM57</f>
        <v>0</v>
      </c>
      <c r="AO56" s="69">
        <f t="shared" ref="AO56" si="507">AN57</f>
        <v>0</v>
      </c>
      <c r="AP56" s="69">
        <f t="shared" ref="AP56" si="508">AO57</f>
        <v>0</v>
      </c>
      <c r="AQ56" s="69">
        <f t="shared" ref="AQ56" si="509">AP57</f>
        <v>0</v>
      </c>
      <c r="AR56" s="69">
        <f t="shared" ref="AR56" si="510">AQ57</f>
        <v>0</v>
      </c>
      <c r="AS56" s="69">
        <f t="shared" ref="AS56" si="511">AR57</f>
        <v>0</v>
      </c>
      <c r="AT56" s="69">
        <f t="shared" ref="AT56" si="512">AS57</f>
        <v>0</v>
      </c>
      <c r="AU56" s="69">
        <f t="shared" ref="AU56" si="513">AT57</f>
        <v>0</v>
      </c>
      <c r="AV56" s="69">
        <f t="shared" ref="AV56" si="514">AU57</f>
        <v>0</v>
      </c>
      <c r="AW56" s="69">
        <f t="shared" ref="AW56" si="515">AV57</f>
        <v>0</v>
      </c>
      <c r="AX56" s="69">
        <f t="shared" ref="AX56" si="516">AW57</f>
        <v>0</v>
      </c>
      <c r="AY56" s="69">
        <f t="shared" ref="AY56" si="517">AX57</f>
        <v>0</v>
      </c>
      <c r="AZ56" s="69">
        <f t="shared" ref="AZ56" si="518">AY57</f>
        <v>0</v>
      </c>
      <c r="BA56" s="69">
        <f t="shared" ref="BA56" si="519">AZ57</f>
        <v>0</v>
      </c>
      <c r="BB56" s="69">
        <f t="shared" ref="BB56" si="520">BA57</f>
        <v>0</v>
      </c>
      <c r="BC56" s="69">
        <f t="shared" ref="BC56" si="521">BB57</f>
        <v>0</v>
      </c>
      <c r="BD56" s="69">
        <f t="shared" ref="BD56" si="522">BC57</f>
        <v>0</v>
      </c>
      <c r="BE56" s="69">
        <f t="shared" ref="BE56" si="523">BD57</f>
        <v>0</v>
      </c>
      <c r="BF56" s="69">
        <f t="shared" ref="BF56" si="524">BE57</f>
        <v>0</v>
      </c>
      <c r="BG56" s="69">
        <f t="shared" ref="BG56" si="525">BF57</f>
        <v>0</v>
      </c>
      <c r="BH56" s="69">
        <f t="shared" ref="BH56" si="526">BG57</f>
        <v>0</v>
      </c>
      <c r="BI56" s="69">
        <f t="shared" ref="BI56" si="527">BH57</f>
        <v>0</v>
      </c>
      <c r="BJ56" s="69">
        <f t="shared" ref="BJ56" si="528">BI57</f>
        <v>0</v>
      </c>
      <c r="BK56" s="69">
        <f t="shared" ref="BK56" si="529">BJ57</f>
        <v>0</v>
      </c>
      <c r="BL56" s="69">
        <f t="shared" ref="BL56" si="530">BK57</f>
        <v>0</v>
      </c>
      <c r="BM56" s="69">
        <f t="shared" ref="BM56" si="531">BL57</f>
        <v>0</v>
      </c>
      <c r="BN56" s="69">
        <f t="shared" ref="BN56" si="532">BM57</f>
        <v>0</v>
      </c>
      <c r="BO56" s="69">
        <f t="shared" ref="BO56" si="533">BN57</f>
        <v>0</v>
      </c>
      <c r="BP56" s="69">
        <f t="shared" ref="BP56" si="534">BO57</f>
        <v>0</v>
      </c>
      <c r="BQ56" s="69">
        <f t="shared" ref="BQ56" si="535">BP57</f>
        <v>0</v>
      </c>
      <c r="BR56" s="69">
        <f t="shared" ref="BR56" si="536">BQ57</f>
        <v>0</v>
      </c>
      <c r="BS56" s="69">
        <f t="shared" ref="BS56" si="537">BR57</f>
        <v>0</v>
      </c>
      <c r="BT56" s="69">
        <f t="shared" ref="BT56" si="538">BS57</f>
        <v>0</v>
      </c>
      <c r="BU56" s="69">
        <f t="shared" ref="BU56" si="539">BT57</f>
        <v>0</v>
      </c>
      <c r="BV56" s="69">
        <f t="shared" ref="BV56" si="540">BU57</f>
        <v>0</v>
      </c>
      <c r="BW56" s="69">
        <f t="shared" ref="BW56" si="541">BV57</f>
        <v>0</v>
      </c>
      <c r="BX56" s="69">
        <f t="shared" ref="BX56" si="542">BW57</f>
        <v>0</v>
      </c>
      <c r="BY56" s="69">
        <f t="shared" ref="BY56" si="543">BX57</f>
        <v>0</v>
      </c>
      <c r="BZ56" s="69">
        <f t="shared" ref="BZ56" si="544">BY57</f>
        <v>0</v>
      </c>
      <c r="CA56" s="69">
        <f t="shared" ref="CA56" si="545">BZ57</f>
        <v>0</v>
      </c>
      <c r="CB56" s="69">
        <f t="shared" ref="CB56" si="546">CA57</f>
        <v>0</v>
      </c>
      <c r="CC56" s="69">
        <f t="shared" ref="CC56" si="547">CB57</f>
        <v>0</v>
      </c>
      <c r="CD56" s="69">
        <f t="shared" ref="CD56" si="548">CC57</f>
        <v>0</v>
      </c>
      <c r="CE56" s="69">
        <f t="shared" ref="CE56" si="549">CD57</f>
        <v>0</v>
      </c>
      <c r="CF56" s="69">
        <f t="shared" ref="CF56" si="550">CE57</f>
        <v>0</v>
      </c>
      <c r="CG56" s="69">
        <f t="shared" ref="CG56" si="551">CF57</f>
        <v>0</v>
      </c>
      <c r="CH56" s="69">
        <f t="shared" ref="CH56" si="552">CG57</f>
        <v>0</v>
      </c>
      <c r="CI56" s="69">
        <f t="shared" ref="CI56" si="553">CH57</f>
        <v>0</v>
      </c>
      <c r="CJ56" s="69">
        <f t="shared" ref="CJ56" si="554">CI57</f>
        <v>0</v>
      </c>
      <c r="CK56" s="69">
        <f t="shared" ref="CK56" si="555">CJ57</f>
        <v>0</v>
      </c>
      <c r="CL56" s="69">
        <f t="shared" ref="CL56" si="556">CK57</f>
        <v>0</v>
      </c>
      <c r="CM56" s="69">
        <f t="shared" ref="CM56" si="557">CL57</f>
        <v>0</v>
      </c>
      <c r="CN56" s="69">
        <f t="shared" ref="CN56" si="558">CM57</f>
        <v>0</v>
      </c>
      <c r="CO56" s="69">
        <f t="shared" ref="CO56" si="559">CN57</f>
        <v>0</v>
      </c>
      <c r="CP56" s="69">
        <f t="shared" ref="CP56" si="560">CO57</f>
        <v>0</v>
      </c>
      <c r="CQ56" s="69">
        <f t="shared" ref="CQ56" si="561">CP57</f>
        <v>0</v>
      </c>
      <c r="CR56" s="69">
        <f t="shared" ref="CR56" si="562">CQ57</f>
        <v>0</v>
      </c>
      <c r="CS56" s="69">
        <f t="shared" ref="CS56" si="563">CR57</f>
        <v>0</v>
      </c>
      <c r="CT56" s="69">
        <f t="shared" ref="CT56" si="564">CS57</f>
        <v>0</v>
      </c>
      <c r="CU56" s="69">
        <f t="shared" ref="CU56" si="565">CT57</f>
        <v>0</v>
      </c>
      <c r="CV56" s="69">
        <f t="shared" ref="CV56" si="566">CU57</f>
        <v>0</v>
      </c>
      <c r="CW56" s="69">
        <f t="shared" ref="CW56" si="567">CV57</f>
        <v>0</v>
      </c>
      <c r="CX56" s="69">
        <f t="shared" ref="CX56" si="568">CW57</f>
        <v>0</v>
      </c>
      <c r="CY56" s="69">
        <f t="shared" ref="CY56" si="569">CX57</f>
        <v>0</v>
      </c>
      <c r="CZ56" s="69">
        <f t="shared" ref="CZ56" si="570">CY57</f>
        <v>0</v>
      </c>
      <c r="DA56" s="69">
        <f t="shared" ref="DA56" si="571">CZ57</f>
        <v>0</v>
      </c>
      <c r="DB56" s="69">
        <f t="shared" ref="DB56" si="572">DA57</f>
        <v>0</v>
      </c>
      <c r="DC56" s="69">
        <f t="shared" ref="DC56" si="573">DB57</f>
        <v>0</v>
      </c>
      <c r="DD56" s="69">
        <f t="shared" ref="DD56" si="574">DC57</f>
        <v>0</v>
      </c>
      <c r="DE56" s="69">
        <f t="shared" ref="DE56" si="575">DD57</f>
        <v>0</v>
      </c>
      <c r="DF56" s="69">
        <f t="shared" ref="DF56" si="576">DE57</f>
        <v>0</v>
      </c>
      <c r="DG56" s="69">
        <f t="shared" ref="DG56" si="577">DF57</f>
        <v>0</v>
      </c>
      <c r="DH56" s="69">
        <f t="shared" ref="DH56" si="578">DG57</f>
        <v>0</v>
      </c>
      <c r="DI56" s="69">
        <f t="shared" ref="DI56" si="579">DH57</f>
        <v>0</v>
      </c>
      <c r="DJ56" s="69">
        <f t="shared" ref="DJ56" si="580">DI57</f>
        <v>0</v>
      </c>
      <c r="DK56" s="69">
        <f t="shared" ref="DK56" si="581">DJ57</f>
        <v>0</v>
      </c>
      <c r="DL56" s="69">
        <f t="shared" ref="DL56" si="582">DK57</f>
        <v>0</v>
      </c>
      <c r="DM56" s="69">
        <f t="shared" ref="DM56" si="583">DL57</f>
        <v>0</v>
      </c>
      <c r="DN56" s="69">
        <f t="shared" ref="DN56" si="584">DM57</f>
        <v>0</v>
      </c>
      <c r="DO56" s="69">
        <f t="shared" ref="DO56" si="585">DN57</f>
        <v>0</v>
      </c>
      <c r="DP56" s="69">
        <f t="shared" ref="DP56" si="586">DO57</f>
        <v>0</v>
      </c>
      <c r="DQ56" s="69">
        <f t="shared" ref="DQ56" si="587">DP57</f>
        <v>0</v>
      </c>
      <c r="DR56" s="69">
        <f t="shared" ref="DR56" si="588">DQ57</f>
        <v>0</v>
      </c>
      <c r="DS56" s="69">
        <f t="shared" ref="DS56" si="589">DR57</f>
        <v>0</v>
      </c>
      <c r="DT56" s="69">
        <f t="shared" ref="DT56" si="590">DS57</f>
        <v>0</v>
      </c>
      <c r="DU56" s="69">
        <f t="shared" ref="DU56" si="591">DT57</f>
        <v>0</v>
      </c>
      <c r="DV56" s="69">
        <f t="shared" ref="DV56" si="592">DU57</f>
        <v>0</v>
      </c>
      <c r="DW56" s="69">
        <f t="shared" ref="DW56" si="593">DV57</f>
        <v>0</v>
      </c>
      <c r="DX56" s="69">
        <f t="shared" ref="DX56" si="594">DW57</f>
        <v>0</v>
      </c>
      <c r="DY56" s="69">
        <f t="shared" ref="DY56" si="595">DX57</f>
        <v>0</v>
      </c>
      <c r="DZ56" s="69">
        <f t="shared" ref="DZ56" si="596">DY57</f>
        <v>0</v>
      </c>
      <c r="EA56" s="69">
        <f t="shared" ref="EA56" si="597">DZ57</f>
        <v>0</v>
      </c>
      <c r="EB56" s="69">
        <f t="shared" ref="EB56" si="598">EA57</f>
        <v>0</v>
      </c>
      <c r="EC56" s="69">
        <f t="shared" ref="EC56" si="599">EB57</f>
        <v>0</v>
      </c>
      <c r="ED56" s="69">
        <f t="shared" ref="ED56" si="600">EC57</f>
        <v>0</v>
      </c>
      <c r="EE56" s="69">
        <f t="shared" ref="EE56" si="601">ED57</f>
        <v>0</v>
      </c>
      <c r="EF56" s="69">
        <f t="shared" ref="EF56" si="602">EE57</f>
        <v>0</v>
      </c>
      <c r="EG56" s="69">
        <f t="shared" ref="EG56" si="603">EF57</f>
        <v>0</v>
      </c>
      <c r="EH56" s="69">
        <f t="shared" ref="EH56" si="604">EG57</f>
        <v>0</v>
      </c>
      <c r="EI56" s="69">
        <f t="shared" ref="EI56" si="605">EH57</f>
        <v>0</v>
      </c>
      <c r="EJ56" s="69">
        <f t="shared" ref="EJ56" si="606">EI57</f>
        <v>0</v>
      </c>
      <c r="EK56" s="69">
        <f t="shared" ref="EK56" si="607">EJ57</f>
        <v>0</v>
      </c>
      <c r="EL56" s="69">
        <f t="shared" ref="EL56" si="608">EK57</f>
        <v>0</v>
      </c>
      <c r="EM56" s="69">
        <f t="shared" ref="EM56" si="609">EL57</f>
        <v>0</v>
      </c>
      <c r="EN56" s="69">
        <f t="shared" ref="EN56" si="610">EM57</f>
        <v>0</v>
      </c>
      <c r="EO56" s="69">
        <f t="shared" ref="EO56" si="611">EN57</f>
        <v>0</v>
      </c>
      <c r="EP56" s="69">
        <f t="shared" ref="EP56" si="612">EO57</f>
        <v>0</v>
      </c>
      <c r="EQ56" s="69">
        <f t="shared" ref="EQ56" si="613">EP57</f>
        <v>0</v>
      </c>
      <c r="ER56" s="69">
        <f t="shared" ref="ER56" si="614">EQ57</f>
        <v>0</v>
      </c>
      <c r="ES56" s="69">
        <f t="shared" ref="ES56" si="615">ER57</f>
        <v>0</v>
      </c>
      <c r="ET56" s="69">
        <f t="shared" ref="ET56" si="616">ES57</f>
        <v>0</v>
      </c>
      <c r="EU56" s="69">
        <f t="shared" ref="EU56" si="617">ET57</f>
        <v>0</v>
      </c>
      <c r="EV56" s="69">
        <f t="shared" ref="EV56" si="618">EU57</f>
        <v>0</v>
      </c>
      <c r="EW56" s="69">
        <f t="shared" ref="EW56" si="619">EV57</f>
        <v>0</v>
      </c>
      <c r="EX56" s="69">
        <f t="shared" ref="EX56" si="620">EW57</f>
        <v>0</v>
      </c>
      <c r="EY56" s="69">
        <f t="shared" ref="EY56" si="621">EX57</f>
        <v>0</v>
      </c>
      <c r="EZ56" s="69">
        <f t="shared" ref="EZ56" si="622">EY57</f>
        <v>0</v>
      </c>
      <c r="FA56" s="69">
        <f t="shared" ref="FA56" si="623">EZ57</f>
        <v>0</v>
      </c>
      <c r="FB56" s="69">
        <f t="shared" ref="FB56" si="624">FA57</f>
        <v>0</v>
      </c>
      <c r="FC56" s="69">
        <f t="shared" ref="FC56" si="625">FB57</f>
        <v>0</v>
      </c>
      <c r="FD56" s="69">
        <f t="shared" ref="FD56" si="626">FC57</f>
        <v>0</v>
      </c>
      <c r="FE56" s="69">
        <f t="shared" ref="FE56" si="627">FD57</f>
        <v>0</v>
      </c>
      <c r="FF56" s="69">
        <f t="shared" ref="FF56" si="628">FE57</f>
        <v>0</v>
      </c>
      <c r="FG56" s="69">
        <f t="shared" ref="FG56" si="629">FF57</f>
        <v>0</v>
      </c>
      <c r="FH56" s="69">
        <f t="shared" ref="FH56" si="630">FG57</f>
        <v>0</v>
      </c>
      <c r="FI56" s="69">
        <f t="shared" ref="FI56" si="631">FH57</f>
        <v>0</v>
      </c>
      <c r="FJ56" s="69">
        <f t="shared" ref="FJ56" si="632">FI57</f>
        <v>0</v>
      </c>
      <c r="FK56" s="69">
        <f t="shared" ref="FK56" si="633">FJ57</f>
        <v>0</v>
      </c>
      <c r="FL56" s="69">
        <f t="shared" ref="FL56" si="634">FK57</f>
        <v>0</v>
      </c>
      <c r="FM56" s="69">
        <f t="shared" ref="FM56" si="635">FL57</f>
        <v>0</v>
      </c>
      <c r="FN56" s="69">
        <f t="shared" ref="FN56" si="636">FM57</f>
        <v>0</v>
      </c>
      <c r="FO56" s="69">
        <f t="shared" ref="FO56" si="637">FN57</f>
        <v>0</v>
      </c>
      <c r="FP56" s="69">
        <f t="shared" ref="FP56" si="638">FO57</f>
        <v>0</v>
      </c>
      <c r="FQ56" s="69">
        <f t="shared" ref="FQ56" si="639">FP57</f>
        <v>0</v>
      </c>
      <c r="FR56" s="69">
        <f t="shared" ref="FR56" si="640">FQ57</f>
        <v>0</v>
      </c>
      <c r="FS56" s="69">
        <f t="shared" ref="FS56" si="641">FR57</f>
        <v>0</v>
      </c>
      <c r="FT56" s="69">
        <f t="shared" ref="FT56" si="642">FS57</f>
        <v>0</v>
      </c>
      <c r="FU56" s="69">
        <f t="shared" ref="FU56" si="643">FT57</f>
        <v>0</v>
      </c>
      <c r="FV56" s="69">
        <f t="shared" ref="FV56" si="644">FU57</f>
        <v>0</v>
      </c>
      <c r="FW56" s="69">
        <f t="shared" ref="FW56" si="645">FV57</f>
        <v>0</v>
      </c>
      <c r="FX56" s="69">
        <f t="shared" ref="FX56" si="646">FW57</f>
        <v>0</v>
      </c>
      <c r="FY56" s="69">
        <f t="shared" ref="FY56" si="647">FX57</f>
        <v>0</v>
      </c>
      <c r="FZ56" s="69">
        <f t="shared" ref="FZ56" si="648">FY57</f>
        <v>0</v>
      </c>
      <c r="GA56" s="69">
        <f t="shared" ref="GA56" si="649">FZ57</f>
        <v>0</v>
      </c>
      <c r="GB56" s="69">
        <f t="shared" ref="GB56" si="650">GA57</f>
        <v>0</v>
      </c>
      <c r="GC56" s="69">
        <f t="shared" ref="GC56" si="651">GB57</f>
        <v>0</v>
      </c>
      <c r="GD56" s="69">
        <f t="shared" ref="GD56" si="652">GC57</f>
        <v>0</v>
      </c>
      <c r="GE56" s="69">
        <f t="shared" ref="GE56" si="653">GD57</f>
        <v>0</v>
      </c>
      <c r="GF56" s="73">
        <f t="shared" ref="GF56" si="654">GE57</f>
        <v>0</v>
      </c>
    </row>
    <row r="57" spans="3:192" s="1" customFormat="1" x14ac:dyDescent="0.3">
      <c r="C57" s="471" t="s">
        <v>101</v>
      </c>
      <c r="D57" s="69">
        <f>D55+D56</f>
        <v>0</v>
      </c>
      <c r="E57" s="69">
        <f>E55+E56</f>
        <v>0</v>
      </c>
      <c r="F57" s="69">
        <f>F55+F56</f>
        <v>0</v>
      </c>
      <c r="G57" s="69">
        <f t="shared" ref="G57:T57" si="655">G55+G56</f>
        <v>0</v>
      </c>
      <c r="H57" s="69">
        <f t="shared" si="655"/>
        <v>0</v>
      </c>
      <c r="I57" s="69">
        <f t="shared" si="655"/>
        <v>0</v>
      </c>
      <c r="J57" s="69">
        <f t="shared" si="655"/>
        <v>0</v>
      </c>
      <c r="K57" s="69">
        <f t="shared" si="655"/>
        <v>0</v>
      </c>
      <c r="L57" s="69">
        <f t="shared" si="655"/>
        <v>0</v>
      </c>
      <c r="M57" s="69">
        <f t="shared" si="655"/>
        <v>0</v>
      </c>
      <c r="N57" s="69">
        <f t="shared" si="655"/>
        <v>0</v>
      </c>
      <c r="O57" s="69">
        <f t="shared" si="655"/>
        <v>0</v>
      </c>
      <c r="P57" s="69">
        <f t="shared" si="655"/>
        <v>0</v>
      </c>
      <c r="Q57" s="69">
        <f t="shared" si="655"/>
        <v>0</v>
      </c>
      <c r="R57" s="69">
        <f t="shared" si="655"/>
        <v>0</v>
      </c>
      <c r="S57" s="69">
        <f t="shared" si="655"/>
        <v>0</v>
      </c>
      <c r="T57" s="69">
        <f t="shared" si="655"/>
        <v>0</v>
      </c>
      <c r="U57" s="69">
        <f>U55+U56</f>
        <v>0</v>
      </c>
      <c r="V57" s="69">
        <f>V55+V56</f>
        <v>0</v>
      </c>
      <c r="W57" s="69">
        <f>W55+W56</f>
        <v>0</v>
      </c>
      <c r="X57" s="69">
        <f t="shared" ref="X57:AK57" si="656">X55+X56</f>
        <v>0</v>
      </c>
      <c r="Y57" s="69">
        <f t="shared" si="656"/>
        <v>0</v>
      </c>
      <c r="Z57" s="69">
        <f t="shared" si="656"/>
        <v>0</v>
      </c>
      <c r="AA57" s="69">
        <f t="shared" si="656"/>
        <v>0</v>
      </c>
      <c r="AB57" s="69">
        <f t="shared" si="656"/>
        <v>0</v>
      </c>
      <c r="AC57" s="69">
        <f t="shared" si="656"/>
        <v>0</v>
      </c>
      <c r="AD57" s="69">
        <f t="shared" si="656"/>
        <v>0</v>
      </c>
      <c r="AE57" s="69">
        <f t="shared" si="656"/>
        <v>0</v>
      </c>
      <c r="AF57" s="69">
        <f t="shared" si="656"/>
        <v>0</v>
      </c>
      <c r="AG57" s="69">
        <f t="shared" si="656"/>
        <v>0</v>
      </c>
      <c r="AH57" s="69">
        <f t="shared" si="656"/>
        <v>0</v>
      </c>
      <c r="AI57" s="69">
        <f t="shared" si="656"/>
        <v>0</v>
      </c>
      <c r="AJ57" s="69">
        <f t="shared" si="656"/>
        <v>0</v>
      </c>
      <c r="AK57" s="69">
        <f t="shared" si="656"/>
        <v>0</v>
      </c>
      <c r="AL57" s="69">
        <f t="shared" ref="AL57:CW57" si="657">AL55+AL56</f>
        <v>0</v>
      </c>
      <c r="AM57" s="69">
        <f t="shared" si="657"/>
        <v>0</v>
      </c>
      <c r="AN57" s="69">
        <f t="shared" si="657"/>
        <v>0</v>
      </c>
      <c r="AO57" s="69">
        <f t="shared" si="657"/>
        <v>0</v>
      </c>
      <c r="AP57" s="69">
        <f t="shared" si="657"/>
        <v>0</v>
      </c>
      <c r="AQ57" s="69">
        <f t="shared" si="657"/>
        <v>0</v>
      </c>
      <c r="AR57" s="69">
        <f t="shared" si="657"/>
        <v>0</v>
      </c>
      <c r="AS57" s="69">
        <f t="shared" si="657"/>
        <v>0</v>
      </c>
      <c r="AT57" s="69">
        <f t="shared" si="657"/>
        <v>0</v>
      </c>
      <c r="AU57" s="69">
        <f t="shared" si="657"/>
        <v>0</v>
      </c>
      <c r="AV57" s="69">
        <f t="shared" si="657"/>
        <v>0</v>
      </c>
      <c r="AW57" s="69">
        <f t="shared" si="657"/>
        <v>0</v>
      </c>
      <c r="AX57" s="69">
        <f t="shared" si="657"/>
        <v>0</v>
      </c>
      <c r="AY57" s="69">
        <f t="shared" si="657"/>
        <v>0</v>
      </c>
      <c r="AZ57" s="69">
        <f t="shared" si="657"/>
        <v>0</v>
      </c>
      <c r="BA57" s="69">
        <f t="shared" si="657"/>
        <v>0</v>
      </c>
      <c r="BB57" s="69">
        <f t="shared" si="657"/>
        <v>0</v>
      </c>
      <c r="BC57" s="69">
        <f t="shared" si="657"/>
        <v>0</v>
      </c>
      <c r="BD57" s="69">
        <f t="shared" si="657"/>
        <v>0</v>
      </c>
      <c r="BE57" s="69">
        <f t="shared" si="657"/>
        <v>0</v>
      </c>
      <c r="BF57" s="69">
        <f t="shared" si="657"/>
        <v>0</v>
      </c>
      <c r="BG57" s="69">
        <f t="shared" si="657"/>
        <v>0</v>
      </c>
      <c r="BH57" s="69">
        <f t="shared" si="657"/>
        <v>0</v>
      </c>
      <c r="BI57" s="69">
        <f t="shared" si="657"/>
        <v>0</v>
      </c>
      <c r="BJ57" s="69">
        <f t="shared" si="657"/>
        <v>0</v>
      </c>
      <c r="BK57" s="69">
        <f t="shared" si="657"/>
        <v>0</v>
      </c>
      <c r="BL57" s="69">
        <f t="shared" si="657"/>
        <v>0</v>
      </c>
      <c r="BM57" s="69">
        <f t="shared" si="657"/>
        <v>0</v>
      </c>
      <c r="BN57" s="69">
        <f t="shared" si="657"/>
        <v>0</v>
      </c>
      <c r="BO57" s="69">
        <f t="shared" si="657"/>
        <v>0</v>
      </c>
      <c r="BP57" s="69">
        <f t="shared" si="657"/>
        <v>0</v>
      </c>
      <c r="BQ57" s="69">
        <f t="shared" si="657"/>
        <v>0</v>
      </c>
      <c r="BR57" s="69">
        <f t="shared" si="657"/>
        <v>0</v>
      </c>
      <c r="BS57" s="69">
        <f t="shared" si="657"/>
        <v>0</v>
      </c>
      <c r="BT57" s="69">
        <f t="shared" si="657"/>
        <v>0</v>
      </c>
      <c r="BU57" s="69">
        <f t="shared" si="657"/>
        <v>0</v>
      </c>
      <c r="BV57" s="69">
        <f t="shared" si="657"/>
        <v>0</v>
      </c>
      <c r="BW57" s="69">
        <f t="shared" si="657"/>
        <v>0</v>
      </c>
      <c r="BX57" s="69">
        <f t="shared" si="657"/>
        <v>0</v>
      </c>
      <c r="BY57" s="69">
        <f t="shared" si="657"/>
        <v>0</v>
      </c>
      <c r="BZ57" s="69">
        <f t="shared" si="657"/>
        <v>0</v>
      </c>
      <c r="CA57" s="69">
        <f t="shared" si="657"/>
        <v>0</v>
      </c>
      <c r="CB57" s="69">
        <f t="shared" si="657"/>
        <v>0</v>
      </c>
      <c r="CC57" s="69">
        <f t="shared" si="657"/>
        <v>0</v>
      </c>
      <c r="CD57" s="69">
        <f t="shared" si="657"/>
        <v>0</v>
      </c>
      <c r="CE57" s="69">
        <f t="shared" si="657"/>
        <v>0</v>
      </c>
      <c r="CF57" s="69">
        <f t="shared" si="657"/>
        <v>0</v>
      </c>
      <c r="CG57" s="69">
        <f t="shared" si="657"/>
        <v>0</v>
      </c>
      <c r="CH57" s="69">
        <f t="shared" si="657"/>
        <v>0</v>
      </c>
      <c r="CI57" s="69">
        <f t="shared" si="657"/>
        <v>0</v>
      </c>
      <c r="CJ57" s="69">
        <f t="shared" si="657"/>
        <v>0</v>
      </c>
      <c r="CK57" s="69">
        <f t="shared" si="657"/>
        <v>0</v>
      </c>
      <c r="CL57" s="69">
        <f t="shared" si="657"/>
        <v>0</v>
      </c>
      <c r="CM57" s="69">
        <f t="shared" si="657"/>
        <v>0</v>
      </c>
      <c r="CN57" s="69">
        <f t="shared" si="657"/>
        <v>0</v>
      </c>
      <c r="CO57" s="69">
        <f t="shared" si="657"/>
        <v>0</v>
      </c>
      <c r="CP57" s="69">
        <f t="shared" si="657"/>
        <v>0</v>
      </c>
      <c r="CQ57" s="69">
        <f t="shared" si="657"/>
        <v>0</v>
      </c>
      <c r="CR57" s="69">
        <f t="shared" si="657"/>
        <v>0</v>
      </c>
      <c r="CS57" s="69">
        <f t="shared" si="657"/>
        <v>0</v>
      </c>
      <c r="CT57" s="69">
        <f t="shared" si="657"/>
        <v>0</v>
      </c>
      <c r="CU57" s="69">
        <f t="shared" si="657"/>
        <v>0</v>
      </c>
      <c r="CV57" s="69">
        <f t="shared" si="657"/>
        <v>0</v>
      </c>
      <c r="CW57" s="69">
        <f t="shared" si="657"/>
        <v>0</v>
      </c>
      <c r="CX57" s="69">
        <f t="shared" ref="CX57:FI57" si="658">CX55+CX56</f>
        <v>0</v>
      </c>
      <c r="CY57" s="69">
        <f t="shared" si="658"/>
        <v>0</v>
      </c>
      <c r="CZ57" s="69">
        <f t="shared" si="658"/>
        <v>0</v>
      </c>
      <c r="DA57" s="69">
        <f t="shared" si="658"/>
        <v>0</v>
      </c>
      <c r="DB57" s="69">
        <f t="shared" si="658"/>
        <v>0</v>
      </c>
      <c r="DC57" s="69">
        <f t="shared" si="658"/>
        <v>0</v>
      </c>
      <c r="DD57" s="69">
        <f t="shared" si="658"/>
        <v>0</v>
      </c>
      <c r="DE57" s="69">
        <f t="shared" si="658"/>
        <v>0</v>
      </c>
      <c r="DF57" s="69">
        <f t="shared" si="658"/>
        <v>0</v>
      </c>
      <c r="DG57" s="69">
        <f t="shared" si="658"/>
        <v>0</v>
      </c>
      <c r="DH57" s="69">
        <f t="shared" si="658"/>
        <v>0</v>
      </c>
      <c r="DI57" s="69">
        <f t="shared" si="658"/>
        <v>0</v>
      </c>
      <c r="DJ57" s="69">
        <f t="shared" si="658"/>
        <v>0</v>
      </c>
      <c r="DK57" s="69">
        <f t="shared" si="658"/>
        <v>0</v>
      </c>
      <c r="DL57" s="69">
        <f t="shared" si="658"/>
        <v>0</v>
      </c>
      <c r="DM57" s="69">
        <f t="shared" si="658"/>
        <v>0</v>
      </c>
      <c r="DN57" s="69">
        <f t="shared" si="658"/>
        <v>0</v>
      </c>
      <c r="DO57" s="69">
        <f t="shared" si="658"/>
        <v>0</v>
      </c>
      <c r="DP57" s="69">
        <f t="shared" si="658"/>
        <v>0</v>
      </c>
      <c r="DQ57" s="69">
        <f t="shared" si="658"/>
        <v>0</v>
      </c>
      <c r="DR57" s="69">
        <f t="shared" si="658"/>
        <v>0</v>
      </c>
      <c r="DS57" s="69">
        <f t="shared" si="658"/>
        <v>0</v>
      </c>
      <c r="DT57" s="69">
        <f t="shared" si="658"/>
        <v>0</v>
      </c>
      <c r="DU57" s="69">
        <f t="shared" si="658"/>
        <v>0</v>
      </c>
      <c r="DV57" s="69">
        <f t="shared" si="658"/>
        <v>0</v>
      </c>
      <c r="DW57" s="69">
        <f t="shared" si="658"/>
        <v>0</v>
      </c>
      <c r="DX57" s="69">
        <f t="shared" si="658"/>
        <v>0</v>
      </c>
      <c r="DY57" s="69">
        <f t="shared" si="658"/>
        <v>0</v>
      </c>
      <c r="DZ57" s="69">
        <f t="shared" si="658"/>
        <v>0</v>
      </c>
      <c r="EA57" s="69">
        <f t="shared" si="658"/>
        <v>0</v>
      </c>
      <c r="EB57" s="69">
        <f t="shared" si="658"/>
        <v>0</v>
      </c>
      <c r="EC57" s="69">
        <f t="shared" si="658"/>
        <v>0</v>
      </c>
      <c r="ED57" s="69">
        <f t="shared" si="658"/>
        <v>0</v>
      </c>
      <c r="EE57" s="69">
        <f t="shared" si="658"/>
        <v>0</v>
      </c>
      <c r="EF57" s="69">
        <f t="shared" si="658"/>
        <v>0</v>
      </c>
      <c r="EG57" s="69">
        <f t="shared" si="658"/>
        <v>0</v>
      </c>
      <c r="EH57" s="69">
        <f t="shared" si="658"/>
        <v>0</v>
      </c>
      <c r="EI57" s="69">
        <f t="shared" si="658"/>
        <v>0</v>
      </c>
      <c r="EJ57" s="69">
        <f t="shared" si="658"/>
        <v>0</v>
      </c>
      <c r="EK57" s="69">
        <f t="shared" si="658"/>
        <v>0</v>
      </c>
      <c r="EL57" s="69">
        <f t="shared" si="658"/>
        <v>0</v>
      </c>
      <c r="EM57" s="69">
        <f t="shared" si="658"/>
        <v>0</v>
      </c>
      <c r="EN57" s="69">
        <f t="shared" si="658"/>
        <v>0</v>
      </c>
      <c r="EO57" s="69">
        <f t="shared" si="658"/>
        <v>0</v>
      </c>
      <c r="EP57" s="69">
        <f t="shared" si="658"/>
        <v>0</v>
      </c>
      <c r="EQ57" s="69">
        <f t="shared" si="658"/>
        <v>0</v>
      </c>
      <c r="ER57" s="69">
        <f t="shared" si="658"/>
        <v>0</v>
      </c>
      <c r="ES57" s="69">
        <f t="shared" si="658"/>
        <v>0</v>
      </c>
      <c r="ET57" s="69">
        <f t="shared" si="658"/>
        <v>0</v>
      </c>
      <c r="EU57" s="69">
        <f t="shared" si="658"/>
        <v>0</v>
      </c>
      <c r="EV57" s="69">
        <f t="shared" si="658"/>
        <v>0</v>
      </c>
      <c r="EW57" s="69">
        <f t="shared" si="658"/>
        <v>0</v>
      </c>
      <c r="EX57" s="69">
        <f t="shared" si="658"/>
        <v>0</v>
      </c>
      <c r="EY57" s="69">
        <f t="shared" si="658"/>
        <v>0</v>
      </c>
      <c r="EZ57" s="69">
        <f t="shared" si="658"/>
        <v>0</v>
      </c>
      <c r="FA57" s="69">
        <f t="shared" si="658"/>
        <v>0</v>
      </c>
      <c r="FB57" s="69">
        <f t="shared" si="658"/>
        <v>0</v>
      </c>
      <c r="FC57" s="69">
        <f t="shared" si="658"/>
        <v>0</v>
      </c>
      <c r="FD57" s="69">
        <f t="shared" si="658"/>
        <v>0</v>
      </c>
      <c r="FE57" s="69">
        <f t="shared" si="658"/>
        <v>0</v>
      </c>
      <c r="FF57" s="69">
        <f t="shared" si="658"/>
        <v>0</v>
      </c>
      <c r="FG57" s="69">
        <f t="shared" si="658"/>
        <v>0</v>
      </c>
      <c r="FH57" s="69">
        <f t="shared" si="658"/>
        <v>0</v>
      </c>
      <c r="FI57" s="69">
        <f t="shared" si="658"/>
        <v>0</v>
      </c>
      <c r="FJ57" s="69">
        <f t="shared" ref="FJ57:GC57" si="659">FJ55+FJ56</f>
        <v>0</v>
      </c>
      <c r="FK57" s="69">
        <f t="shared" si="659"/>
        <v>0</v>
      </c>
      <c r="FL57" s="69">
        <f t="shared" si="659"/>
        <v>0</v>
      </c>
      <c r="FM57" s="69">
        <f t="shared" si="659"/>
        <v>0</v>
      </c>
      <c r="FN57" s="69">
        <f t="shared" si="659"/>
        <v>0</v>
      </c>
      <c r="FO57" s="69">
        <f t="shared" si="659"/>
        <v>0</v>
      </c>
      <c r="FP57" s="69">
        <f t="shared" si="659"/>
        <v>0</v>
      </c>
      <c r="FQ57" s="69">
        <f t="shared" si="659"/>
        <v>0</v>
      </c>
      <c r="FR57" s="69">
        <f t="shared" si="659"/>
        <v>0</v>
      </c>
      <c r="FS57" s="69">
        <f t="shared" si="659"/>
        <v>0</v>
      </c>
      <c r="FT57" s="69">
        <f t="shared" si="659"/>
        <v>0</v>
      </c>
      <c r="FU57" s="69">
        <f t="shared" si="659"/>
        <v>0</v>
      </c>
      <c r="FV57" s="69">
        <f t="shared" si="659"/>
        <v>0</v>
      </c>
      <c r="FW57" s="69">
        <f t="shared" si="659"/>
        <v>0</v>
      </c>
      <c r="FX57" s="69">
        <f t="shared" si="659"/>
        <v>0</v>
      </c>
      <c r="FY57" s="69">
        <f t="shared" si="659"/>
        <v>0</v>
      </c>
      <c r="FZ57" s="69">
        <f t="shared" si="659"/>
        <v>0</v>
      </c>
      <c r="GA57" s="69">
        <f t="shared" si="659"/>
        <v>0</v>
      </c>
      <c r="GB57" s="69">
        <f t="shared" si="659"/>
        <v>0</v>
      </c>
      <c r="GC57" s="69">
        <f t="shared" si="659"/>
        <v>0</v>
      </c>
      <c r="GD57" s="69">
        <f t="shared" ref="GD57:GF57" si="660">GD55+GD56</f>
        <v>0</v>
      </c>
      <c r="GE57" s="69">
        <f t="shared" si="660"/>
        <v>0</v>
      </c>
      <c r="GF57" s="73">
        <f t="shared" si="660"/>
        <v>0</v>
      </c>
    </row>
    <row r="58" spans="3:192" s="1" customFormat="1" x14ac:dyDescent="0.3">
      <c r="C58" s="471" t="s">
        <v>717</v>
      </c>
      <c r="D58" s="69"/>
      <c r="E58" s="69">
        <f>E39+E52</f>
        <v>13000</v>
      </c>
      <c r="F58" s="69">
        <f t="shared" ref="F58:T58" si="661">E58+F39+F52</f>
        <v>13000</v>
      </c>
      <c r="G58" s="69">
        <f t="shared" si="661"/>
        <v>13000</v>
      </c>
      <c r="H58" s="69">
        <f t="shared" si="661"/>
        <v>13000</v>
      </c>
      <c r="I58" s="69">
        <f t="shared" si="661"/>
        <v>25000</v>
      </c>
      <c r="J58" s="69">
        <f t="shared" si="661"/>
        <v>25000</v>
      </c>
      <c r="K58" s="69">
        <f t="shared" si="661"/>
        <v>25000</v>
      </c>
      <c r="L58" s="69">
        <f t="shared" si="661"/>
        <v>25000</v>
      </c>
      <c r="M58" s="69">
        <f t="shared" si="661"/>
        <v>25000</v>
      </c>
      <c r="N58" s="69">
        <f t="shared" si="661"/>
        <v>27000</v>
      </c>
      <c r="O58" s="69">
        <f t="shared" si="661"/>
        <v>27000</v>
      </c>
      <c r="P58" s="69">
        <f t="shared" si="661"/>
        <v>27000</v>
      </c>
      <c r="Q58" s="69">
        <f t="shared" si="661"/>
        <v>27000</v>
      </c>
      <c r="R58" s="69">
        <f t="shared" si="661"/>
        <v>27000</v>
      </c>
      <c r="S58" s="69">
        <f t="shared" si="661"/>
        <v>27000</v>
      </c>
      <c r="T58" s="69">
        <f t="shared" si="661"/>
        <v>27000</v>
      </c>
      <c r="U58" s="69">
        <f t="shared" ref="U58:CF58" si="662">T58+U39+U52</f>
        <v>27000</v>
      </c>
      <c r="V58" s="69">
        <f t="shared" si="662"/>
        <v>27000</v>
      </c>
      <c r="W58" s="69">
        <f t="shared" si="662"/>
        <v>27000</v>
      </c>
      <c r="X58" s="69">
        <f t="shared" si="662"/>
        <v>27000</v>
      </c>
      <c r="Y58" s="69">
        <f t="shared" si="662"/>
        <v>27000</v>
      </c>
      <c r="Z58" s="69">
        <f t="shared" si="662"/>
        <v>27000</v>
      </c>
      <c r="AA58" s="69">
        <f t="shared" si="662"/>
        <v>27000</v>
      </c>
      <c r="AB58" s="69">
        <f t="shared" si="662"/>
        <v>27000</v>
      </c>
      <c r="AC58" s="69">
        <f t="shared" si="662"/>
        <v>27000</v>
      </c>
      <c r="AD58" s="69">
        <f t="shared" si="662"/>
        <v>27000</v>
      </c>
      <c r="AE58" s="69">
        <f t="shared" si="662"/>
        <v>27000</v>
      </c>
      <c r="AF58" s="69">
        <f t="shared" si="662"/>
        <v>27000</v>
      </c>
      <c r="AG58" s="69">
        <f t="shared" si="662"/>
        <v>27000</v>
      </c>
      <c r="AH58" s="69">
        <f t="shared" si="662"/>
        <v>27000</v>
      </c>
      <c r="AI58" s="69">
        <f t="shared" si="662"/>
        <v>27000</v>
      </c>
      <c r="AJ58" s="69">
        <f t="shared" si="662"/>
        <v>27000</v>
      </c>
      <c r="AK58" s="69">
        <f t="shared" si="662"/>
        <v>27000</v>
      </c>
      <c r="AL58" s="69">
        <f t="shared" si="662"/>
        <v>27000</v>
      </c>
      <c r="AM58" s="69">
        <f t="shared" si="662"/>
        <v>27000</v>
      </c>
      <c r="AN58" s="69">
        <f t="shared" si="662"/>
        <v>27000</v>
      </c>
      <c r="AO58" s="69">
        <f t="shared" si="662"/>
        <v>27000</v>
      </c>
      <c r="AP58" s="69">
        <f t="shared" si="662"/>
        <v>27000</v>
      </c>
      <c r="AQ58" s="69">
        <f t="shared" si="662"/>
        <v>27000</v>
      </c>
      <c r="AR58" s="69">
        <f t="shared" si="662"/>
        <v>26437.5</v>
      </c>
      <c r="AS58" s="69">
        <f t="shared" si="662"/>
        <v>26437.5</v>
      </c>
      <c r="AT58" s="69">
        <f t="shared" si="662"/>
        <v>26437.5</v>
      </c>
      <c r="AU58" s="69">
        <f t="shared" si="662"/>
        <v>25875</v>
      </c>
      <c r="AV58" s="69">
        <f t="shared" si="662"/>
        <v>25875</v>
      </c>
      <c r="AW58" s="69">
        <f t="shared" si="662"/>
        <v>25875</v>
      </c>
      <c r="AX58" s="69">
        <f t="shared" si="662"/>
        <v>25312.5</v>
      </c>
      <c r="AY58" s="69">
        <f t="shared" si="662"/>
        <v>25312.5</v>
      </c>
      <c r="AZ58" s="69">
        <f t="shared" si="662"/>
        <v>25312.5</v>
      </c>
      <c r="BA58" s="69">
        <f t="shared" si="662"/>
        <v>24750</v>
      </c>
      <c r="BB58" s="69">
        <f t="shared" si="662"/>
        <v>24750</v>
      </c>
      <c r="BC58" s="69">
        <f t="shared" si="662"/>
        <v>24750</v>
      </c>
      <c r="BD58" s="69">
        <f t="shared" si="662"/>
        <v>24187.5</v>
      </c>
      <c r="BE58" s="69">
        <f t="shared" si="662"/>
        <v>24187.5</v>
      </c>
      <c r="BF58" s="69">
        <f t="shared" si="662"/>
        <v>24187.5</v>
      </c>
      <c r="BG58" s="69">
        <f t="shared" si="662"/>
        <v>23625</v>
      </c>
      <c r="BH58" s="69">
        <f t="shared" si="662"/>
        <v>23625</v>
      </c>
      <c r="BI58" s="69">
        <f t="shared" si="662"/>
        <v>23625</v>
      </c>
      <c r="BJ58" s="69">
        <f t="shared" si="662"/>
        <v>23062.5</v>
      </c>
      <c r="BK58" s="69">
        <f t="shared" si="662"/>
        <v>23062.5</v>
      </c>
      <c r="BL58" s="69">
        <f t="shared" si="662"/>
        <v>23062.5</v>
      </c>
      <c r="BM58" s="69">
        <f t="shared" si="662"/>
        <v>22500</v>
      </c>
      <c r="BN58" s="69">
        <f t="shared" si="662"/>
        <v>22500</v>
      </c>
      <c r="BO58" s="69">
        <f t="shared" si="662"/>
        <v>22500</v>
      </c>
      <c r="BP58" s="69">
        <f t="shared" si="662"/>
        <v>21937.5</v>
      </c>
      <c r="BQ58" s="69">
        <f t="shared" si="662"/>
        <v>21937.5</v>
      </c>
      <c r="BR58" s="69">
        <f t="shared" si="662"/>
        <v>21937.5</v>
      </c>
      <c r="BS58" s="69">
        <f t="shared" si="662"/>
        <v>21375</v>
      </c>
      <c r="BT58" s="69">
        <f t="shared" si="662"/>
        <v>21375</v>
      </c>
      <c r="BU58" s="69">
        <f t="shared" si="662"/>
        <v>21375</v>
      </c>
      <c r="BV58" s="69">
        <f t="shared" si="662"/>
        <v>20812.5</v>
      </c>
      <c r="BW58" s="69">
        <f t="shared" si="662"/>
        <v>20812.5</v>
      </c>
      <c r="BX58" s="69">
        <f t="shared" si="662"/>
        <v>20812.5</v>
      </c>
      <c r="BY58" s="69">
        <f t="shared" si="662"/>
        <v>20250</v>
      </c>
      <c r="BZ58" s="69">
        <f t="shared" si="662"/>
        <v>20250</v>
      </c>
      <c r="CA58" s="69">
        <f t="shared" si="662"/>
        <v>20250</v>
      </c>
      <c r="CB58" s="69">
        <f t="shared" si="662"/>
        <v>19687.5</v>
      </c>
      <c r="CC58" s="69">
        <f t="shared" si="662"/>
        <v>19687.5</v>
      </c>
      <c r="CD58" s="69">
        <f t="shared" si="662"/>
        <v>19687.5</v>
      </c>
      <c r="CE58" s="69">
        <f t="shared" si="662"/>
        <v>19125</v>
      </c>
      <c r="CF58" s="69">
        <f t="shared" si="662"/>
        <v>19125</v>
      </c>
      <c r="CG58" s="69">
        <f t="shared" ref="CG58:ER58" si="663">CF58+CG39+CG52</f>
        <v>19125</v>
      </c>
      <c r="CH58" s="69">
        <f t="shared" si="663"/>
        <v>18562.5</v>
      </c>
      <c r="CI58" s="69">
        <f t="shared" si="663"/>
        <v>18562.5</v>
      </c>
      <c r="CJ58" s="69">
        <f t="shared" si="663"/>
        <v>18562.5</v>
      </c>
      <c r="CK58" s="69">
        <f t="shared" si="663"/>
        <v>18000</v>
      </c>
      <c r="CL58" s="69">
        <f t="shared" si="663"/>
        <v>18000</v>
      </c>
      <c r="CM58" s="69">
        <f t="shared" si="663"/>
        <v>18000</v>
      </c>
      <c r="CN58" s="69">
        <f t="shared" si="663"/>
        <v>17437.5</v>
      </c>
      <c r="CO58" s="69">
        <f t="shared" si="663"/>
        <v>17437.5</v>
      </c>
      <c r="CP58" s="69">
        <f t="shared" si="663"/>
        <v>17437.5</v>
      </c>
      <c r="CQ58" s="69">
        <f t="shared" si="663"/>
        <v>16875</v>
      </c>
      <c r="CR58" s="69">
        <f t="shared" si="663"/>
        <v>16875</v>
      </c>
      <c r="CS58" s="69">
        <f t="shared" si="663"/>
        <v>16875</v>
      </c>
      <c r="CT58" s="69">
        <f t="shared" si="663"/>
        <v>16312.5</v>
      </c>
      <c r="CU58" s="69">
        <f t="shared" si="663"/>
        <v>16312.5</v>
      </c>
      <c r="CV58" s="69">
        <f t="shared" si="663"/>
        <v>16312.5</v>
      </c>
      <c r="CW58" s="69">
        <f t="shared" si="663"/>
        <v>15750</v>
      </c>
      <c r="CX58" s="69">
        <f t="shared" si="663"/>
        <v>15750</v>
      </c>
      <c r="CY58" s="69">
        <f t="shared" si="663"/>
        <v>15750</v>
      </c>
      <c r="CZ58" s="69">
        <f t="shared" si="663"/>
        <v>15187.5</v>
      </c>
      <c r="DA58" s="69">
        <f t="shared" si="663"/>
        <v>15187.5</v>
      </c>
      <c r="DB58" s="69">
        <f t="shared" si="663"/>
        <v>15187.5</v>
      </c>
      <c r="DC58" s="69">
        <f t="shared" si="663"/>
        <v>14625</v>
      </c>
      <c r="DD58" s="69">
        <f t="shared" si="663"/>
        <v>14625</v>
      </c>
      <c r="DE58" s="69">
        <f t="shared" si="663"/>
        <v>14625</v>
      </c>
      <c r="DF58" s="69">
        <f t="shared" si="663"/>
        <v>14062.5</v>
      </c>
      <c r="DG58" s="69">
        <f t="shared" si="663"/>
        <v>14062.5</v>
      </c>
      <c r="DH58" s="69">
        <f t="shared" si="663"/>
        <v>14062.5</v>
      </c>
      <c r="DI58" s="69">
        <f t="shared" si="663"/>
        <v>13500</v>
      </c>
      <c r="DJ58" s="69">
        <f t="shared" si="663"/>
        <v>13500</v>
      </c>
      <c r="DK58" s="69">
        <f t="shared" si="663"/>
        <v>13500</v>
      </c>
      <c r="DL58" s="69">
        <f t="shared" si="663"/>
        <v>12937.5</v>
      </c>
      <c r="DM58" s="69">
        <f t="shared" si="663"/>
        <v>12937.5</v>
      </c>
      <c r="DN58" s="69">
        <f t="shared" si="663"/>
        <v>12937.5</v>
      </c>
      <c r="DO58" s="69">
        <f t="shared" si="663"/>
        <v>12375</v>
      </c>
      <c r="DP58" s="69">
        <f t="shared" si="663"/>
        <v>12375</v>
      </c>
      <c r="DQ58" s="69">
        <f t="shared" si="663"/>
        <v>12375</v>
      </c>
      <c r="DR58" s="69">
        <f t="shared" si="663"/>
        <v>11812.5</v>
      </c>
      <c r="DS58" s="69">
        <f t="shared" si="663"/>
        <v>11812.5</v>
      </c>
      <c r="DT58" s="69">
        <f t="shared" si="663"/>
        <v>11812.5</v>
      </c>
      <c r="DU58" s="69">
        <f t="shared" si="663"/>
        <v>11250</v>
      </c>
      <c r="DV58" s="69">
        <f t="shared" si="663"/>
        <v>11250</v>
      </c>
      <c r="DW58" s="69">
        <f t="shared" si="663"/>
        <v>11250</v>
      </c>
      <c r="DX58" s="69">
        <f t="shared" si="663"/>
        <v>10687.5</v>
      </c>
      <c r="DY58" s="69">
        <f t="shared" si="663"/>
        <v>10687.5</v>
      </c>
      <c r="DZ58" s="69">
        <f t="shared" si="663"/>
        <v>10687.5</v>
      </c>
      <c r="EA58" s="69">
        <f t="shared" si="663"/>
        <v>10125</v>
      </c>
      <c r="EB58" s="69">
        <f t="shared" si="663"/>
        <v>10125</v>
      </c>
      <c r="EC58" s="69">
        <f t="shared" si="663"/>
        <v>10125</v>
      </c>
      <c r="ED58" s="69">
        <f t="shared" si="663"/>
        <v>9562.5</v>
      </c>
      <c r="EE58" s="69">
        <f t="shared" si="663"/>
        <v>9562.5</v>
      </c>
      <c r="EF58" s="69">
        <f t="shared" si="663"/>
        <v>9562.5</v>
      </c>
      <c r="EG58" s="69">
        <f t="shared" si="663"/>
        <v>9000</v>
      </c>
      <c r="EH58" s="69">
        <f t="shared" si="663"/>
        <v>9000</v>
      </c>
      <c r="EI58" s="69">
        <f t="shared" si="663"/>
        <v>9000</v>
      </c>
      <c r="EJ58" s="69">
        <f t="shared" si="663"/>
        <v>8437.5</v>
      </c>
      <c r="EK58" s="69">
        <f t="shared" si="663"/>
        <v>8437.5</v>
      </c>
      <c r="EL58" s="69">
        <f t="shared" si="663"/>
        <v>8437.5</v>
      </c>
      <c r="EM58" s="69">
        <f t="shared" si="663"/>
        <v>7875</v>
      </c>
      <c r="EN58" s="69">
        <f t="shared" si="663"/>
        <v>7875</v>
      </c>
      <c r="EO58" s="69">
        <f t="shared" si="663"/>
        <v>7875</v>
      </c>
      <c r="EP58" s="69">
        <f t="shared" si="663"/>
        <v>7312.5</v>
      </c>
      <c r="EQ58" s="69">
        <f t="shared" si="663"/>
        <v>7312.5</v>
      </c>
      <c r="ER58" s="69">
        <f t="shared" si="663"/>
        <v>7312.5</v>
      </c>
      <c r="ES58" s="69">
        <f t="shared" ref="ES58:GC58" si="664">ER58+ES39+ES52</f>
        <v>6750</v>
      </c>
      <c r="ET58" s="69">
        <f t="shared" si="664"/>
        <v>6750</v>
      </c>
      <c r="EU58" s="69">
        <f t="shared" si="664"/>
        <v>6750</v>
      </c>
      <c r="EV58" s="69">
        <f t="shared" si="664"/>
        <v>6187.5</v>
      </c>
      <c r="EW58" s="69">
        <f t="shared" si="664"/>
        <v>6187.5</v>
      </c>
      <c r="EX58" s="69">
        <f t="shared" si="664"/>
        <v>6187.5</v>
      </c>
      <c r="EY58" s="69">
        <f t="shared" si="664"/>
        <v>5625</v>
      </c>
      <c r="EZ58" s="69">
        <f t="shared" si="664"/>
        <v>5625</v>
      </c>
      <c r="FA58" s="69">
        <f t="shared" si="664"/>
        <v>5625</v>
      </c>
      <c r="FB58" s="69">
        <f t="shared" si="664"/>
        <v>5062.5</v>
      </c>
      <c r="FC58" s="69">
        <f t="shared" si="664"/>
        <v>5062.5</v>
      </c>
      <c r="FD58" s="69">
        <f t="shared" si="664"/>
        <v>5062.5</v>
      </c>
      <c r="FE58" s="69">
        <f t="shared" si="664"/>
        <v>4500</v>
      </c>
      <c r="FF58" s="69">
        <f t="shared" si="664"/>
        <v>4500</v>
      </c>
      <c r="FG58" s="69">
        <f t="shared" si="664"/>
        <v>4500</v>
      </c>
      <c r="FH58" s="69">
        <f t="shared" si="664"/>
        <v>3937.5</v>
      </c>
      <c r="FI58" s="69">
        <f t="shared" si="664"/>
        <v>3937.5</v>
      </c>
      <c r="FJ58" s="69">
        <f t="shared" si="664"/>
        <v>3937.5</v>
      </c>
      <c r="FK58" s="69">
        <f t="shared" si="664"/>
        <v>3375</v>
      </c>
      <c r="FL58" s="69">
        <f t="shared" si="664"/>
        <v>3375</v>
      </c>
      <c r="FM58" s="69">
        <f t="shared" si="664"/>
        <v>3375</v>
      </c>
      <c r="FN58" s="69">
        <f t="shared" si="664"/>
        <v>2812.5</v>
      </c>
      <c r="FO58" s="69">
        <f t="shared" si="664"/>
        <v>2812.5</v>
      </c>
      <c r="FP58" s="69">
        <f t="shared" si="664"/>
        <v>2812.5</v>
      </c>
      <c r="FQ58" s="69">
        <f t="shared" si="664"/>
        <v>2250</v>
      </c>
      <c r="FR58" s="69">
        <f t="shared" si="664"/>
        <v>2250</v>
      </c>
      <c r="FS58" s="69">
        <f t="shared" si="664"/>
        <v>2250</v>
      </c>
      <c r="FT58" s="69">
        <f t="shared" si="664"/>
        <v>1687.5</v>
      </c>
      <c r="FU58" s="69">
        <f t="shared" si="664"/>
        <v>1687.5</v>
      </c>
      <c r="FV58" s="69">
        <f t="shared" si="664"/>
        <v>1687.5</v>
      </c>
      <c r="FW58" s="69">
        <f t="shared" si="664"/>
        <v>1125</v>
      </c>
      <c r="FX58" s="69">
        <f t="shared" si="664"/>
        <v>1125</v>
      </c>
      <c r="FY58" s="69">
        <f t="shared" si="664"/>
        <v>1125</v>
      </c>
      <c r="FZ58" s="69">
        <f t="shared" si="664"/>
        <v>562.5</v>
      </c>
      <c r="GA58" s="69">
        <f t="shared" si="664"/>
        <v>562.5</v>
      </c>
      <c r="GB58" s="69">
        <f t="shared" si="664"/>
        <v>562.5</v>
      </c>
      <c r="GC58" s="69">
        <f t="shared" si="664"/>
        <v>0</v>
      </c>
      <c r="GD58" s="69">
        <f t="shared" ref="GD58" si="665">GC58+GD39+GD52</f>
        <v>0</v>
      </c>
      <c r="GE58" s="69">
        <f t="shared" ref="GE58" si="666">GD58+GE39+GE52</f>
        <v>0</v>
      </c>
      <c r="GF58" s="73">
        <f t="shared" ref="GF58" si="667">GE58+GF39+GF52</f>
        <v>0</v>
      </c>
    </row>
    <row r="59" spans="3:192" x14ac:dyDescent="0.3">
      <c r="GF59" s="1"/>
    </row>
    <row r="62" spans="3:192" x14ac:dyDescent="0.3">
      <c r="C62" s="527" t="s">
        <v>709</v>
      </c>
      <c r="D62" s="527"/>
      <c r="E62" s="528">
        <v>45194</v>
      </c>
      <c r="F62" s="528">
        <f>E34</f>
        <v>45199</v>
      </c>
      <c r="G62" s="528">
        <f>F34</f>
        <v>45230</v>
      </c>
      <c r="H62" s="528">
        <f t="shared" ref="H62:I62" si="668">G34</f>
        <v>45260</v>
      </c>
      <c r="I62" s="528">
        <f t="shared" si="668"/>
        <v>45291</v>
      </c>
      <c r="J62" s="528">
        <v>45318</v>
      </c>
      <c r="K62" s="529">
        <f>I34</f>
        <v>45322</v>
      </c>
      <c r="L62" s="529">
        <f t="shared" ref="L62:O62" si="669">J34</f>
        <v>45351</v>
      </c>
      <c r="M62" s="529">
        <f t="shared" si="669"/>
        <v>45382</v>
      </c>
      <c r="N62" s="529">
        <f t="shared" si="669"/>
        <v>45412</v>
      </c>
      <c r="O62" s="529">
        <f t="shared" si="669"/>
        <v>45443</v>
      </c>
      <c r="P62" s="528">
        <v>45470</v>
      </c>
      <c r="Q62" s="529">
        <f>N34</f>
        <v>45473</v>
      </c>
      <c r="R62" s="529">
        <f t="shared" ref="R62:CC62" si="670">O34</f>
        <v>45504</v>
      </c>
      <c r="S62" s="529">
        <f t="shared" si="670"/>
        <v>45535</v>
      </c>
      <c r="T62" s="529">
        <f t="shared" si="670"/>
        <v>45565</v>
      </c>
      <c r="U62" s="529">
        <f t="shared" si="670"/>
        <v>45596</v>
      </c>
      <c r="V62" s="529">
        <f t="shared" si="670"/>
        <v>45626</v>
      </c>
      <c r="W62" s="529">
        <f t="shared" si="670"/>
        <v>45657</v>
      </c>
      <c r="X62" s="529">
        <f t="shared" si="670"/>
        <v>45688</v>
      </c>
      <c r="Y62" s="529">
        <f t="shared" si="670"/>
        <v>45716</v>
      </c>
      <c r="Z62" s="529">
        <f t="shared" si="670"/>
        <v>45747</v>
      </c>
      <c r="AA62" s="529">
        <f t="shared" si="670"/>
        <v>45777</v>
      </c>
      <c r="AB62" s="529">
        <f t="shared" si="670"/>
        <v>45808</v>
      </c>
      <c r="AC62" s="529">
        <f t="shared" si="670"/>
        <v>45838</v>
      </c>
      <c r="AD62" s="529">
        <f t="shared" si="670"/>
        <v>45869</v>
      </c>
      <c r="AE62" s="529">
        <f t="shared" si="670"/>
        <v>45900</v>
      </c>
      <c r="AF62" s="529">
        <f t="shared" si="670"/>
        <v>45930</v>
      </c>
      <c r="AG62" s="529">
        <f t="shared" si="670"/>
        <v>45961</v>
      </c>
      <c r="AH62" s="529">
        <f t="shared" si="670"/>
        <v>45991</v>
      </c>
      <c r="AI62" s="529">
        <f t="shared" si="670"/>
        <v>46022</v>
      </c>
      <c r="AJ62" s="529">
        <f t="shared" si="670"/>
        <v>46053</v>
      </c>
      <c r="AK62" s="529">
        <f t="shared" si="670"/>
        <v>46081</v>
      </c>
      <c r="AL62" s="529">
        <f t="shared" si="670"/>
        <v>46112</v>
      </c>
      <c r="AM62" s="529">
        <f t="shared" si="670"/>
        <v>46142</v>
      </c>
      <c r="AN62" s="529">
        <f t="shared" si="670"/>
        <v>46173</v>
      </c>
      <c r="AO62" s="529">
        <f t="shared" si="670"/>
        <v>46203</v>
      </c>
      <c r="AP62" s="529">
        <f t="shared" si="670"/>
        <v>46234</v>
      </c>
      <c r="AQ62" s="529">
        <f t="shared" si="670"/>
        <v>46265</v>
      </c>
      <c r="AR62" s="529">
        <f t="shared" si="670"/>
        <v>46295</v>
      </c>
      <c r="AS62" s="529">
        <f t="shared" si="670"/>
        <v>46326</v>
      </c>
      <c r="AT62" s="529">
        <f t="shared" si="670"/>
        <v>46356</v>
      </c>
      <c r="AU62" s="529">
        <f t="shared" si="670"/>
        <v>46387</v>
      </c>
      <c r="AV62" s="529">
        <f t="shared" si="670"/>
        <v>46418</v>
      </c>
      <c r="AW62" s="529">
        <f t="shared" si="670"/>
        <v>46446</v>
      </c>
      <c r="AX62" s="529">
        <f t="shared" si="670"/>
        <v>46477</v>
      </c>
      <c r="AY62" s="529">
        <f t="shared" si="670"/>
        <v>46507</v>
      </c>
      <c r="AZ62" s="529">
        <f t="shared" si="670"/>
        <v>46538</v>
      </c>
      <c r="BA62" s="529">
        <f t="shared" si="670"/>
        <v>46568</v>
      </c>
      <c r="BB62" s="529">
        <f t="shared" si="670"/>
        <v>46599</v>
      </c>
      <c r="BC62" s="529">
        <f t="shared" si="670"/>
        <v>46630</v>
      </c>
      <c r="BD62" s="529">
        <f t="shared" si="670"/>
        <v>46660</v>
      </c>
      <c r="BE62" s="529">
        <f t="shared" si="670"/>
        <v>46691</v>
      </c>
      <c r="BF62" s="529">
        <f t="shared" si="670"/>
        <v>46721</v>
      </c>
      <c r="BG62" s="529">
        <f t="shared" si="670"/>
        <v>46752</v>
      </c>
      <c r="BH62" s="529">
        <f t="shared" si="670"/>
        <v>46783</v>
      </c>
      <c r="BI62" s="529">
        <f t="shared" si="670"/>
        <v>46812</v>
      </c>
      <c r="BJ62" s="529">
        <f t="shared" si="670"/>
        <v>46843</v>
      </c>
      <c r="BK62" s="529">
        <f t="shared" si="670"/>
        <v>46873</v>
      </c>
      <c r="BL62" s="529">
        <f t="shared" si="670"/>
        <v>46904</v>
      </c>
      <c r="BM62" s="529">
        <f t="shared" si="670"/>
        <v>46934</v>
      </c>
      <c r="BN62" s="529">
        <f t="shared" si="670"/>
        <v>46965</v>
      </c>
      <c r="BO62" s="529">
        <f t="shared" si="670"/>
        <v>46996</v>
      </c>
      <c r="BP62" s="529">
        <f t="shared" si="670"/>
        <v>47026</v>
      </c>
      <c r="BQ62" s="529">
        <f t="shared" si="670"/>
        <v>47057</v>
      </c>
      <c r="BR62" s="529">
        <f t="shared" si="670"/>
        <v>47087</v>
      </c>
      <c r="BS62" s="529">
        <f t="shared" si="670"/>
        <v>47118</v>
      </c>
      <c r="BT62" s="529">
        <f t="shared" si="670"/>
        <v>47149</v>
      </c>
      <c r="BU62" s="529">
        <f t="shared" si="670"/>
        <v>47177</v>
      </c>
      <c r="BV62" s="529">
        <f t="shared" si="670"/>
        <v>47208</v>
      </c>
      <c r="BW62" s="529">
        <f t="shared" si="670"/>
        <v>47238</v>
      </c>
      <c r="BX62" s="529">
        <f t="shared" si="670"/>
        <v>47269</v>
      </c>
      <c r="BY62" s="529">
        <f t="shared" si="670"/>
        <v>47299</v>
      </c>
      <c r="BZ62" s="529">
        <f t="shared" si="670"/>
        <v>47330</v>
      </c>
      <c r="CA62" s="529">
        <f t="shared" si="670"/>
        <v>47361</v>
      </c>
      <c r="CB62" s="529">
        <f t="shared" si="670"/>
        <v>47391</v>
      </c>
      <c r="CC62" s="529">
        <f t="shared" si="670"/>
        <v>47422</v>
      </c>
      <c r="CD62" s="529">
        <f t="shared" ref="CD62:EO62" si="671">CA34</f>
        <v>47452</v>
      </c>
      <c r="CE62" s="529">
        <f t="shared" si="671"/>
        <v>47483</v>
      </c>
      <c r="CF62" s="529">
        <f t="shared" si="671"/>
        <v>47514</v>
      </c>
      <c r="CG62" s="529">
        <f t="shared" si="671"/>
        <v>47542</v>
      </c>
      <c r="CH62" s="529">
        <f t="shared" si="671"/>
        <v>47573</v>
      </c>
      <c r="CI62" s="529">
        <f t="shared" si="671"/>
        <v>47603</v>
      </c>
      <c r="CJ62" s="529">
        <f t="shared" si="671"/>
        <v>47634</v>
      </c>
      <c r="CK62" s="529">
        <f t="shared" si="671"/>
        <v>47664</v>
      </c>
      <c r="CL62" s="529">
        <f t="shared" si="671"/>
        <v>47695</v>
      </c>
      <c r="CM62" s="529">
        <f t="shared" si="671"/>
        <v>47726</v>
      </c>
      <c r="CN62" s="529">
        <f t="shared" si="671"/>
        <v>47756</v>
      </c>
      <c r="CO62" s="529">
        <f t="shared" si="671"/>
        <v>47787</v>
      </c>
      <c r="CP62" s="529">
        <f t="shared" si="671"/>
        <v>47817</v>
      </c>
      <c r="CQ62" s="529">
        <f t="shared" si="671"/>
        <v>47848</v>
      </c>
      <c r="CR62" s="529">
        <f t="shared" si="671"/>
        <v>47879</v>
      </c>
      <c r="CS62" s="529">
        <f t="shared" si="671"/>
        <v>47907</v>
      </c>
      <c r="CT62" s="529">
        <f t="shared" si="671"/>
        <v>47938</v>
      </c>
      <c r="CU62" s="529">
        <f t="shared" si="671"/>
        <v>47968</v>
      </c>
      <c r="CV62" s="529">
        <f t="shared" si="671"/>
        <v>47999</v>
      </c>
      <c r="CW62" s="529">
        <f t="shared" si="671"/>
        <v>48029</v>
      </c>
      <c r="CX62" s="529">
        <f t="shared" si="671"/>
        <v>48060</v>
      </c>
      <c r="CY62" s="529">
        <f t="shared" si="671"/>
        <v>48091</v>
      </c>
      <c r="CZ62" s="529">
        <f t="shared" si="671"/>
        <v>48121</v>
      </c>
      <c r="DA62" s="529">
        <f t="shared" si="671"/>
        <v>48152</v>
      </c>
      <c r="DB62" s="529">
        <f t="shared" si="671"/>
        <v>48182</v>
      </c>
      <c r="DC62" s="529">
        <f t="shared" si="671"/>
        <v>48213</v>
      </c>
      <c r="DD62" s="529">
        <f t="shared" si="671"/>
        <v>48244</v>
      </c>
      <c r="DE62" s="529">
        <f t="shared" si="671"/>
        <v>48273</v>
      </c>
      <c r="DF62" s="529">
        <f t="shared" si="671"/>
        <v>48304</v>
      </c>
      <c r="DG62" s="529">
        <f t="shared" si="671"/>
        <v>48334</v>
      </c>
      <c r="DH62" s="529">
        <f t="shared" si="671"/>
        <v>48365</v>
      </c>
      <c r="DI62" s="529">
        <f t="shared" si="671"/>
        <v>48395</v>
      </c>
      <c r="DJ62" s="529">
        <f t="shared" si="671"/>
        <v>48426</v>
      </c>
      <c r="DK62" s="529">
        <f t="shared" si="671"/>
        <v>48457</v>
      </c>
      <c r="DL62" s="529">
        <f t="shared" si="671"/>
        <v>48487</v>
      </c>
      <c r="DM62" s="529">
        <f t="shared" si="671"/>
        <v>48518</v>
      </c>
      <c r="DN62" s="529">
        <f t="shared" si="671"/>
        <v>48548</v>
      </c>
      <c r="DO62" s="529">
        <f t="shared" si="671"/>
        <v>48579</v>
      </c>
      <c r="DP62" s="529">
        <f t="shared" si="671"/>
        <v>48610</v>
      </c>
      <c r="DQ62" s="529">
        <f t="shared" si="671"/>
        <v>48638</v>
      </c>
      <c r="DR62" s="529">
        <f t="shared" si="671"/>
        <v>48669</v>
      </c>
      <c r="DS62" s="529">
        <f t="shared" si="671"/>
        <v>48699</v>
      </c>
      <c r="DT62" s="529">
        <f t="shared" si="671"/>
        <v>48730</v>
      </c>
      <c r="DU62" s="529">
        <f t="shared" si="671"/>
        <v>48760</v>
      </c>
      <c r="DV62" s="529">
        <f t="shared" si="671"/>
        <v>48791</v>
      </c>
      <c r="DW62" s="529">
        <f t="shared" si="671"/>
        <v>48822</v>
      </c>
      <c r="DX62" s="529">
        <f t="shared" si="671"/>
        <v>48852</v>
      </c>
      <c r="DY62" s="529">
        <f t="shared" si="671"/>
        <v>48883</v>
      </c>
      <c r="DZ62" s="529">
        <f t="shared" si="671"/>
        <v>48913</v>
      </c>
      <c r="EA62" s="529">
        <f t="shared" si="671"/>
        <v>48944</v>
      </c>
      <c r="EB62" s="529">
        <f t="shared" si="671"/>
        <v>48975</v>
      </c>
      <c r="EC62" s="529">
        <f t="shared" si="671"/>
        <v>49003</v>
      </c>
      <c r="ED62" s="529">
        <f t="shared" si="671"/>
        <v>49034</v>
      </c>
      <c r="EE62" s="529">
        <f t="shared" si="671"/>
        <v>49064</v>
      </c>
      <c r="EF62" s="529">
        <f t="shared" si="671"/>
        <v>49095</v>
      </c>
      <c r="EG62" s="529">
        <f t="shared" si="671"/>
        <v>49125</v>
      </c>
      <c r="EH62" s="529">
        <f t="shared" si="671"/>
        <v>49156</v>
      </c>
      <c r="EI62" s="529">
        <f t="shared" si="671"/>
        <v>49187</v>
      </c>
      <c r="EJ62" s="529">
        <f t="shared" si="671"/>
        <v>49217</v>
      </c>
      <c r="EK62" s="529">
        <f t="shared" si="671"/>
        <v>49248</v>
      </c>
      <c r="EL62" s="529">
        <f t="shared" si="671"/>
        <v>49278</v>
      </c>
      <c r="EM62" s="529">
        <f t="shared" si="671"/>
        <v>49309</v>
      </c>
      <c r="EN62" s="529">
        <f t="shared" si="671"/>
        <v>49340</v>
      </c>
      <c r="EO62" s="529">
        <f t="shared" si="671"/>
        <v>49368</v>
      </c>
      <c r="EP62" s="529">
        <f t="shared" ref="EP62:FU62" si="672">EM34</f>
        <v>49399</v>
      </c>
      <c r="EQ62" s="529">
        <f t="shared" si="672"/>
        <v>49429</v>
      </c>
      <c r="ER62" s="529">
        <f t="shared" si="672"/>
        <v>49460</v>
      </c>
      <c r="ES62" s="529">
        <f t="shared" si="672"/>
        <v>49490</v>
      </c>
      <c r="ET62" s="529">
        <f t="shared" si="672"/>
        <v>49521</v>
      </c>
      <c r="EU62" s="529">
        <f t="shared" si="672"/>
        <v>49552</v>
      </c>
      <c r="EV62" s="529">
        <f t="shared" si="672"/>
        <v>49582</v>
      </c>
      <c r="EW62" s="529">
        <f t="shared" si="672"/>
        <v>49613</v>
      </c>
      <c r="EX62" s="529">
        <f t="shared" si="672"/>
        <v>49643</v>
      </c>
      <c r="EY62" s="529">
        <f t="shared" si="672"/>
        <v>49674</v>
      </c>
      <c r="EZ62" s="529">
        <f t="shared" si="672"/>
        <v>49705</v>
      </c>
      <c r="FA62" s="529">
        <f t="shared" si="672"/>
        <v>49734</v>
      </c>
      <c r="FB62" s="529">
        <f t="shared" si="672"/>
        <v>49765</v>
      </c>
      <c r="FC62" s="529">
        <f t="shared" si="672"/>
        <v>49795</v>
      </c>
      <c r="FD62" s="529">
        <f t="shared" si="672"/>
        <v>49826</v>
      </c>
      <c r="FE62" s="529">
        <f t="shared" si="672"/>
        <v>49856</v>
      </c>
      <c r="FF62" s="529">
        <f t="shared" si="672"/>
        <v>49887</v>
      </c>
      <c r="FG62" s="529">
        <f t="shared" si="672"/>
        <v>49918</v>
      </c>
      <c r="FH62" s="529">
        <f t="shared" si="672"/>
        <v>49948</v>
      </c>
      <c r="FI62" s="529">
        <f t="shared" si="672"/>
        <v>49979</v>
      </c>
      <c r="FJ62" s="529">
        <f t="shared" si="672"/>
        <v>50009</v>
      </c>
      <c r="FK62" s="529">
        <f t="shared" si="672"/>
        <v>50040</v>
      </c>
      <c r="FL62" s="529">
        <f t="shared" si="672"/>
        <v>50071</v>
      </c>
      <c r="FM62" s="529">
        <f t="shared" si="672"/>
        <v>50099</v>
      </c>
      <c r="FN62" s="529">
        <f t="shared" si="672"/>
        <v>50130</v>
      </c>
      <c r="FO62" s="529">
        <f t="shared" si="672"/>
        <v>50160</v>
      </c>
      <c r="FP62" s="529">
        <f t="shared" si="672"/>
        <v>50191</v>
      </c>
      <c r="FQ62" s="529">
        <f t="shared" si="672"/>
        <v>50221</v>
      </c>
      <c r="FR62" s="529">
        <f t="shared" si="672"/>
        <v>50252</v>
      </c>
      <c r="FS62" s="529">
        <f t="shared" si="672"/>
        <v>50283</v>
      </c>
      <c r="FT62" s="529">
        <f t="shared" si="672"/>
        <v>50313</v>
      </c>
      <c r="FU62" s="529">
        <f t="shared" si="672"/>
        <v>50344</v>
      </c>
      <c r="FV62" s="529">
        <f t="shared" ref="FV62" si="673">FS34</f>
        <v>50374</v>
      </c>
      <c r="FW62" s="529">
        <f t="shared" ref="FW62" si="674">FT34</f>
        <v>50405</v>
      </c>
      <c r="FX62" s="529">
        <f t="shared" ref="FX62" si="675">FU34</f>
        <v>50436</v>
      </c>
      <c r="FY62" s="529">
        <f t="shared" ref="FY62" si="676">FV34</f>
        <v>50464</v>
      </c>
      <c r="FZ62" s="529">
        <f t="shared" ref="FZ62" si="677">FW34</f>
        <v>50495</v>
      </c>
      <c r="GA62" s="529">
        <f t="shared" ref="GA62" si="678">FX34</f>
        <v>50525</v>
      </c>
      <c r="GB62" s="529">
        <f t="shared" ref="GB62" si="679">FY34</f>
        <v>50556</v>
      </c>
      <c r="GC62" s="529">
        <f t="shared" ref="GC62" si="680">FZ34</f>
        <v>50586</v>
      </c>
      <c r="GD62" s="529">
        <f t="shared" ref="GD62" si="681">GA34</f>
        <v>50617</v>
      </c>
      <c r="GE62" s="529">
        <f t="shared" ref="GE62" si="682">GB34</f>
        <v>50648</v>
      </c>
      <c r="GF62" s="529">
        <f t="shared" ref="GF62" si="683">GC34</f>
        <v>50678</v>
      </c>
      <c r="GG62" s="529">
        <f t="shared" ref="GG62" si="684">GD34</f>
        <v>50709</v>
      </c>
      <c r="GH62" s="529">
        <f t="shared" ref="GH62" si="685">GE34</f>
        <v>50739</v>
      </c>
      <c r="GI62" s="529">
        <f t="shared" ref="GI62" si="686">GF34</f>
        <v>50770</v>
      </c>
      <c r="GJ62" s="529"/>
    </row>
    <row r="63" spans="3:192" x14ac:dyDescent="0.3">
      <c r="C63" s="530" t="s">
        <v>685</v>
      </c>
      <c r="D63" s="531"/>
      <c r="E63" s="532">
        <f>E46</f>
        <v>-13000</v>
      </c>
      <c r="F63" s="533">
        <f>E42</f>
        <v>0</v>
      </c>
      <c r="G63" s="533">
        <f t="shared" ref="G63:I63" si="687">F42</f>
        <v>0</v>
      </c>
      <c r="H63" s="533">
        <f t="shared" si="687"/>
        <v>0</v>
      </c>
      <c r="I63" s="533">
        <f t="shared" si="687"/>
        <v>147.55737260273972</v>
      </c>
      <c r="J63" s="532">
        <f>I46</f>
        <v>-12000</v>
      </c>
      <c r="K63" s="533">
        <f>I42</f>
        <v>0</v>
      </c>
      <c r="L63" s="533">
        <f>J42</f>
        <v>0</v>
      </c>
      <c r="M63" s="533">
        <f>K42</f>
        <v>233.73014480874315</v>
      </c>
      <c r="N63" s="533">
        <f>L42</f>
        <v>0</v>
      </c>
      <c r="O63" s="533">
        <f>M42</f>
        <v>0</v>
      </c>
      <c r="P63" s="532">
        <f>N46</f>
        <v>-2000</v>
      </c>
      <c r="Q63" s="533">
        <f>N42</f>
        <v>286.0986338797814</v>
      </c>
      <c r="R63" s="533">
        <f t="shared" ref="R63:CC63" si="688">O42</f>
        <v>0</v>
      </c>
      <c r="S63" s="533">
        <f t="shared" si="688"/>
        <v>0</v>
      </c>
      <c r="T63" s="533">
        <f t="shared" si="688"/>
        <v>308.48896174863387</v>
      </c>
      <c r="U63" s="533">
        <f t="shared" si="688"/>
        <v>0</v>
      </c>
      <c r="V63" s="533">
        <f t="shared" si="688"/>
        <v>0</v>
      </c>
      <c r="W63" s="533">
        <f t="shared" si="688"/>
        <v>305.62797540983604</v>
      </c>
      <c r="X63" s="533">
        <f t="shared" si="688"/>
        <v>0</v>
      </c>
      <c r="Y63" s="533">
        <f t="shared" si="688"/>
        <v>0</v>
      </c>
      <c r="Z63" s="533">
        <f t="shared" si="688"/>
        <v>303.09756164383566</v>
      </c>
      <c r="AA63" s="533">
        <f t="shared" si="688"/>
        <v>0</v>
      </c>
      <c r="AB63" s="533">
        <f t="shared" si="688"/>
        <v>0</v>
      </c>
      <c r="AC63" s="533">
        <f t="shared" si="688"/>
        <v>309.83306301369862</v>
      </c>
      <c r="AD63" s="533">
        <f t="shared" si="688"/>
        <v>0</v>
      </c>
      <c r="AE63" s="533">
        <f t="shared" si="688"/>
        <v>0</v>
      </c>
      <c r="AF63" s="533">
        <f t="shared" si="688"/>
        <v>309.83306301369862</v>
      </c>
      <c r="AG63" s="533">
        <f t="shared" si="688"/>
        <v>0</v>
      </c>
      <c r="AH63" s="533">
        <f t="shared" si="688"/>
        <v>0</v>
      </c>
      <c r="AI63" s="533">
        <f t="shared" si="688"/>
        <v>306.46531232876708</v>
      </c>
      <c r="AJ63" s="533">
        <f t="shared" si="688"/>
        <v>0</v>
      </c>
      <c r="AK63" s="533">
        <f t="shared" si="688"/>
        <v>0</v>
      </c>
      <c r="AL63" s="533">
        <f t="shared" si="688"/>
        <v>303.09756164383566</v>
      </c>
      <c r="AM63" s="533">
        <f t="shared" si="688"/>
        <v>0</v>
      </c>
      <c r="AN63" s="533">
        <f t="shared" si="688"/>
        <v>0</v>
      </c>
      <c r="AO63" s="533">
        <f t="shared" si="688"/>
        <v>309.83306301369862</v>
      </c>
      <c r="AP63" s="533">
        <f t="shared" si="688"/>
        <v>0</v>
      </c>
      <c r="AQ63" s="533">
        <f t="shared" si="688"/>
        <v>0</v>
      </c>
      <c r="AR63" s="533">
        <f t="shared" si="688"/>
        <v>309.83306301369862</v>
      </c>
      <c r="AS63" s="533">
        <f t="shared" si="688"/>
        <v>0</v>
      </c>
      <c r="AT63" s="533">
        <f t="shared" si="688"/>
        <v>0</v>
      </c>
      <c r="AU63" s="533">
        <f t="shared" si="688"/>
        <v>868.96531232876714</v>
      </c>
      <c r="AV63" s="533">
        <f t="shared" si="688"/>
        <v>0</v>
      </c>
      <c r="AW63" s="533">
        <f t="shared" si="688"/>
        <v>0</v>
      </c>
      <c r="AX63" s="533">
        <f t="shared" si="688"/>
        <v>859.28302910958905</v>
      </c>
      <c r="AY63" s="533">
        <f t="shared" si="688"/>
        <v>0</v>
      </c>
      <c r="AZ63" s="533">
        <f t="shared" si="688"/>
        <v>0</v>
      </c>
      <c r="BA63" s="533">
        <f t="shared" si="688"/>
        <v>859.42335205479458</v>
      </c>
      <c r="BB63" s="533">
        <f t="shared" si="688"/>
        <v>0</v>
      </c>
      <c r="BC63" s="533">
        <f t="shared" si="688"/>
        <v>0</v>
      </c>
      <c r="BD63" s="533">
        <f t="shared" si="688"/>
        <v>852.96849657534244</v>
      </c>
      <c r="BE63" s="533">
        <f t="shared" si="688"/>
        <v>0</v>
      </c>
      <c r="BF63" s="533">
        <f t="shared" si="688"/>
        <v>0</v>
      </c>
      <c r="BG63" s="533">
        <f t="shared" si="688"/>
        <v>843.42653630136988</v>
      </c>
      <c r="BH63" s="533">
        <f t="shared" si="688"/>
        <v>0</v>
      </c>
      <c r="BI63" s="533">
        <f t="shared" si="688"/>
        <v>0</v>
      </c>
      <c r="BJ63" s="533">
        <f t="shared" si="688"/>
        <v>836.2917279713115</v>
      </c>
      <c r="BK63" s="533">
        <f t="shared" si="688"/>
        <v>0</v>
      </c>
      <c r="BL63" s="533">
        <f t="shared" si="688"/>
        <v>0</v>
      </c>
      <c r="BM63" s="533">
        <f t="shared" si="688"/>
        <v>832.8632090163934</v>
      </c>
      <c r="BN63" s="533">
        <f t="shared" si="688"/>
        <v>0</v>
      </c>
      <c r="BO63" s="533">
        <f t="shared" si="688"/>
        <v>0</v>
      </c>
      <c r="BP63" s="533">
        <f t="shared" si="688"/>
        <v>826.42598975409828</v>
      </c>
      <c r="BQ63" s="533">
        <f t="shared" si="688"/>
        <v>0</v>
      </c>
      <c r="BR63" s="533">
        <f t="shared" si="688"/>
        <v>0</v>
      </c>
      <c r="BS63" s="533">
        <f t="shared" si="688"/>
        <v>817.18997950819664</v>
      </c>
      <c r="BT63" s="533">
        <f t="shared" si="688"/>
        <v>0</v>
      </c>
      <c r="BU63" s="533">
        <f t="shared" si="688"/>
        <v>0</v>
      </c>
      <c r="BV63" s="533">
        <f t="shared" si="688"/>
        <v>808.7667688356164</v>
      </c>
      <c r="BW63" s="533">
        <f t="shared" si="688"/>
        <v>0</v>
      </c>
      <c r="BX63" s="533">
        <f t="shared" si="688"/>
        <v>0</v>
      </c>
      <c r="BY63" s="533">
        <f t="shared" si="688"/>
        <v>807.78450821917806</v>
      </c>
      <c r="BZ63" s="533">
        <f t="shared" si="688"/>
        <v>0</v>
      </c>
      <c r="CA63" s="533">
        <f t="shared" si="688"/>
        <v>0</v>
      </c>
      <c r="CB63" s="533">
        <f t="shared" si="688"/>
        <v>801.32965273972604</v>
      </c>
      <c r="CC63" s="533">
        <f t="shared" si="688"/>
        <v>0</v>
      </c>
      <c r="CD63" s="533">
        <f t="shared" ref="CD63:EO63" si="689">CA42</f>
        <v>0</v>
      </c>
      <c r="CE63" s="533">
        <f t="shared" si="689"/>
        <v>792.34898424657536</v>
      </c>
      <c r="CF63" s="533">
        <f t="shared" si="689"/>
        <v>0</v>
      </c>
      <c r="CG63" s="533">
        <f t="shared" si="689"/>
        <v>0</v>
      </c>
      <c r="CH63" s="533">
        <f t="shared" si="689"/>
        <v>783.50863869863019</v>
      </c>
      <c r="CI63" s="533">
        <f t="shared" si="689"/>
        <v>0</v>
      </c>
      <c r="CJ63" s="533">
        <f t="shared" si="689"/>
        <v>0</v>
      </c>
      <c r="CK63" s="533">
        <f t="shared" si="689"/>
        <v>781.96508630136987</v>
      </c>
      <c r="CL63" s="533">
        <f t="shared" si="689"/>
        <v>0</v>
      </c>
      <c r="CM63" s="533">
        <f t="shared" si="689"/>
        <v>0</v>
      </c>
      <c r="CN63" s="533">
        <f t="shared" si="689"/>
        <v>775.51023082191773</v>
      </c>
      <c r="CO63" s="533">
        <f t="shared" si="689"/>
        <v>0</v>
      </c>
      <c r="CP63" s="533">
        <f t="shared" si="689"/>
        <v>0</v>
      </c>
      <c r="CQ63" s="533">
        <f t="shared" si="689"/>
        <v>766.81020821917809</v>
      </c>
      <c r="CR63" s="533">
        <f t="shared" si="689"/>
        <v>0</v>
      </c>
      <c r="CS63" s="533">
        <f t="shared" si="689"/>
        <v>0</v>
      </c>
      <c r="CT63" s="533">
        <f t="shared" si="689"/>
        <v>758.25050856164376</v>
      </c>
      <c r="CU63" s="533">
        <f t="shared" si="689"/>
        <v>0</v>
      </c>
      <c r="CV63" s="533">
        <f t="shared" si="689"/>
        <v>0</v>
      </c>
      <c r="CW63" s="533">
        <f t="shared" si="689"/>
        <v>756.14566438356155</v>
      </c>
      <c r="CX63" s="533">
        <f t="shared" si="689"/>
        <v>0</v>
      </c>
      <c r="CY63" s="533">
        <f t="shared" si="689"/>
        <v>0</v>
      </c>
      <c r="CZ63" s="533">
        <f t="shared" si="689"/>
        <v>749.69080890410953</v>
      </c>
      <c r="DA63" s="533">
        <f t="shared" si="689"/>
        <v>0</v>
      </c>
      <c r="DB63" s="533">
        <f t="shared" si="689"/>
        <v>0</v>
      </c>
      <c r="DC63" s="533">
        <f t="shared" si="689"/>
        <v>741.27143219178083</v>
      </c>
      <c r="DD63" s="533">
        <f t="shared" si="689"/>
        <v>0</v>
      </c>
      <c r="DE63" s="533">
        <f t="shared" si="689"/>
        <v>0</v>
      </c>
      <c r="DF63" s="533">
        <f t="shared" si="689"/>
        <v>734.41573616803271</v>
      </c>
      <c r="DG63" s="533">
        <f t="shared" si="689"/>
        <v>0</v>
      </c>
      <c r="DH63" s="533">
        <f t="shared" si="689"/>
        <v>0</v>
      </c>
      <c r="DI63" s="533">
        <f t="shared" si="689"/>
        <v>729.86770081967211</v>
      </c>
      <c r="DJ63" s="533">
        <f t="shared" si="689"/>
        <v>0</v>
      </c>
      <c r="DK63" s="533">
        <f t="shared" si="689"/>
        <v>0</v>
      </c>
      <c r="DL63" s="533">
        <f t="shared" si="689"/>
        <v>723.43048155737699</v>
      </c>
      <c r="DM63" s="533">
        <f t="shared" si="689"/>
        <v>0</v>
      </c>
      <c r="DN63" s="533">
        <f t="shared" si="689"/>
        <v>0</v>
      </c>
      <c r="DO63" s="533">
        <f t="shared" si="689"/>
        <v>715.31398770491796</v>
      </c>
      <c r="DP63" s="533">
        <f t="shared" si="689"/>
        <v>0</v>
      </c>
      <c r="DQ63" s="533">
        <f t="shared" si="689"/>
        <v>0</v>
      </c>
      <c r="DR63" s="533">
        <f t="shared" si="689"/>
        <v>707.73424828767122</v>
      </c>
      <c r="DS63" s="533">
        <f t="shared" si="689"/>
        <v>0</v>
      </c>
      <c r="DT63" s="533">
        <f t="shared" si="689"/>
        <v>0</v>
      </c>
      <c r="DU63" s="533">
        <f t="shared" si="689"/>
        <v>704.50682054794515</v>
      </c>
      <c r="DV63" s="533">
        <f t="shared" si="689"/>
        <v>0</v>
      </c>
      <c r="DW63" s="533">
        <f t="shared" si="689"/>
        <v>0</v>
      </c>
      <c r="DX63" s="533">
        <f t="shared" si="689"/>
        <v>698.05196506849313</v>
      </c>
      <c r="DY63" s="533">
        <f t="shared" si="689"/>
        <v>0</v>
      </c>
      <c r="DZ63" s="533">
        <f t="shared" si="689"/>
        <v>0</v>
      </c>
      <c r="EA63" s="533">
        <f t="shared" si="689"/>
        <v>690.19388013698631</v>
      </c>
      <c r="EB63" s="533">
        <f t="shared" si="689"/>
        <v>0</v>
      </c>
      <c r="EC63" s="533">
        <f t="shared" si="689"/>
        <v>0</v>
      </c>
      <c r="ED63" s="533">
        <f t="shared" si="689"/>
        <v>682.4761181506849</v>
      </c>
      <c r="EE63" s="533">
        <f t="shared" si="689"/>
        <v>0</v>
      </c>
      <c r="EF63" s="533">
        <f t="shared" si="689"/>
        <v>0</v>
      </c>
      <c r="EG63" s="533">
        <f t="shared" si="689"/>
        <v>678.68739863013695</v>
      </c>
      <c r="EH63" s="533">
        <f t="shared" si="689"/>
        <v>0</v>
      </c>
      <c r="EI63" s="533">
        <f t="shared" si="689"/>
        <v>0</v>
      </c>
      <c r="EJ63" s="533">
        <f t="shared" si="689"/>
        <v>672.23254315068493</v>
      </c>
      <c r="EK63" s="533">
        <f t="shared" si="689"/>
        <v>0</v>
      </c>
      <c r="EL63" s="533">
        <f t="shared" si="689"/>
        <v>0</v>
      </c>
      <c r="EM63" s="533">
        <f t="shared" si="689"/>
        <v>664.65510410958905</v>
      </c>
      <c r="EN63" s="533">
        <f t="shared" si="689"/>
        <v>0</v>
      </c>
      <c r="EO63" s="533">
        <f t="shared" si="689"/>
        <v>0</v>
      </c>
      <c r="EP63" s="533">
        <f t="shared" ref="EP63:FU63" si="690">EM42</f>
        <v>657.21798801369869</v>
      </c>
      <c r="EQ63" s="533">
        <f t="shared" si="690"/>
        <v>0</v>
      </c>
      <c r="ER63" s="533">
        <f t="shared" si="690"/>
        <v>0</v>
      </c>
      <c r="ES63" s="533">
        <f t="shared" si="690"/>
        <v>652.86797671232875</v>
      </c>
      <c r="ET63" s="533">
        <f t="shared" si="690"/>
        <v>0</v>
      </c>
      <c r="EU63" s="533">
        <f t="shared" si="690"/>
        <v>0</v>
      </c>
      <c r="EV63" s="533">
        <f t="shared" si="690"/>
        <v>646.41312123287673</v>
      </c>
      <c r="EW63" s="533">
        <f t="shared" si="690"/>
        <v>0</v>
      </c>
      <c r="EX63" s="533">
        <f t="shared" si="690"/>
        <v>0</v>
      </c>
      <c r="EY63" s="533">
        <f t="shared" si="690"/>
        <v>639.11632808219179</v>
      </c>
      <c r="EZ63" s="533">
        <f t="shared" si="690"/>
        <v>0</v>
      </c>
      <c r="FA63" s="533">
        <f t="shared" si="690"/>
        <v>0</v>
      </c>
      <c r="FB63" s="533">
        <f t="shared" si="690"/>
        <v>632.53974436475414</v>
      </c>
      <c r="FC63" s="533">
        <f t="shared" si="690"/>
        <v>0</v>
      </c>
      <c r="FD63" s="533">
        <f t="shared" si="690"/>
        <v>0</v>
      </c>
      <c r="FE63" s="533">
        <f t="shared" si="690"/>
        <v>626.87219262295082</v>
      </c>
      <c r="FF63" s="533">
        <f t="shared" si="690"/>
        <v>0</v>
      </c>
      <c r="FG63" s="533">
        <f t="shared" si="690"/>
        <v>0</v>
      </c>
      <c r="FH63" s="533">
        <f t="shared" si="690"/>
        <v>620.4349733606557</v>
      </c>
      <c r="FI63" s="533">
        <f t="shared" si="690"/>
        <v>0</v>
      </c>
      <c r="FJ63" s="533">
        <f t="shared" si="690"/>
        <v>0</v>
      </c>
      <c r="FK63" s="533">
        <f t="shared" si="690"/>
        <v>613.4379959016394</v>
      </c>
      <c r="FL63" s="533">
        <f t="shared" si="690"/>
        <v>0</v>
      </c>
      <c r="FM63" s="533">
        <f t="shared" si="690"/>
        <v>0</v>
      </c>
      <c r="FN63" s="533">
        <f t="shared" si="690"/>
        <v>606.70172773972604</v>
      </c>
      <c r="FO63" s="533">
        <f t="shared" si="690"/>
        <v>0</v>
      </c>
      <c r="FP63" s="533">
        <f t="shared" si="690"/>
        <v>0</v>
      </c>
      <c r="FQ63" s="533">
        <f t="shared" si="690"/>
        <v>601.22913287671236</v>
      </c>
      <c r="FR63" s="533">
        <f t="shared" si="690"/>
        <v>0</v>
      </c>
      <c r="FS63" s="533">
        <f t="shared" si="690"/>
        <v>0</v>
      </c>
      <c r="FT63" s="533">
        <f t="shared" si="690"/>
        <v>594.77427739726022</v>
      </c>
      <c r="FU63" s="533">
        <f t="shared" si="690"/>
        <v>0</v>
      </c>
      <c r="FV63" s="533">
        <f t="shared" ref="FV63" si="691">FS42</f>
        <v>0</v>
      </c>
      <c r="FW63" s="533">
        <f t="shared" ref="FW63" si="692">FT42</f>
        <v>588.03877602739726</v>
      </c>
      <c r="FX63" s="533">
        <f t="shared" ref="FX63" si="693">FU42</f>
        <v>0</v>
      </c>
      <c r="FY63" s="533">
        <f t="shared" ref="FY63" si="694">FV42</f>
        <v>0</v>
      </c>
      <c r="FZ63" s="533">
        <f t="shared" ref="FZ63" si="695">FW42</f>
        <v>581.44359760273971</v>
      </c>
      <c r="GA63" s="533">
        <f t="shared" ref="GA63" si="696">FX42</f>
        <v>0</v>
      </c>
      <c r="GB63" s="533">
        <f t="shared" ref="GB63" si="697">FY42</f>
        <v>0</v>
      </c>
      <c r="GC63" s="533">
        <f t="shared" ref="GC63" si="698">FZ42</f>
        <v>575.40971095890416</v>
      </c>
      <c r="GD63" s="533">
        <f t="shared" ref="GD63" si="699">GA42</f>
        <v>0</v>
      </c>
      <c r="GE63" s="533">
        <f t="shared" ref="GE63" si="700">GB42</f>
        <v>0</v>
      </c>
      <c r="GF63" s="533">
        <f t="shared" ref="GF63" si="701">GC42</f>
        <v>568.95485547945202</v>
      </c>
      <c r="GG63" s="533">
        <f t="shared" ref="GG63" si="702">GD42</f>
        <v>0</v>
      </c>
      <c r="GH63" s="533">
        <f t="shared" ref="GH63" si="703">GE42</f>
        <v>0</v>
      </c>
      <c r="GI63" s="533">
        <f t="shared" ref="GI63" si="704">GF42</f>
        <v>0</v>
      </c>
      <c r="GJ63" s="533"/>
    </row>
    <row r="64" spans="3:192" x14ac:dyDescent="0.3">
      <c r="C64" s="534" t="s">
        <v>686</v>
      </c>
      <c r="D64" s="535"/>
      <c r="E64" s="536">
        <f>E65+E66</f>
        <v>-13000</v>
      </c>
      <c r="F64" s="537">
        <f t="shared" ref="F64:BQ64" si="705">F65+F66</f>
        <v>0</v>
      </c>
      <c r="G64" s="537">
        <f t="shared" si="705"/>
        <v>0</v>
      </c>
      <c r="H64" s="537">
        <f t="shared" si="705"/>
        <v>0</v>
      </c>
      <c r="I64" s="537">
        <f t="shared" si="705"/>
        <v>139.36559178082192</v>
      </c>
      <c r="J64" s="536">
        <f t="shared" si="705"/>
        <v>-12000</v>
      </c>
      <c r="K64" s="537">
        <f t="shared" si="705"/>
        <v>0</v>
      </c>
      <c r="L64" s="537">
        <f t="shared" si="705"/>
        <v>0</v>
      </c>
      <c r="M64" s="537">
        <f t="shared" si="705"/>
        <v>220.73151092896174</v>
      </c>
      <c r="N64" s="537">
        <f t="shared" si="705"/>
        <v>0</v>
      </c>
      <c r="O64" s="537">
        <f t="shared" si="705"/>
        <v>0</v>
      </c>
      <c r="P64" s="536">
        <f t="shared" si="705"/>
        <v>-2000</v>
      </c>
      <c r="Q64" s="537">
        <f t="shared" si="705"/>
        <v>270.55901639344262</v>
      </c>
      <c r="R64" s="537">
        <f t="shared" si="705"/>
        <v>0</v>
      </c>
      <c r="S64" s="537">
        <f t="shared" si="705"/>
        <v>0</v>
      </c>
      <c r="T64" s="537">
        <f t="shared" si="705"/>
        <v>291.52174863387972</v>
      </c>
      <c r="U64" s="537">
        <f t="shared" si="705"/>
        <v>0</v>
      </c>
      <c r="V64" s="537">
        <f t="shared" si="705"/>
        <v>0</v>
      </c>
      <c r="W64" s="537">
        <f t="shared" si="705"/>
        <v>288.66076229508195</v>
      </c>
      <c r="X64" s="537">
        <f t="shared" si="705"/>
        <v>0</v>
      </c>
      <c r="Y64" s="537">
        <f t="shared" si="705"/>
        <v>0</v>
      </c>
      <c r="Z64" s="537">
        <f t="shared" si="705"/>
        <v>286.45372602739729</v>
      </c>
      <c r="AA64" s="537">
        <f t="shared" si="705"/>
        <v>0</v>
      </c>
      <c r="AB64" s="537">
        <f t="shared" si="705"/>
        <v>0</v>
      </c>
      <c r="AC64" s="537">
        <f t="shared" si="705"/>
        <v>293.00429589041096</v>
      </c>
      <c r="AD64" s="537">
        <f t="shared" si="705"/>
        <v>0</v>
      </c>
      <c r="AE64" s="537">
        <f t="shared" si="705"/>
        <v>0</v>
      </c>
      <c r="AF64" s="537">
        <f t="shared" si="705"/>
        <v>292.81936438356161</v>
      </c>
      <c r="AG64" s="537">
        <f t="shared" si="705"/>
        <v>0</v>
      </c>
      <c r="AH64" s="537">
        <f t="shared" si="705"/>
        <v>0</v>
      </c>
      <c r="AI64" s="537">
        <f t="shared" si="705"/>
        <v>289.45161369863013</v>
      </c>
      <c r="AJ64" s="537">
        <f t="shared" si="705"/>
        <v>0</v>
      </c>
      <c r="AK64" s="537">
        <f t="shared" si="705"/>
        <v>0</v>
      </c>
      <c r="AL64" s="537">
        <f t="shared" si="705"/>
        <v>286.45372602739729</v>
      </c>
      <c r="AM64" s="537">
        <f t="shared" si="705"/>
        <v>0</v>
      </c>
      <c r="AN64" s="537">
        <f t="shared" si="705"/>
        <v>0</v>
      </c>
      <c r="AO64" s="537">
        <f t="shared" si="705"/>
        <v>293.00429589041096</v>
      </c>
      <c r="AP64" s="537">
        <f t="shared" si="705"/>
        <v>0</v>
      </c>
      <c r="AQ64" s="537">
        <f t="shared" si="705"/>
        <v>0</v>
      </c>
      <c r="AR64" s="537">
        <f t="shared" si="705"/>
        <v>292.81936438356161</v>
      </c>
      <c r="AS64" s="537">
        <f t="shared" si="705"/>
        <v>0</v>
      </c>
      <c r="AT64" s="537">
        <f t="shared" si="705"/>
        <v>0</v>
      </c>
      <c r="AU64" s="537">
        <f t="shared" si="705"/>
        <v>851.95161369863013</v>
      </c>
      <c r="AV64" s="537">
        <f t="shared" si="705"/>
        <v>0</v>
      </c>
      <c r="AW64" s="537">
        <f t="shared" si="705"/>
        <v>0</v>
      </c>
      <c r="AX64" s="537">
        <f t="shared" si="705"/>
        <v>842.98594006849305</v>
      </c>
      <c r="AY64" s="537">
        <f t="shared" si="705"/>
        <v>0</v>
      </c>
      <c r="AZ64" s="537">
        <f t="shared" si="705"/>
        <v>0</v>
      </c>
      <c r="BA64" s="537">
        <f t="shared" si="705"/>
        <v>843.2957835616437</v>
      </c>
      <c r="BB64" s="537">
        <f t="shared" si="705"/>
        <v>0</v>
      </c>
      <c r="BC64" s="537">
        <f t="shared" si="705"/>
        <v>0</v>
      </c>
      <c r="BD64" s="537">
        <f t="shared" si="705"/>
        <v>837.01815410958909</v>
      </c>
      <c r="BE64" s="537">
        <f t="shared" si="705"/>
        <v>0</v>
      </c>
      <c r="BF64" s="537">
        <f t="shared" si="705"/>
        <v>0</v>
      </c>
      <c r="BG64" s="537">
        <f t="shared" si="705"/>
        <v>827.83064589041089</v>
      </c>
      <c r="BH64" s="537">
        <f t="shared" si="705"/>
        <v>0</v>
      </c>
      <c r="BI64" s="537">
        <f t="shared" si="705"/>
        <v>0</v>
      </c>
      <c r="BJ64" s="537">
        <f t="shared" si="705"/>
        <v>821.25714805327868</v>
      </c>
      <c r="BK64" s="537">
        <f t="shared" si="705"/>
        <v>0</v>
      </c>
      <c r="BL64" s="537">
        <f t="shared" si="705"/>
        <v>0</v>
      </c>
      <c r="BM64" s="537">
        <f t="shared" si="705"/>
        <v>818.17827049180323</v>
      </c>
      <c r="BN64" s="537">
        <f t="shared" si="705"/>
        <v>0</v>
      </c>
      <c r="BO64" s="537">
        <f t="shared" si="705"/>
        <v>0</v>
      </c>
      <c r="BP64" s="537">
        <f t="shared" si="705"/>
        <v>811.93316188524591</v>
      </c>
      <c r="BQ64" s="537">
        <f t="shared" si="705"/>
        <v>0</v>
      </c>
      <c r="BR64" s="537">
        <f t="shared" ref="BR64:EC64" si="706">BR65+BR66</f>
        <v>0</v>
      </c>
      <c r="BS64" s="537">
        <f t="shared" si="706"/>
        <v>803.05063524590162</v>
      </c>
      <c r="BT64" s="537">
        <f t="shared" si="706"/>
        <v>0</v>
      </c>
      <c r="BU64" s="537">
        <f t="shared" si="706"/>
        <v>0</v>
      </c>
      <c r="BV64" s="537">
        <f t="shared" si="706"/>
        <v>795.24365239726023</v>
      </c>
      <c r="BW64" s="537">
        <f t="shared" si="706"/>
        <v>0</v>
      </c>
      <c r="BX64" s="537">
        <f t="shared" si="706"/>
        <v>0</v>
      </c>
      <c r="BY64" s="537">
        <f t="shared" si="706"/>
        <v>794.46173424657525</v>
      </c>
      <c r="BZ64" s="537">
        <f t="shared" si="706"/>
        <v>0</v>
      </c>
      <c r="CA64" s="537">
        <f t="shared" si="706"/>
        <v>0</v>
      </c>
      <c r="CB64" s="537">
        <f t="shared" si="706"/>
        <v>788.21492671232875</v>
      </c>
      <c r="CC64" s="537">
        <f t="shared" si="706"/>
        <v>0</v>
      </c>
      <c r="CD64" s="537">
        <f t="shared" si="706"/>
        <v>0</v>
      </c>
      <c r="CE64" s="537">
        <f t="shared" si="706"/>
        <v>779.58871027397265</v>
      </c>
      <c r="CF64" s="537">
        <f t="shared" si="706"/>
        <v>0</v>
      </c>
      <c r="CG64" s="537">
        <f t="shared" si="706"/>
        <v>0</v>
      </c>
      <c r="CH64" s="537">
        <f t="shared" si="706"/>
        <v>771.37250856164383</v>
      </c>
      <c r="CI64" s="537">
        <f t="shared" si="706"/>
        <v>0</v>
      </c>
      <c r="CJ64" s="537">
        <f t="shared" si="706"/>
        <v>0</v>
      </c>
      <c r="CK64" s="537">
        <f t="shared" si="706"/>
        <v>770.04470958904108</v>
      </c>
      <c r="CL64" s="537">
        <f t="shared" si="706"/>
        <v>0</v>
      </c>
      <c r="CM64" s="537">
        <f t="shared" si="706"/>
        <v>0</v>
      </c>
      <c r="CN64" s="537">
        <f t="shared" si="706"/>
        <v>763.81331301369869</v>
      </c>
      <c r="CO64" s="537">
        <f t="shared" si="706"/>
        <v>0</v>
      </c>
      <c r="CP64" s="537">
        <f t="shared" si="706"/>
        <v>0</v>
      </c>
      <c r="CQ64" s="537">
        <f t="shared" si="706"/>
        <v>755.46774246575342</v>
      </c>
      <c r="CR64" s="537">
        <f t="shared" si="706"/>
        <v>0</v>
      </c>
      <c r="CS64" s="537">
        <f t="shared" si="706"/>
        <v>0</v>
      </c>
      <c r="CT64" s="537">
        <f t="shared" si="706"/>
        <v>747.5013647260273</v>
      </c>
      <c r="CU64" s="537">
        <f t="shared" si="706"/>
        <v>0</v>
      </c>
      <c r="CV64" s="537">
        <f t="shared" si="706"/>
        <v>0</v>
      </c>
      <c r="CW64" s="537">
        <f t="shared" si="706"/>
        <v>745.62768493150691</v>
      </c>
      <c r="CX64" s="537">
        <f t="shared" si="706"/>
        <v>0</v>
      </c>
      <c r="CY64" s="537">
        <f t="shared" si="706"/>
        <v>0</v>
      </c>
      <c r="CZ64" s="537">
        <f t="shared" si="706"/>
        <v>739.41169931506852</v>
      </c>
      <c r="DA64" s="537">
        <f t="shared" si="706"/>
        <v>0</v>
      </c>
      <c r="DB64" s="537">
        <f t="shared" si="706"/>
        <v>0</v>
      </c>
      <c r="DC64" s="537">
        <f t="shared" si="706"/>
        <v>731.34677465753418</v>
      </c>
      <c r="DD64" s="537">
        <f t="shared" si="706"/>
        <v>0</v>
      </c>
      <c r="DE64" s="537">
        <f t="shared" si="706"/>
        <v>0</v>
      </c>
      <c r="DF64" s="537">
        <f t="shared" si="706"/>
        <v>724.97541854508199</v>
      </c>
      <c r="DG64" s="537">
        <f t="shared" si="706"/>
        <v>0</v>
      </c>
      <c r="DH64" s="537">
        <f t="shared" si="706"/>
        <v>0</v>
      </c>
      <c r="DI64" s="537">
        <f t="shared" si="706"/>
        <v>720.77702459016393</v>
      </c>
      <c r="DJ64" s="537">
        <f t="shared" si="706"/>
        <v>0</v>
      </c>
      <c r="DK64" s="537">
        <f t="shared" si="706"/>
        <v>0</v>
      </c>
      <c r="DL64" s="537">
        <f t="shared" si="706"/>
        <v>714.59339139344263</v>
      </c>
      <c r="DM64" s="537">
        <f t="shared" si="706"/>
        <v>0</v>
      </c>
      <c r="DN64" s="537">
        <f t="shared" si="706"/>
        <v>0</v>
      </c>
      <c r="DO64" s="537">
        <f t="shared" si="706"/>
        <v>706.83038114754095</v>
      </c>
      <c r="DP64" s="537">
        <f t="shared" si="706"/>
        <v>0</v>
      </c>
      <c r="DQ64" s="537">
        <f t="shared" si="706"/>
        <v>0</v>
      </c>
      <c r="DR64" s="537">
        <f t="shared" si="706"/>
        <v>699.75907705479449</v>
      </c>
      <c r="DS64" s="537">
        <f t="shared" si="706"/>
        <v>0</v>
      </c>
      <c r="DT64" s="537">
        <f t="shared" si="706"/>
        <v>0</v>
      </c>
      <c r="DU64" s="537">
        <f t="shared" si="706"/>
        <v>696.79363561643834</v>
      </c>
      <c r="DV64" s="537">
        <f t="shared" si="706"/>
        <v>0</v>
      </c>
      <c r="DW64" s="537">
        <f t="shared" si="706"/>
        <v>0</v>
      </c>
      <c r="DX64" s="537">
        <f t="shared" si="706"/>
        <v>690.60847191780817</v>
      </c>
      <c r="DY64" s="537">
        <f t="shared" si="706"/>
        <v>0</v>
      </c>
      <c r="DZ64" s="537">
        <f t="shared" si="706"/>
        <v>0</v>
      </c>
      <c r="EA64" s="537">
        <f t="shared" si="706"/>
        <v>683.10483904109583</v>
      </c>
      <c r="EB64" s="537">
        <f t="shared" si="706"/>
        <v>0</v>
      </c>
      <c r="EC64" s="537">
        <f t="shared" si="706"/>
        <v>0</v>
      </c>
      <c r="ED64" s="537">
        <f t="shared" ref="ED64:FX64" si="707">ED65+ED66</f>
        <v>675.88793321917808</v>
      </c>
      <c r="EE64" s="537">
        <f t="shared" si="707"/>
        <v>0</v>
      </c>
      <c r="EF64" s="537">
        <f t="shared" si="707"/>
        <v>0</v>
      </c>
      <c r="EG64" s="537">
        <f t="shared" si="707"/>
        <v>672.37661095890417</v>
      </c>
      <c r="EH64" s="537">
        <f t="shared" si="707"/>
        <v>0</v>
      </c>
      <c r="EI64" s="537">
        <f t="shared" si="707"/>
        <v>0</v>
      </c>
      <c r="EJ64" s="537">
        <f t="shared" si="707"/>
        <v>666.206858219178</v>
      </c>
      <c r="EK64" s="537">
        <f t="shared" si="707"/>
        <v>0</v>
      </c>
      <c r="EL64" s="537">
        <f t="shared" si="707"/>
        <v>0</v>
      </c>
      <c r="EM64" s="537">
        <f t="shared" si="707"/>
        <v>658.98387123287671</v>
      </c>
      <c r="EN64" s="537">
        <f t="shared" si="707"/>
        <v>0</v>
      </c>
      <c r="EO64" s="537">
        <f t="shared" si="707"/>
        <v>0</v>
      </c>
      <c r="EP64" s="537">
        <f t="shared" si="707"/>
        <v>652.01678938356167</v>
      </c>
      <c r="EQ64" s="537">
        <f t="shared" si="707"/>
        <v>0</v>
      </c>
      <c r="ER64" s="537">
        <f t="shared" si="707"/>
        <v>0</v>
      </c>
      <c r="ES64" s="537">
        <f t="shared" si="707"/>
        <v>647.95958630136988</v>
      </c>
      <c r="ET64" s="537">
        <f t="shared" si="707"/>
        <v>0</v>
      </c>
      <c r="EU64" s="537">
        <f t="shared" si="707"/>
        <v>0</v>
      </c>
      <c r="EV64" s="537">
        <f t="shared" si="707"/>
        <v>641.80524452054794</v>
      </c>
      <c r="EW64" s="537">
        <f t="shared" si="707"/>
        <v>0</v>
      </c>
      <c r="EX64" s="537">
        <f t="shared" si="707"/>
        <v>0</v>
      </c>
      <c r="EY64" s="537">
        <f t="shared" si="707"/>
        <v>634.86290342465747</v>
      </c>
      <c r="EZ64" s="537">
        <f t="shared" si="707"/>
        <v>0</v>
      </c>
      <c r="FA64" s="537">
        <f t="shared" si="707"/>
        <v>0</v>
      </c>
      <c r="FB64" s="537">
        <f t="shared" si="707"/>
        <v>628.6936890368853</v>
      </c>
      <c r="FC64" s="537">
        <f t="shared" si="707"/>
        <v>0</v>
      </c>
      <c r="FD64" s="537">
        <f t="shared" si="707"/>
        <v>0</v>
      </c>
      <c r="FE64" s="537">
        <f t="shared" si="707"/>
        <v>623.37577868852452</v>
      </c>
      <c r="FF64" s="537">
        <f t="shared" si="707"/>
        <v>0</v>
      </c>
      <c r="FG64" s="537">
        <f t="shared" si="707"/>
        <v>0</v>
      </c>
      <c r="FH64" s="537">
        <f t="shared" si="707"/>
        <v>617.25362090163935</v>
      </c>
      <c r="FI64" s="537">
        <f t="shared" si="707"/>
        <v>0</v>
      </c>
      <c r="FJ64" s="537">
        <f t="shared" si="707"/>
        <v>0</v>
      </c>
      <c r="FK64" s="537">
        <f t="shared" si="707"/>
        <v>610.61012704918039</v>
      </c>
      <c r="FL64" s="537">
        <f t="shared" si="707"/>
        <v>0</v>
      </c>
      <c r="FM64" s="537">
        <f t="shared" si="707"/>
        <v>0</v>
      </c>
      <c r="FN64" s="537">
        <f t="shared" si="707"/>
        <v>604.27450171232886</v>
      </c>
      <c r="FO64" s="537">
        <f t="shared" si="707"/>
        <v>0</v>
      </c>
      <c r="FP64" s="537">
        <f t="shared" si="707"/>
        <v>0</v>
      </c>
      <c r="FQ64" s="537">
        <f t="shared" si="707"/>
        <v>599.12553698630131</v>
      </c>
      <c r="FR64" s="537">
        <f t="shared" si="707"/>
        <v>0</v>
      </c>
      <c r="FS64" s="537">
        <f t="shared" si="707"/>
        <v>0</v>
      </c>
      <c r="FT64" s="537">
        <f t="shared" si="707"/>
        <v>593.00201712328771</v>
      </c>
      <c r="FU64" s="537">
        <f t="shared" si="707"/>
        <v>0</v>
      </c>
      <c r="FV64" s="537">
        <f t="shared" si="707"/>
        <v>0</v>
      </c>
      <c r="FW64" s="537">
        <f t="shared" si="707"/>
        <v>586.62096780821912</v>
      </c>
      <c r="FX64" s="537">
        <f t="shared" si="707"/>
        <v>0</v>
      </c>
      <c r="FY64" s="537">
        <f t="shared" ref="FY64:GF64" si="708">FY65+FY66</f>
        <v>0</v>
      </c>
      <c r="FZ64" s="537">
        <f t="shared" si="708"/>
        <v>581.08529280821915</v>
      </c>
      <c r="GA64" s="537">
        <f t="shared" si="708"/>
        <v>0</v>
      </c>
      <c r="GB64" s="537">
        <f t="shared" si="708"/>
        <v>0</v>
      </c>
      <c r="GC64" s="537">
        <f t="shared" si="708"/>
        <v>575.40971095890416</v>
      </c>
      <c r="GD64" s="537">
        <f t="shared" si="708"/>
        <v>0</v>
      </c>
      <c r="GE64" s="537">
        <f t="shared" si="708"/>
        <v>0</v>
      </c>
      <c r="GF64" s="537">
        <f t="shared" si="708"/>
        <v>568.95485547945202</v>
      </c>
      <c r="GG64" s="537">
        <f t="shared" ref="GG64:GI64" si="709">GG65+GG66</f>
        <v>0</v>
      </c>
      <c r="GH64" s="537">
        <f t="shared" si="709"/>
        <v>0</v>
      </c>
      <c r="GI64" s="537">
        <f t="shared" si="709"/>
        <v>0</v>
      </c>
      <c r="GJ64" s="537"/>
    </row>
    <row r="65" spans="3:192" x14ac:dyDescent="0.3">
      <c r="C65" s="491" t="s">
        <v>673</v>
      </c>
      <c r="E65" s="526">
        <f>E63*Assumption!$C$99</f>
        <v>-12350</v>
      </c>
      <c r="F65" s="249">
        <f t="shared" ref="F65:I66" si="710">-(E50+E53)</f>
        <v>0</v>
      </c>
      <c r="G65" s="249">
        <f t="shared" si="710"/>
        <v>0</v>
      </c>
      <c r="H65" s="249">
        <f t="shared" si="710"/>
        <v>0</v>
      </c>
      <c r="I65" s="249">
        <f t="shared" si="710"/>
        <v>132.39731219178083</v>
      </c>
      <c r="J65" s="526">
        <f>J63*Assumption!$C$99</f>
        <v>-11400</v>
      </c>
      <c r="K65" s="249">
        <f t="shared" ref="K65:O66" si="711">-(I50+I53)</f>
        <v>0</v>
      </c>
      <c r="L65" s="249">
        <f t="shared" si="711"/>
        <v>0</v>
      </c>
      <c r="M65" s="249">
        <f t="shared" si="711"/>
        <v>209.69493538251365</v>
      </c>
      <c r="N65" s="249">
        <f t="shared" si="711"/>
        <v>0</v>
      </c>
      <c r="O65" s="249">
        <f t="shared" si="711"/>
        <v>0</v>
      </c>
      <c r="P65" s="526">
        <f>P63*Assumption!$C$99</f>
        <v>-1900</v>
      </c>
      <c r="Q65" s="249">
        <f t="shared" ref="Q65:Z66" si="712">-(N50+N53)</f>
        <v>257.03106557377049</v>
      </c>
      <c r="R65" s="249">
        <f t="shared" si="712"/>
        <v>0</v>
      </c>
      <c r="S65" s="249">
        <f t="shared" si="712"/>
        <v>0</v>
      </c>
      <c r="T65" s="249">
        <f t="shared" si="712"/>
        <v>276.94566120218576</v>
      </c>
      <c r="U65" s="249">
        <f t="shared" si="712"/>
        <v>0</v>
      </c>
      <c r="V65" s="249">
        <f t="shared" si="712"/>
        <v>0</v>
      </c>
      <c r="W65" s="249">
        <f t="shared" si="712"/>
        <v>274.22772418032787</v>
      </c>
      <c r="X65" s="249">
        <f t="shared" si="712"/>
        <v>0</v>
      </c>
      <c r="Y65" s="249">
        <f t="shared" si="712"/>
        <v>0</v>
      </c>
      <c r="Z65" s="249">
        <f t="shared" si="712"/>
        <v>272.13103972602744</v>
      </c>
      <c r="AA65" s="249">
        <f t="shared" ref="AA65:AJ66" si="713">-(X50+X53)</f>
        <v>0</v>
      </c>
      <c r="AB65" s="249">
        <f t="shared" si="713"/>
        <v>0</v>
      </c>
      <c r="AC65" s="249">
        <f t="shared" si="713"/>
        <v>278.35408109589042</v>
      </c>
      <c r="AD65" s="249">
        <f t="shared" si="713"/>
        <v>0</v>
      </c>
      <c r="AE65" s="249">
        <f t="shared" si="713"/>
        <v>0</v>
      </c>
      <c r="AF65" s="249">
        <f t="shared" si="713"/>
        <v>278.17839616438351</v>
      </c>
      <c r="AG65" s="249">
        <f t="shared" si="713"/>
        <v>0</v>
      </c>
      <c r="AH65" s="249">
        <f t="shared" si="713"/>
        <v>0</v>
      </c>
      <c r="AI65" s="249">
        <f t="shared" si="713"/>
        <v>274.9790330136986</v>
      </c>
      <c r="AJ65" s="249">
        <f t="shared" si="713"/>
        <v>0</v>
      </c>
      <c r="AK65" s="249">
        <f t="shared" ref="AK65:AT66" si="714">-(AH50+AH53)</f>
        <v>0</v>
      </c>
      <c r="AL65" s="249">
        <f t="shared" si="714"/>
        <v>272.13103972602744</v>
      </c>
      <c r="AM65" s="249">
        <f t="shared" si="714"/>
        <v>0</v>
      </c>
      <c r="AN65" s="249">
        <f t="shared" si="714"/>
        <v>0</v>
      </c>
      <c r="AO65" s="249">
        <f t="shared" si="714"/>
        <v>278.35408109589042</v>
      </c>
      <c r="AP65" s="249">
        <f t="shared" si="714"/>
        <v>0</v>
      </c>
      <c r="AQ65" s="249">
        <f t="shared" si="714"/>
        <v>0</v>
      </c>
      <c r="AR65" s="249">
        <f t="shared" si="714"/>
        <v>278.17839616438351</v>
      </c>
      <c r="AS65" s="249">
        <f t="shared" si="714"/>
        <v>0</v>
      </c>
      <c r="AT65" s="249">
        <f t="shared" si="714"/>
        <v>0</v>
      </c>
      <c r="AU65" s="249">
        <f t="shared" ref="AU65:BD66" si="715">-(AR50+AR53)</f>
        <v>809.35403301369865</v>
      </c>
      <c r="AV65" s="249">
        <f t="shared" si="715"/>
        <v>0</v>
      </c>
      <c r="AW65" s="249">
        <f t="shared" si="715"/>
        <v>0</v>
      </c>
      <c r="AX65" s="249">
        <f t="shared" si="715"/>
        <v>800.83664306506842</v>
      </c>
      <c r="AY65" s="249">
        <f t="shared" si="715"/>
        <v>0</v>
      </c>
      <c r="AZ65" s="249">
        <f t="shared" si="715"/>
        <v>0</v>
      </c>
      <c r="BA65" s="249">
        <f t="shared" si="715"/>
        <v>801.13099438356153</v>
      </c>
      <c r="BB65" s="249">
        <f t="shared" si="715"/>
        <v>0</v>
      </c>
      <c r="BC65" s="249">
        <f t="shared" si="715"/>
        <v>0</v>
      </c>
      <c r="BD65" s="249">
        <f t="shared" si="715"/>
        <v>795.16724640410962</v>
      </c>
      <c r="BE65" s="249">
        <f t="shared" ref="BE65:BN66" si="716">-(BB50+BB53)</f>
        <v>0</v>
      </c>
      <c r="BF65" s="249">
        <f t="shared" si="716"/>
        <v>0</v>
      </c>
      <c r="BG65" s="249">
        <f t="shared" si="716"/>
        <v>786.43911359589038</v>
      </c>
      <c r="BH65" s="249">
        <f t="shared" si="716"/>
        <v>0</v>
      </c>
      <c r="BI65" s="249">
        <f t="shared" si="716"/>
        <v>0</v>
      </c>
      <c r="BJ65" s="249">
        <f t="shared" si="716"/>
        <v>780.19429065061479</v>
      </c>
      <c r="BK65" s="249">
        <f t="shared" si="716"/>
        <v>0</v>
      </c>
      <c r="BL65" s="249">
        <f t="shared" si="716"/>
        <v>0</v>
      </c>
      <c r="BM65" s="249">
        <f t="shared" si="716"/>
        <v>777.26935696721307</v>
      </c>
      <c r="BN65" s="249">
        <f t="shared" si="716"/>
        <v>0</v>
      </c>
      <c r="BO65" s="249">
        <f t="shared" ref="BO65:BX66" si="717">-(BL50+BL53)</f>
        <v>0</v>
      </c>
      <c r="BP65" s="249">
        <f t="shared" si="717"/>
        <v>771.33650379098356</v>
      </c>
      <c r="BQ65" s="249">
        <f t="shared" si="717"/>
        <v>0</v>
      </c>
      <c r="BR65" s="249">
        <f t="shared" si="717"/>
        <v>0</v>
      </c>
      <c r="BS65" s="249">
        <f t="shared" si="717"/>
        <v>762.89810348360652</v>
      </c>
      <c r="BT65" s="249">
        <f t="shared" si="717"/>
        <v>0</v>
      </c>
      <c r="BU65" s="249">
        <f t="shared" si="717"/>
        <v>0</v>
      </c>
      <c r="BV65" s="249">
        <f t="shared" si="717"/>
        <v>755.48146977739725</v>
      </c>
      <c r="BW65" s="249">
        <f t="shared" si="717"/>
        <v>0</v>
      </c>
      <c r="BX65" s="249">
        <f t="shared" si="717"/>
        <v>0</v>
      </c>
      <c r="BY65" s="249">
        <f t="shared" ref="BY65:CH66" si="718">-(BV50+BV53)</f>
        <v>754.73864753424652</v>
      </c>
      <c r="BZ65" s="249">
        <f t="shared" si="718"/>
        <v>0</v>
      </c>
      <c r="CA65" s="249">
        <f t="shared" si="718"/>
        <v>0</v>
      </c>
      <c r="CB65" s="249">
        <f t="shared" si="718"/>
        <v>748.80418037671234</v>
      </c>
      <c r="CC65" s="249">
        <f t="shared" si="718"/>
        <v>0</v>
      </c>
      <c r="CD65" s="249">
        <f t="shared" si="718"/>
        <v>0</v>
      </c>
      <c r="CE65" s="249">
        <f t="shared" si="718"/>
        <v>740.60927476027405</v>
      </c>
      <c r="CF65" s="249">
        <f t="shared" si="718"/>
        <v>0</v>
      </c>
      <c r="CG65" s="249">
        <f t="shared" si="718"/>
        <v>0</v>
      </c>
      <c r="CH65" s="249">
        <f t="shared" si="718"/>
        <v>732.80388313356161</v>
      </c>
      <c r="CI65" s="249">
        <f t="shared" ref="CI65:CR66" si="719">-(CF50+CF53)</f>
        <v>0</v>
      </c>
      <c r="CJ65" s="249">
        <f t="shared" si="719"/>
        <v>0</v>
      </c>
      <c r="CK65" s="249">
        <f t="shared" si="719"/>
        <v>731.54247410958897</v>
      </c>
      <c r="CL65" s="249">
        <f t="shared" si="719"/>
        <v>0</v>
      </c>
      <c r="CM65" s="249">
        <f t="shared" si="719"/>
        <v>0</v>
      </c>
      <c r="CN65" s="249">
        <f t="shared" si="719"/>
        <v>725.6226473630137</v>
      </c>
      <c r="CO65" s="249">
        <f t="shared" si="719"/>
        <v>0</v>
      </c>
      <c r="CP65" s="249">
        <f t="shared" si="719"/>
        <v>0</v>
      </c>
      <c r="CQ65" s="249">
        <f t="shared" si="719"/>
        <v>717.69435534246577</v>
      </c>
      <c r="CR65" s="249">
        <f t="shared" si="719"/>
        <v>0</v>
      </c>
      <c r="CS65" s="249">
        <f t="shared" ref="CS65:DB66" si="720">-(CP50+CP53)</f>
        <v>0</v>
      </c>
      <c r="CT65" s="249">
        <f t="shared" si="720"/>
        <v>710.12629648972597</v>
      </c>
      <c r="CU65" s="249">
        <f t="shared" si="720"/>
        <v>0</v>
      </c>
      <c r="CV65" s="249">
        <f t="shared" si="720"/>
        <v>0</v>
      </c>
      <c r="CW65" s="249">
        <f t="shared" si="720"/>
        <v>708.34630068493152</v>
      </c>
      <c r="CX65" s="249">
        <f t="shared" si="720"/>
        <v>0</v>
      </c>
      <c r="CY65" s="249">
        <f t="shared" si="720"/>
        <v>0</v>
      </c>
      <c r="CZ65" s="249">
        <f t="shared" si="720"/>
        <v>702.44111434931506</v>
      </c>
      <c r="DA65" s="249">
        <f t="shared" si="720"/>
        <v>0</v>
      </c>
      <c r="DB65" s="249">
        <f t="shared" si="720"/>
        <v>0</v>
      </c>
      <c r="DC65" s="249">
        <f t="shared" ref="DC65:DL66" si="721">-(CZ50+CZ53)</f>
        <v>694.77943592465749</v>
      </c>
      <c r="DD65" s="249">
        <f t="shared" si="721"/>
        <v>0</v>
      </c>
      <c r="DE65" s="249">
        <f t="shared" si="721"/>
        <v>0</v>
      </c>
      <c r="DF65" s="249">
        <f t="shared" si="721"/>
        <v>688.72664761782789</v>
      </c>
      <c r="DG65" s="249">
        <f t="shared" si="721"/>
        <v>0</v>
      </c>
      <c r="DH65" s="249">
        <f t="shared" si="721"/>
        <v>0</v>
      </c>
      <c r="DI65" s="249">
        <f t="shared" si="721"/>
        <v>684.73817336065576</v>
      </c>
      <c r="DJ65" s="249">
        <f t="shared" si="721"/>
        <v>0</v>
      </c>
      <c r="DK65" s="249">
        <f t="shared" si="721"/>
        <v>0</v>
      </c>
      <c r="DL65" s="249">
        <f t="shared" si="721"/>
        <v>678.86372182377045</v>
      </c>
      <c r="DM65" s="249">
        <f t="shared" ref="DM65:DV66" si="722">-(DJ50+DJ53)</f>
        <v>0</v>
      </c>
      <c r="DN65" s="249">
        <f t="shared" si="722"/>
        <v>0</v>
      </c>
      <c r="DO65" s="249">
        <f t="shared" si="722"/>
        <v>671.48886209016393</v>
      </c>
      <c r="DP65" s="249">
        <f t="shared" si="722"/>
        <v>0</v>
      </c>
      <c r="DQ65" s="249">
        <f t="shared" si="722"/>
        <v>0</v>
      </c>
      <c r="DR65" s="249">
        <f t="shared" si="722"/>
        <v>664.77112320205481</v>
      </c>
      <c r="DS65" s="249">
        <f t="shared" si="722"/>
        <v>0</v>
      </c>
      <c r="DT65" s="249">
        <f t="shared" si="722"/>
        <v>0</v>
      </c>
      <c r="DU65" s="249">
        <f t="shared" si="722"/>
        <v>661.9539538356164</v>
      </c>
      <c r="DV65" s="249">
        <f t="shared" si="722"/>
        <v>0</v>
      </c>
      <c r="DW65" s="249">
        <f t="shared" ref="DW65:EF66" si="723">-(DT50+DT53)</f>
        <v>0</v>
      </c>
      <c r="DX65" s="249">
        <f t="shared" si="723"/>
        <v>656.07804832191778</v>
      </c>
      <c r="DY65" s="249">
        <f t="shared" si="723"/>
        <v>0</v>
      </c>
      <c r="DZ65" s="249">
        <f t="shared" si="723"/>
        <v>0</v>
      </c>
      <c r="EA65" s="249">
        <f t="shared" si="723"/>
        <v>648.94959708904105</v>
      </c>
      <c r="EB65" s="249">
        <f t="shared" si="723"/>
        <v>0</v>
      </c>
      <c r="EC65" s="249">
        <f t="shared" si="723"/>
        <v>0</v>
      </c>
      <c r="ED65" s="249">
        <f t="shared" si="723"/>
        <v>642.09353655821917</v>
      </c>
      <c r="EE65" s="249">
        <f t="shared" si="723"/>
        <v>0</v>
      </c>
      <c r="EF65" s="249">
        <f t="shared" si="723"/>
        <v>0</v>
      </c>
      <c r="EG65" s="249">
        <f t="shared" ref="EG65:EP66" si="724">-(ED50+ED53)</f>
        <v>638.75778041095896</v>
      </c>
      <c r="EH65" s="249">
        <f t="shared" si="724"/>
        <v>0</v>
      </c>
      <c r="EI65" s="249">
        <f t="shared" si="724"/>
        <v>0</v>
      </c>
      <c r="EJ65" s="249">
        <f t="shared" si="724"/>
        <v>632.89651530821914</v>
      </c>
      <c r="EK65" s="249">
        <f t="shared" si="724"/>
        <v>0</v>
      </c>
      <c r="EL65" s="249">
        <f t="shared" si="724"/>
        <v>0</v>
      </c>
      <c r="EM65" s="249">
        <f t="shared" si="724"/>
        <v>626.03467767123288</v>
      </c>
      <c r="EN65" s="249">
        <f t="shared" si="724"/>
        <v>0</v>
      </c>
      <c r="EO65" s="249">
        <f t="shared" si="724"/>
        <v>0</v>
      </c>
      <c r="EP65" s="249">
        <f t="shared" si="724"/>
        <v>619.41594991438353</v>
      </c>
      <c r="EQ65" s="249">
        <f t="shared" ref="EQ65:EZ66" si="725">-(EN50+EN53)</f>
        <v>0</v>
      </c>
      <c r="ER65" s="249">
        <f t="shared" si="725"/>
        <v>0</v>
      </c>
      <c r="ES65" s="249">
        <f t="shared" si="725"/>
        <v>615.5616069863014</v>
      </c>
      <c r="ET65" s="249">
        <f t="shared" si="725"/>
        <v>0</v>
      </c>
      <c r="EU65" s="249">
        <f t="shared" si="725"/>
        <v>0</v>
      </c>
      <c r="EV65" s="249">
        <f t="shared" si="725"/>
        <v>609.7149822945205</v>
      </c>
      <c r="EW65" s="249">
        <f t="shared" si="725"/>
        <v>0</v>
      </c>
      <c r="EX65" s="249">
        <f t="shared" si="725"/>
        <v>0</v>
      </c>
      <c r="EY65" s="249">
        <f t="shared" si="725"/>
        <v>603.11975825342461</v>
      </c>
      <c r="EZ65" s="249">
        <f t="shared" si="725"/>
        <v>0</v>
      </c>
      <c r="FA65" s="249">
        <f t="shared" ref="FA65:FJ66" si="726">-(EX50+EX53)</f>
        <v>0</v>
      </c>
      <c r="FB65" s="249">
        <f t="shared" si="726"/>
        <v>597.259004585041</v>
      </c>
      <c r="FC65" s="249">
        <f t="shared" si="726"/>
        <v>0</v>
      </c>
      <c r="FD65" s="249">
        <f t="shared" si="726"/>
        <v>0</v>
      </c>
      <c r="FE65" s="249">
        <f t="shared" si="726"/>
        <v>592.20698975409834</v>
      </c>
      <c r="FF65" s="249">
        <f t="shared" si="726"/>
        <v>0</v>
      </c>
      <c r="FG65" s="249">
        <f t="shared" si="726"/>
        <v>0</v>
      </c>
      <c r="FH65" s="249">
        <f t="shared" si="726"/>
        <v>586.39093985655734</v>
      </c>
      <c r="FI65" s="249">
        <f t="shared" si="726"/>
        <v>0</v>
      </c>
      <c r="FJ65" s="249">
        <f t="shared" si="726"/>
        <v>0</v>
      </c>
      <c r="FK65" s="249">
        <f t="shared" ref="FK65:FT66" si="727">-(FH50+FH53)</f>
        <v>580.07962069672135</v>
      </c>
      <c r="FL65" s="249">
        <f t="shared" si="727"/>
        <v>0</v>
      </c>
      <c r="FM65" s="249">
        <f t="shared" si="727"/>
        <v>0</v>
      </c>
      <c r="FN65" s="249">
        <f t="shared" si="727"/>
        <v>574.06077662671237</v>
      </c>
      <c r="FO65" s="249">
        <f t="shared" si="727"/>
        <v>0</v>
      </c>
      <c r="FP65" s="249">
        <f t="shared" si="727"/>
        <v>0</v>
      </c>
      <c r="FQ65" s="249">
        <f t="shared" si="727"/>
        <v>569.16926013698628</v>
      </c>
      <c r="FR65" s="249">
        <f t="shared" si="727"/>
        <v>0</v>
      </c>
      <c r="FS65" s="249">
        <f t="shared" si="727"/>
        <v>0</v>
      </c>
      <c r="FT65" s="249">
        <f t="shared" si="727"/>
        <v>563.35191626712333</v>
      </c>
      <c r="FU65" s="249">
        <f t="shared" ref="FU65:FX66" si="728">-(FR50+FR53)</f>
        <v>0</v>
      </c>
      <c r="FV65" s="249">
        <f t="shared" si="728"/>
        <v>0</v>
      </c>
      <c r="FW65" s="249">
        <f t="shared" si="728"/>
        <v>557.28991941780816</v>
      </c>
      <c r="FX65" s="249">
        <f t="shared" si="728"/>
        <v>0</v>
      </c>
      <c r="FY65" s="249">
        <f t="shared" ref="FY65:FY66" si="729">-(FV50+FV53)</f>
        <v>0</v>
      </c>
      <c r="FZ65" s="249">
        <f t="shared" ref="FZ65:FZ66" si="730">-(FW50+FW53)</f>
        <v>552.03102816780824</v>
      </c>
      <c r="GA65" s="249">
        <f t="shared" ref="GA65:GA66" si="731">-(FX50+FX53)</f>
        <v>0</v>
      </c>
      <c r="GB65" s="249">
        <f t="shared" ref="GB65:GB66" si="732">-(FY50+FY53)</f>
        <v>0</v>
      </c>
      <c r="GC65" s="249">
        <f t="shared" ref="GC65:GC66" si="733">-(FZ50+FZ53)</f>
        <v>546.63922541095894</v>
      </c>
      <c r="GD65" s="249">
        <f t="shared" ref="GD65:GD66" si="734">-(GA50+GA53)</f>
        <v>0</v>
      </c>
      <c r="GE65" s="249">
        <f t="shared" ref="GE65:GE66" si="735">-(GB50+GB53)</f>
        <v>0</v>
      </c>
      <c r="GF65" s="249">
        <f t="shared" ref="GF65:GF66" si="736">-(GC50+GC53)</f>
        <v>540.50711270547947</v>
      </c>
      <c r="GG65" s="249">
        <f t="shared" ref="GG65:GG66" si="737">-(GD50+GD53)</f>
        <v>0</v>
      </c>
      <c r="GH65" s="249">
        <f t="shared" ref="GH65:GH66" si="738">-(GE50+GE53)</f>
        <v>0</v>
      </c>
      <c r="GI65" s="249">
        <f t="shared" ref="GI65:GI66" si="739">-(GF50+GF53)</f>
        <v>0</v>
      </c>
      <c r="GJ65" s="249"/>
    </row>
    <row r="66" spans="3:192" x14ac:dyDescent="0.3">
      <c r="C66" s="538" t="s">
        <v>674</v>
      </c>
      <c r="D66" s="539"/>
      <c r="E66" s="540">
        <f>E63*Assumption!$C$100</f>
        <v>-650</v>
      </c>
      <c r="F66" s="541">
        <f t="shared" si="710"/>
        <v>0</v>
      </c>
      <c r="G66" s="541">
        <f t="shared" si="710"/>
        <v>0</v>
      </c>
      <c r="H66" s="541">
        <f t="shared" si="710"/>
        <v>0</v>
      </c>
      <c r="I66" s="541">
        <f t="shared" si="710"/>
        <v>6.9682795890410958</v>
      </c>
      <c r="J66" s="540">
        <f>J63*Assumption!$C$100</f>
        <v>-600</v>
      </c>
      <c r="K66" s="541">
        <f t="shared" si="711"/>
        <v>0</v>
      </c>
      <c r="L66" s="541">
        <f t="shared" si="711"/>
        <v>0</v>
      </c>
      <c r="M66" s="541">
        <f t="shared" si="711"/>
        <v>11.036575546448088</v>
      </c>
      <c r="N66" s="541">
        <f t="shared" si="711"/>
        <v>0</v>
      </c>
      <c r="O66" s="541">
        <f t="shared" si="711"/>
        <v>0</v>
      </c>
      <c r="P66" s="540">
        <f>P63*Assumption!$C$100</f>
        <v>-100</v>
      </c>
      <c r="Q66" s="541">
        <f t="shared" si="712"/>
        <v>13.527950819672132</v>
      </c>
      <c r="R66" s="541">
        <f t="shared" si="712"/>
        <v>0</v>
      </c>
      <c r="S66" s="541">
        <f t="shared" si="712"/>
        <v>0</v>
      </c>
      <c r="T66" s="541">
        <f t="shared" si="712"/>
        <v>14.57608743169399</v>
      </c>
      <c r="U66" s="541">
        <f t="shared" si="712"/>
        <v>0</v>
      </c>
      <c r="V66" s="541">
        <f t="shared" si="712"/>
        <v>0</v>
      </c>
      <c r="W66" s="541">
        <f t="shared" si="712"/>
        <v>14.433038114754098</v>
      </c>
      <c r="X66" s="541">
        <f t="shared" si="712"/>
        <v>0</v>
      </c>
      <c r="Y66" s="541">
        <f t="shared" si="712"/>
        <v>0</v>
      </c>
      <c r="Z66" s="541">
        <f t="shared" si="712"/>
        <v>14.322686301369865</v>
      </c>
      <c r="AA66" s="541">
        <f t="shared" si="713"/>
        <v>0</v>
      </c>
      <c r="AB66" s="541">
        <f t="shared" si="713"/>
        <v>0</v>
      </c>
      <c r="AC66" s="541">
        <f t="shared" si="713"/>
        <v>14.650214794520549</v>
      </c>
      <c r="AD66" s="541">
        <f t="shared" si="713"/>
        <v>0</v>
      </c>
      <c r="AE66" s="541">
        <f t="shared" si="713"/>
        <v>0</v>
      </c>
      <c r="AF66" s="541">
        <f t="shared" si="713"/>
        <v>14.640968219178081</v>
      </c>
      <c r="AG66" s="541">
        <f t="shared" si="713"/>
        <v>0</v>
      </c>
      <c r="AH66" s="541">
        <f t="shared" si="713"/>
        <v>0</v>
      </c>
      <c r="AI66" s="541">
        <f t="shared" si="713"/>
        <v>14.472580684931508</v>
      </c>
      <c r="AJ66" s="541">
        <f t="shared" si="713"/>
        <v>0</v>
      </c>
      <c r="AK66" s="541">
        <f t="shared" si="714"/>
        <v>0</v>
      </c>
      <c r="AL66" s="541">
        <f t="shared" si="714"/>
        <v>14.322686301369865</v>
      </c>
      <c r="AM66" s="541">
        <f t="shared" si="714"/>
        <v>0</v>
      </c>
      <c r="AN66" s="541">
        <f t="shared" si="714"/>
        <v>0</v>
      </c>
      <c r="AO66" s="541">
        <f t="shared" si="714"/>
        <v>14.650214794520549</v>
      </c>
      <c r="AP66" s="541">
        <f t="shared" si="714"/>
        <v>0</v>
      </c>
      <c r="AQ66" s="541">
        <f t="shared" si="714"/>
        <v>0</v>
      </c>
      <c r="AR66" s="541">
        <f t="shared" si="714"/>
        <v>14.640968219178081</v>
      </c>
      <c r="AS66" s="541">
        <f t="shared" si="714"/>
        <v>0</v>
      </c>
      <c r="AT66" s="541">
        <f t="shared" si="714"/>
        <v>0</v>
      </c>
      <c r="AU66" s="541">
        <f t="shared" si="715"/>
        <v>42.597580684931508</v>
      </c>
      <c r="AV66" s="541">
        <f t="shared" si="715"/>
        <v>0</v>
      </c>
      <c r="AW66" s="541">
        <f t="shared" si="715"/>
        <v>0</v>
      </c>
      <c r="AX66" s="541">
        <f t="shared" si="715"/>
        <v>42.149297003424657</v>
      </c>
      <c r="AY66" s="541">
        <f t="shared" si="715"/>
        <v>0</v>
      </c>
      <c r="AZ66" s="541">
        <f t="shared" si="715"/>
        <v>0</v>
      </c>
      <c r="BA66" s="541">
        <f t="shared" si="715"/>
        <v>42.164789178082188</v>
      </c>
      <c r="BB66" s="541">
        <f t="shared" si="715"/>
        <v>0</v>
      </c>
      <c r="BC66" s="541">
        <f t="shared" si="715"/>
        <v>0</v>
      </c>
      <c r="BD66" s="541">
        <f t="shared" si="715"/>
        <v>41.85090770547945</v>
      </c>
      <c r="BE66" s="541">
        <f t="shared" si="716"/>
        <v>0</v>
      </c>
      <c r="BF66" s="541">
        <f t="shared" si="716"/>
        <v>0</v>
      </c>
      <c r="BG66" s="541">
        <f t="shared" si="716"/>
        <v>41.391532294520545</v>
      </c>
      <c r="BH66" s="541">
        <f t="shared" si="716"/>
        <v>0</v>
      </c>
      <c r="BI66" s="541">
        <f t="shared" si="716"/>
        <v>0</v>
      </c>
      <c r="BJ66" s="541">
        <f t="shared" si="716"/>
        <v>41.062857402663937</v>
      </c>
      <c r="BK66" s="541">
        <f t="shared" si="716"/>
        <v>0</v>
      </c>
      <c r="BL66" s="541">
        <f t="shared" si="716"/>
        <v>0</v>
      </c>
      <c r="BM66" s="541">
        <f t="shared" si="716"/>
        <v>40.908913524590162</v>
      </c>
      <c r="BN66" s="541">
        <f t="shared" si="716"/>
        <v>0</v>
      </c>
      <c r="BO66" s="541">
        <f t="shared" si="717"/>
        <v>0</v>
      </c>
      <c r="BP66" s="541">
        <f t="shared" si="717"/>
        <v>40.596658094262295</v>
      </c>
      <c r="BQ66" s="541">
        <f t="shared" si="717"/>
        <v>0</v>
      </c>
      <c r="BR66" s="541">
        <f t="shared" si="717"/>
        <v>0</v>
      </c>
      <c r="BS66" s="541">
        <f t="shared" si="717"/>
        <v>40.152531762295084</v>
      </c>
      <c r="BT66" s="541">
        <f t="shared" si="717"/>
        <v>0</v>
      </c>
      <c r="BU66" s="541">
        <f t="shared" si="717"/>
        <v>0</v>
      </c>
      <c r="BV66" s="541">
        <f t="shared" si="717"/>
        <v>39.762182619863012</v>
      </c>
      <c r="BW66" s="541">
        <f t="shared" si="717"/>
        <v>0</v>
      </c>
      <c r="BX66" s="541">
        <f t="shared" si="717"/>
        <v>0</v>
      </c>
      <c r="BY66" s="541">
        <f t="shared" si="718"/>
        <v>39.723086712328765</v>
      </c>
      <c r="BZ66" s="541">
        <f t="shared" si="718"/>
        <v>0</v>
      </c>
      <c r="CA66" s="541">
        <f t="shared" si="718"/>
        <v>0</v>
      </c>
      <c r="CB66" s="541">
        <f t="shared" si="718"/>
        <v>39.410746335616437</v>
      </c>
      <c r="CC66" s="541">
        <f t="shared" si="718"/>
        <v>0</v>
      </c>
      <c r="CD66" s="541">
        <f t="shared" si="718"/>
        <v>0</v>
      </c>
      <c r="CE66" s="541">
        <f t="shared" si="718"/>
        <v>38.979435513698633</v>
      </c>
      <c r="CF66" s="541">
        <f t="shared" si="718"/>
        <v>0</v>
      </c>
      <c r="CG66" s="541">
        <f t="shared" si="718"/>
        <v>0</v>
      </c>
      <c r="CH66" s="541">
        <f t="shared" si="718"/>
        <v>38.568625428082193</v>
      </c>
      <c r="CI66" s="541">
        <f t="shared" si="719"/>
        <v>0</v>
      </c>
      <c r="CJ66" s="541">
        <f t="shared" si="719"/>
        <v>0</v>
      </c>
      <c r="CK66" s="541">
        <f t="shared" si="719"/>
        <v>38.502235479452054</v>
      </c>
      <c r="CL66" s="541">
        <f t="shared" si="719"/>
        <v>0</v>
      </c>
      <c r="CM66" s="541">
        <f t="shared" si="719"/>
        <v>0</v>
      </c>
      <c r="CN66" s="541">
        <f t="shared" si="719"/>
        <v>38.190665650684934</v>
      </c>
      <c r="CO66" s="541">
        <f t="shared" si="719"/>
        <v>0</v>
      </c>
      <c r="CP66" s="541">
        <f t="shared" si="719"/>
        <v>0</v>
      </c>
      <c r="CQ66" s="541">
        <f t="shared" si="719"/>
        <v>37.773387123287669</v>
      </c>
      <c r="CR66" s="541">
        <f t="shared" si="719"/>
        <v>0</v>
      </c>
      <c r="CS66" s="541">
        <f t="shared" si="720"/>
        <v>0</v>
      </c>
      <c r="CT66" s="541">
        <f t="shared" si="720"/>
        <v>37.375068236301367</v>
      </c>
      <c r="CU66" s="541">
        <f t="shared" si="720"/>
        <v>0</v>
      </c>
      <c r="CV66" s="541">
        <f t="shared" si="720"/>
        <v>0</v>
      </c>
      <c r="CW66" s="541">
        <f t="shared" si="720"/>
        <v>37.281384246575342</v>
      </c>
      <c r="CX66" s="541">
        <f t="shared" si="720"/>
        <v>0</v>
      </c>
      <c r="CY66" s="541">
        <f t="shared" si="720"/>
        <v>0</v>
      </c>
      <c r="CZ66" s="541">
        <f t="shared" si="720"/>
        <v>36.970584965753424</v>
      </c>
      <c r="DA66" s="541">
        <f t="shared" si="720"/>
        <v>0</v>
      </c>
      <c r="DB66" s="541">
        <f t="shared" si="720"/>
        <v>0</v>
      </c>
      <c r="DC66" s="541">
        <f t="shared" si="721"/>
        <v>36.567338732876713</v>
      </c>
      <c r="DD66" s="541">
        <f t="shared" si="721"/>
        <v>0</v>
      </c>
      <c r="DE66" s="541">
        <f t="shared" si="721"/>
        <v>0</v>
      </c>
      <c r="DF66" s="541">
        <f t="shared" si="721"/>
        <v>36.2487709272541</v>
      </c>
      <c r="DG66" s="541">
        <f t="shared" si="721"/>
        <v>0</v>
      </c>
      <c r="DH66" s="541">
        <f t="shared" si="721"/>
        <v>0</v>
      </c>
      <c r="DI66" s="541">
        <f t="shared" si="721"/>
        <v>36.038851229508197</v>
      </c>
      <c r="DJ66" s="541">
        <f t="shared" si="721"/>
        <v>0</v>
      </c>
      <c r="DK66" s="541">
        <f t="shared" si="721"/>
        <v>0</v>
      </c>
      <c r="DL66" s="541">
        <f t="shared" si="721"/>
        <v>35.729669569672133</v>
      </c>
      <c r="DM66" s="541">
        <f t="shared" si="722"/>
        <v>0</v>
      </c>
      <c r="DN66" s="541">
        <f t="shared" si="722"/>
        <v>0</v>
      </c>
      <c r="DO66" s="541">
        <f t="shared" si="722"/>
        <v>35.341519057377049</v>
      </c>
      <c r="DP66" s="541">
        <f t="shared" si="722"/>
        <v>0</v>
      </c>
      <c r="DQ66" s="541">
        <f t="shared" si="722"/>
        <v>0</v>
      </c>
      <c r="DR66" s="541">
        <f t="shared" si="722"/>
        <v>34.987953852739729</v>
      </c>
      <c r="DS66" s="541">
        <f t="shared" si="722"/>
        <v>0</v>
      </c>
      <c r="DT66" s="541">
        <f t="shared" si="722"/>
        <v>0</v>
      </c>
      <c r="DU66" s="541">
        <f t="shared" si="722"/>
        <v>34.83968178082192</v>
      </c>
      <c r="DV66" s="541">
        <f t="shared" si="722"/>
        <v>0</v>
      </c>
      <c r="DW66" s="541">
        <f t="shared" si="723"/>
        <v>0</v>
      </c>
      <c r="DX66" s="541">
        <f t="shared" si="723"/>
        <v>34.530423595890412</v>
      </c>
      <c r="DY66" s="541">
        <f t="shared" si="723"/>
        <v>0</v>
      </c>
      <c r="DZ66" s="541">
        <f t="shared" si="723"/>
        <v>0</v>
      </c>
      <c r="EA66" s="541">
        <f t="shared" si="723"/>
        <v>34.155241952054794</v>
      </c>
      <c r="EB66" s="541">
        <f t="shared" si="723"/>
        <v>0</v>
      </c>
      <c r="EC66" s="541">
        <f t="shared" si="723"/>
        <v>0</v>
      </c>
      <c r="ED66" s="541">
        <f t="shared" si="723"/>
        <v>33.794396660958903</v>
      </c>
      <c r="EE66" s="541">
        <f t="shared" si="723"/>
        <v>0</v>
      </c>
      <c r="EF66" s="541">
        <f t="shared" si="723"/>
        <v>0</v>
      </c>
      <c r="EG66" s="541">
        <f t="shared" si="724"/>
        <v>33.618830547945208</v>
      </c>
      <c r="EH66" s="541">
        <f t="shared" si="724"/>
        <v>0</v>
      </c>
      <c r="EI66" s="541">
        <f t="shared" si="724"/>
        <v>0</v>
      </c>
      <c r="EJ66" s="541">
        <f t="shared" si="724"/>
        <v>33.310342910958902</v>
      </c>
      <c r="EK66" s="541">
        <f t="shared" si="724"/>
        <v>0</v>
      </c>
      <c r="EL66" s="541">
        <f t="shared" si="724"/>
        <v>0</v>
      </c>
      <c r="EM66" s="541">
        <f t="shared" si="724"/>
        <v>32.949193561643838</v>
      </c>
      <c r="EN66" s="541">
        <f t="shared" si="724"/>
        <v>0</v>
      </c>
      <c r="EO66" s="541">
        <f t="shared" si="724"/>
        <v>0</v>
      </c>
      <c r="EP66" s="541">
        <f t="shared" si="724"/>
        <v>32.600839469178084</v>
      </c>
      <c r="EQ66" s="541">
        <f t="shared" si="725"/>
        <v>0</v>
      </c>
      <c r="ER66" s="541">
        <f t="shared" si="725"/>
        <v>0</v>
      </c>
      <c r="ES66" s="541">
        <f t="shared" si="725"/>
        <v>32.397979315068497</v>
      </c>
      <c r="ET66" s="541">
        <f t="shared" si="725"/>
        <v>0</v>
      </c>
      <c r="EU66" s="541">
        <f t="shared" si="725"/>
        <v>0</v>
      </c>
      <c r="EV66" s="541">
        <f t="shared" si="725"/>
        <v>32.090262226027399</v>
      </c>
      <c r="EW66" s="541">
        <f t="shared" si="725"/>
        <v>0</v>
      </c>
      <c r="EX66" s="541">
        <f t="shared" si="725"/>
        <v>0</v>
      </c>
      <c r="EY66" s="541">
        <f t="shared" si="725"/>
        <v>31.743145171232875</v>
      </c>
      <c r="EZ66" s="541">
        <f t="shared" si="725"/>
        <v>0</v>
      </c>
      <c r="FA66" s="541">
        <f t="shared" si="726"/>
        <v>0</v>
      </c>
      <c r="FB66" s="541">
        <f t="shared" si="726"/>
        <v>31.434684451844262</v>
      </c>
      <c r="FC66" s="541">
        <f t="shared" si="726"/>
        <v>0</v>
      </c>
      <c r="FD66" s="541">
        <f t="shared" si="726"/>
        <v>0</v>
      </c>
      <c r="FE66" s="541">
        <f t="shared" si="726"/>
        <v>31.168788934426228</v>
      </c>
      <c r="FF66" s="541">
        <f t="shared" si="726"/>
        <v>0</v>
      </c>
      <c r="FG66" s="541">
        <f t="shared" si="726"/>
        <v>0</v>
      </c>
      <c r="FH66" s="541">
        <f t="shared" si="726"/>
        <v>30.862681045081967</v>
      </c>
      <c r="FI66" s="541">
        <f t="shared" si="726"/>
        <v>0</v>
      </c>
      <c r="FJ66" s="541">
        <f t="shared" si="726"/>
        <v>0</v>
      </c>
      <c r="FK66" s="541">
        <f t="shared" si="727"/>
        <v>30.530506352459017</v>
      </c>
      <c r="FL66" s="541">
        <f t="shared" si="727"/>
        <v>0</v>
      </c>
      <c r="FM66" s="541">
        <f t="shared" si="727"/>
        <v>0</v>
      </c>
      <c r="FN66" s="541">
        <f t="shared" si="727"/>
        <v>30.213725085616439</v>
      </c>
      <c r="FO66" s="541">
        <f t="shared" si="727"/>
        <v>0</v>
      </c>
      <c r="FP66" s="541">
        <f t="shared" si="727"/>
        <v>0</v>
      </c>
      <c r="FQ66" s="541">
        <f t="shared" si="727"/>
        <v>29.956276849315067</v>
      </c>
      <c r="FR66" s="541">
        <f t="shared" si="727"/>
        <v>0</v>
      </c>
      <c r="FS66" s="541">
        <f t="shared" si="727"/>
        <v>0</v>
      </c>
      <c r="FT66" s="541">
        <f t="shared" si="727"/>
        <v>29.650100856164382</v>
      </c>
      <c r="FU66" s="541">
        <f t="shared" si="728"/>
        <v>0</v>
      </c>
      <c r="FV66" s="541">
        <f t="shared" si="728"/>
        <v>0</v>
      </c>
      <c r="FW66" s="541">
        <f t="shared" si="728"/>
        <v>29.33104839041096</v>
      </c>
      <c r="FX66" s="541">
        <f t="shared" si="728"/>
        <v>0</v>
      </c>
      <c r="FY66" s="541">
        <f t="shared" si="729"/>
        <v>0</v>
      </c>
      <c r="FZ66" s="541">
        <f t="shared" si="730"/>
        <v>29.05426464041096</v>
      </c>
      <c r="GA66" s="541">
        <f t="shared" si="731"/>
        <v>0</v>
      </c>
      <c r="GB66" s="541">
        <f t="shared" si="732"/>
        <v>0</v>
      </c>
      <c r="GC66" s="541">
        <f t="shared" si="733"/>
        <v>28.770485547945206</v>
      </c>
      <c r="GD66" s="541">
        <f t="shared" si="734"/>
        <v>0</v>
      </c>
      <c r="GE66" s="541">
        <f t="shared" si="735"/>
        <v>0</v>
      </c>
      <c r="GF66" s="541">
        <f t="shared" si="736"/>
        <v>28.447742773972603</v>
      </c>
      <c r="GG66" s="541">
        <f t="shared" si="737"/>
        <v>0</v>
      </c>
      <c r="GH66" s="541">
        <f t="shared" si="738"/>
        <v>0</v>
      </c>
      <c r="GI66" s="541">
        <f t="shared" si="739"/>
        <v>0</v>
      </c>
      <c r="GJ66" s="541"/>
    </row>
    <row r="69" spans="3:192" x14ac:dyDescent="0.3">
      <c r="C69" s="544" t="s">
        <v>684</v>
      </c>
      <c r="D69" s="475"/>
    </row>
    <row r="70" spans="3:192" x14ac:dyDescent="0.3">
      <c r="C70" s="476" t="s">
        <v>685</v>
      </c>
      <c r="D70" s="477">
        <f>XIRR(E63:GF63,$E$62:$GF$62)</f>
        <v>4.6174630522727966E-2</v>
      </c>
    </row>
    <row r="71" spans="3:192" x14ac:dyDescent="0.3">
      <c r="C71" s="476" t="s">
        <v>686</v>
      </c>
      <c r="D71" s="477">
        <f t="shared" ref="D71:D73" si="740">XIRR(E64:GF64,$E$62:$GF$62)</f>
        <v>4.3603333830833438E-2</v>
      </c>
    </row>
    <row r="72" spans="3:192" x14ac:dyDescent="0.3">
      <c r="C72" s="478" t="s">
        <v>673</v>
      </c>
      <c r="D72" s="477">
        <f t="shared" si="740"/>
        <v>4.3603333830833438E-2</v>
      </c>
    </row>
    <row r="73" spans="3:192" x14ac:dyDescent="0.3">
      <c r="C73" s="479" t="s">
        <v>674</v>
      </c>
      <c r="D73" s="480">
        <f t="shared" si="740"/>
        <v>4.3603333830833438E-2</v>
      </c>
    </row>
  </sheetData>
  <mergeCells count="4">
    <mergeCell ref="C8:C10"/>
    <mergeCell ref="D8:D10"/>
    <mergeCell ref="C35:C37"/>
    <mergeCell ref="D35:D37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3375-E910-4F17-9364-0DD015F0C275}">
  <dimension ref="B3:T33"/>
  <sheetViews>
    <sheetView workbookViewId="0">
      <selection activeCell="D13" sqref="D13"/>
    </sheetView>
  </sheetViews>
  <sheetFormatPr defaultColWidth="9.125" defaultRowHeight="13.2" x14ac:dyDescent="0.3"/>
  <cols>
    <col min="1" max="1" width="10.375" style="1" customWidth="1"/>
    <col min="2" max="2" width="14.125" style="1" bestFit="1" customWidth="1"/>
    <col min="3" max="68" width="11.25" style="1" bestFit="1" customWidth="1"/>
    <col min="69" max="16384" width="9.125" style="1"/>
  </cols>
  <sheetData>
    <row r="3" spans="2:20" x14ac:dyDescent="0.3">
      <c r="B3" s="2" t="s">
        <v>724</v>
      </c>
    </row>
    <row r="4" spans="2:20" x14ac:dyDescent="0.3">
      <c r="T4" s="114" t="s">
        <v>128</v>
      </c>
    </row>
    <row r="5" spans="2:20" x14ac:dyDescent="0.3">
      <c r="B5" s="611" t="s">
        <v>102</v>
      </c>
      <c r="C5" s="612" t="s">
        <v>107</v>
      </c>
      <c r="D5" s="106" t="s">
        <v>289</v>
      </c>
      <c r="E5" s="106" t="s">
        <v>290</v>
      </c>
      <c r="F5" s="106" t="s">
        <v>291</v>
      </c>
      <c r="G5" s="106" t="s">
        <v>292</v>
      </c>
      <c r="H5" s="106" t="s">
        <v>293</v>
      </c>
      <c r="I5" s="106" t="s">
        <v>352</v>
      </c>
      <c r="J5" s="106" t="s">
        <v>353</v>
      </c>
      <c r="K5" s="106" t="s">
        <v>354</v>
      </c>
      <c r="L5" s="106" t="s">
        <v>355</v>
      </c>
      <c r="M5" s="106" t="s">
        <v>356</v>
      </c>
      <c r="N5" s="106" t="s">
        <v>357</v>
      </c>
      <c r="O5" s="106" t="s">
        <v>358</v>
      </c>
      <c r="P5" s="106" t="s">
        <v>359</v>
      </c>
      <c r="Q5" s="106" t="s">
        <v>360</v>
      </c>
      <c r="R5" s="461" t="s">
        <v>589</v>
      </c>
      <c r="S5" s="461" t="s">
        <v>670</v>
      </c>
      <c r="T5" s="613" t="s">
        <v>137</v>
      </c>
    </row>
    <row r="6" spans="2:20" x14ac:dyDescent="0.3">
      <c r="B6" s="611"/>
      <c r="C6" s="612"/>
      <c r="D6" s="109">
        <v>2023</v>
      </c>
      <c r="E6" s="462" t="s">
        <v>96</v>
      </c>
      <c r="F6" s="462" t="s">
        <v>332</v>
      </c>
      <c r="G6" s="462" t="s">
        <v>333</v>
      </c>
      <c r="H6" s="462" t="s">
        <v>334</v>
      </c>
      <c r="I6" s="462" t="s">
        <v>335</v>
      </c>
      <c r="J6" s="462" t="s">
        <v>336</v>
      </c>
      <c r="K6" s="462" t="s">
        <v>361</v>
      </c>
      <c r="L6" s="462" t="s">
        <v>362</v>
      </c>
      <c r="M6" s="462" t="s">
        <v>363</v>
      </c>
      <c r="N6" s="462" t="s">
        <v>364</v>
      </c>
      <c r="O6" s="462" t="s">
        <v>365</v>
      </c>
      <c r="P6" s="462" t="s">
        <v>366</v>
      </c>
      <c r="Q6" s="462" t="s">
        <v>367</v>
      </c>
      <c r="R6" s="462" t="s">
        <v>368</v>
      </c>
      <c r="S6" s="463" t="s">
        <v>590</v>
      </c>
      <c r="T6" s="613"/>
    </row>
    <row r="7" spans="2:20" x14ac:dyDescent="0.3">
      <c r="B7" s="68"/>
      <c r="C7" s="465"/>
      <c r="D7" s="465"/>
      <c r="E7" s="122"/>
      <c r="F7" s="122"/>
      <c r="G7" s="122"/>
      <c r="H7" s="122"/>
      <c r="I7" s="122"/>
      <c r="J7" s="466"/>
      <c r="K7" s="466"/>
      <c r="L7" s="466"/>
      <c r="M7" s="466"/>
      <c r="N7" s="466"/>
      <c r="O7" s="466"/>
      <c r="P7" s="466"/>
      <c r="Q7" s="466"/>
      <c r="R7" s="466"/>
      <c r="S7" s="466"/>
      <c r="T7" s="73"/>
    </row>
    <row r="8" spans="2:20" x14ac:dyDescent="0.3">
      <c r="B8" s="65" t="s">
        <v>103</v>
      </c>
      <c r="C8" s="66">
        <f>C9+C12</f>
        <v>64960.734283569596</v>
      </c>
      <c r="D8" s="66">
        <f>D9+D12</f>
        <v>13147.55737260274</v>
      </c>
      <c r="E8" s="66">
        <f t="shared" ref="E8:S8" si="0">E9+E12</f>
        <v>15133.945715846994</v>
      </c>
      <c r="F8" s="66">
        <f t="shared" si="0"/>
        <v>1229.229</v>
      </c>
      <c r="G8" s="66">
        <f t="shared" si="0"/>
        <v>1791.729</v>
      </c>
      <c r="H8" s="66">
        <f t="shared" si="0"/>
        <v>3415.1014140410957</v>
      </c>
      <c r="I8" s="66">
        <f t="shared" si="0"/>
        <v>3312.7709062499998</v>
      </c>
      <c r="J8" s="66">
        <f t="shared" si="0"/>
        <v>3210.229914041096</v>
      </c>
      <c r="K8" s="66">
        <f t="shared" si="0"/>
        <v>3107.7941640410959</v>
      </c>
      <c r="L8" s="66">
        <f t="shared" si="0"/>
        <v>3005.3584140410958</v>
      </c>
      <c r="M8" s="66">
        <f t="shared" si="0"/>
        <v>2903.0279062499999</v>
      </c>
      <c r="N8" s="66">
        <f t="shared" si="0"/>
        <v>2800.4869140410956</v>
      </c>
      <c r="O8" s="66">
        <f t="shared" si="0"/>
        <v>2698.0511640410959</v>
      </c>
      <c r="P8" s="66">
        <f t="shared" si="0"/>
        <v>2595.6154140410958</v>
      </c>
      <c r="Q8" s="66">
        <f t="shared" si="0"/>
        <v>2493.2849062499999</v>
      </c>
      <c r="R8" s="66">
        <f t="shared" si="0"/>
        <v>2390.7439140410961</v>
      </c>
      <c r="S8" s="66">
        <f t="shared" si="0"/>
        <v>1725.808164041096</v>
      </c>
      <c r="T8" s="67"/>
    </row>
    <row r="9" spans="2:20" x14ac:dyDescent="0.3">
      <c r="B9" s="101" t="s">
        <v>681</v>
      </c>
      <c r="C9" s="88">
        <f>SUM(D9:S9)</f>
        <v>27000</v>
      </c>
      <c r="D9" s="84">
        <f>D10+D11</f>
        <v>13000</v>
      </c>
      <c r="E9" s="84">
        <f>E10+E11</f>
        <v>14000</v>
      </c>
      <c r="F9" s="84">
        <f t="shared" ref="F9:S9" si="1">F10+F11</f>
        <v>0</v>
      </c>
      <c r="G9" s="84">
        <f t="shared" si="1"/>
        <v>0</v>
      </c>
      <c r="H9" s="84">
        <f t="shared" si="1"/>
        <v>0</v>
      </c>
      <c r="I9" s="84">
        <f t="shared" si="1"/>
        <v>0</v>
      </c>
      <c r="J9" s="84">
        <f t="shared" si="1"/>
        <v>0</v>
      </c>
      <c r="K9" s="84">
        <f t="shared" si="1"/>
        <v>0</v>
      </c>
      <c r="L9" s="84">
        <f t="shared" si="1"/>
        <v>0</v>
      </c>
      <c r="M9" s="84">
        <f t="shared" si="1"/>
        <v>0</v>
      </c>
      <c r="N9" s="84">
        <f t="shared" si="1"/>
        <v>0</v>
      </c>
      <c r="O9" s="84">
        <f t="shared" si="1"/>
        <v>0</v>
      </c>
      <c r="P9" s="84">
        <f t="shared" si="1"/>
        <v>0</v>
      </c>
      <c r="Q9" s="84">
        <f t="shared" si="1"/>
        <v>0</v>
      </c>
      <c r="R9" s="84">
        <f t="shared" si="1"/>
        <v>0</v>
      </c>
      <c r="S9" s="84">
        <f t="shared" si="1"/>
        <v>0</v>
      </c>
      <c r="T9" s="102"/>
    </row>
    <row r="10" spans="2:20" x14ac:dyDescent="0.3">
      <c r="B10" s="104" t="s">
        <v>673</v>
      </c>
      <c r="C10" s="88">
        <f>SUM(D10:S10)</f>
        <v>25650</v>
      </c>
      <c r="D10" s="88">
        <f>SUMIF(현금흐름!$E$35:$GF$35,펀드!D$6,현금흐름!$E40:$GF40)</f>
        <v>12350</v>
      </c>
      <c r="E10" s="88">
        <f>SUMIF(현금흐름!$E$35:$GF$35,펀드!E$6,현금흐름!$E40:$GF40)</f>
        <v>13300</v>
      </c>
      <c r="F10" s="88">
        <f>SUMIF(현금흐름!$E$35:$GF$35,펀드!F$6,현금흐름!$E40:$GF40)</f>
        <v>0</v>
      </c>
      <c r="G10" s="88">
        <f>SUMIF(현금흐름!$E$35:$GF$35,펀드!G$6,현금흐름!$E40:$GF40)</f>
        <v>0</v>
      </c>
      <c r="H10" s="88">
        <f>SUMIF(현금흐름!$E$35:$GF$35,펀드!H$6,현금흐름!$E40:$GF40)</f>
        <v>0</v>
      </c>
      <c r="I10" s="88">
        <f>SUMIF(현금흐름!$E$35:$GF$35,펀드!I$6,현금흐름!$E40:$GF40)</f>
        <v>0</v>
      </c>
      <c r="J10" s="88">
        <f>SUMIF(현금흐름!$E$35:$GF$35,펀드!J$6,현금흐름!$E40:$GF40)</f>
        <v>0</v>
      </c>
      <c r="K10" s="88">
        <f>SUMIF(현금흐름!$E$35:$GF$35,펀드!K$6,현금흐름!$E40:$GF40)</f>
        <v>0</v>
      </c>
      <c r="L10" s="88">
        <f>SUMIF(현금흐름!$E$35:$GF$35,펀드!L$6,현금흐름!$E40:$GF40)</f>
        <v>0</v>
      </c>
      <c r="M10" s="88">
        <f>SUMIF(현금흐름!$E$35:$GF$35,펀드!M$6,현금흐름!$E40:$GF40)</f>
        <v>0</v>
      </c>
      <c r="N10" s="88">
        <f>SUMIF(현금흐름!$E$35:$GF$35,펀드!N$6,현금흐름!$E40:$GF40)</f>
        <v>0</v>
      </c>
      <c r="O10" s="88">
        <f>SUMIF(현금흐름!$E$35:$GF$35,펀드!O$6,현금흐름!$E40:$GF40)</f>
        <v>0</v>
      </c>
      <c r="P10" s="88">
        <f>SUMIF(현금흐름!$E$35:$GF$35,펀드!P$6,현금흐름!$E40:$GF40)</f>
        <v>0</v>
      </c>
      <c r="Q10" s="88">
        <f>SUMIF(현금흐름!$E$35:$GF$35,펀드!Q$6,현금흐름!$E40:$GF40)</f>
        <v>0</v>
      </c>
      <c r="R10" s="88">
        <f>SUMIF(현금흐름!$E$35:$GF$35,펀드!R$6,현금흐름!$E40:$GF40)</f>
        <v>0</v>
      </c>
      <c r="S10" s="88">
        <f>SUMIF(현금흐름!$E$35:$GF$35,펀드!S$6,현금흐름!$E40:$GF40)</f>
        <v>0</v>
      </c>
      <c r="T10" s="100"/>
    </row>
    <row r="11" spans="2:20" x14ac:dyDescent="0.3">
      <c r="B11" s="104" t="s">
        <v>674</v>
      </c>
      <c r="C11" s="88">
        <f>SUM(D11:S11)</f>
        <v>1350</v>
      </c>
      <c r="D11" s="88">
        <f>SUMIF(현금흐름!$E$35:$GF$35,펀드!D$6,현금흐름!$E41:$GF41)</f>
        <v>650</v>
      </c>
      <c r="E11" s="88">
        <f>SUMIF(현금흐름!$E$35:$GF$35,펀드!E$6,현금흐름!$E41:$GF41)</f>
        <v>700</v>
      </c>
      <c r="F11" s="88">
        <f>SUMIF(현금흐름!$E$35:$GF$35,펀드!F$6,현금흐름!$E41:$GF41)</f>
        <v>0</v>
      </c>
      <c r="G11" s="88">
        <f>SUMIF(현금흐름!$E$35:$GF$35,펀드!G$6,현금흐름!$E41:$GF41)</f>
        <v>0</v>
      </c>
      <c r="H11" s="88">
        <f>SUMIF(현금흐름!$E$35:$GF$35,펀드!H$6,현금흐름!$E41:$GF41)</f>
        <v>0</v>
      </c>
      <c r="I11" s="88">
        <f>SUMIF(현금흐름!$E$35:$GF$35,펀드!I$6,현금흐름!$E41:$GF41)</f>
        <v>0</v>
      </c>
      <c r="J11" s="88">
        <f>SUMIF(현금흐름!$E$35:$GF$35,펀드!J$6,현금흐름!$E41:$GF41)</f>
        <v>0</v>
      </c>
      <c r="K11" s="88">
        <f>SUMIF(현금흐름!$E$35:$GF$35,펀드!K$6,현금흐름!$E41:$GF41)</f>
        <v>0</v>
      </c>
      <c r="L11" s="88">
        <f>SUMIF(현금흐름!$E$35:$GF$35,펀드!L$6,현금흐름!$E41:$GF41)</f>
        <v>0</v>
      </c>
      <c r="M11" s="88">
        <f>SUMIF(현금흐름!$E$35:$GF$35,펀드!M$6,현금흐름!$E41:$GF41)</f>
        <v>0</v>
      </c>
      <c r="N11" s="88">
        <f>SUMIF(현금흐름!$E$35:$GF$35,펀드!N$6,현금흐름!$E41:$GF41)</f>
        <v>0</v>
      </c>
      <c r="O11" s="88">
        <f>SUMIF(현금흐름!$E$35:$GF$35,펀드!O$6,현금흐름!$E41:$GF41)</f>
        <v>0</v>
      </c>
      <c r="P11" s="88">
        <f>SUMIF(현금흐름!$E$35:$GF$35,펀드!P$6,현금흐름!$E41:$GF41)</f>
        <v>0</v>
      </c>
      <c r="Q11" s="88">
        <f>SUMIF(현금흐름!$E$35:$GF$35,펀드!Q$6,현금흐름!$E41:$GF41)</f>
        <v>0</v>
      </c>
      <c r="R11" s="88">
        <f>SUMIF(현금흐름!$E$35:$GF$35,펀드!R$6,현금흐름!$E41:$GF41)</f>
        <v>0</v>
      </c>
      <c r="S11" s="88">
        <f>SUMIF(현금흐름!$E$35:$GF$35,펀드!S$6,현금흐름!$E41:$GF41)</f>
        <v>0</v>
      </c>
      <c r="T11" s="100"/>
    </row>
    <row r="12" spans="2:20" x14ac:dyDescent="0.3">
      <c r="B12" s="103" t="s">
        <v>111</v>
      </c>
      <c r="C12" s="88">
        <f>C13+C14</f>
        <v>37960.734283569596</v>
      </c>
      <c r="D12" s="88">
        <f t="shared" ref="D12:S12" si="2">D13+D14</f>
        <v>147.55737260273972</v>
      </c>
      <c r="E12" s="88">
        <f t="shared" si="2"/>
        <v>1133.9457158469945</v>
      </c>
      <c r="F12" s="88">
        <f t="shared" si="2"/>
        <v>1229.229</v>
      </c>
      <c r="G12" s="88">
        <f t="shared" si="2"/>
        <v>1791.729</v>
      </c>
      <c r="H12" s="88">
        <f t="shared" si="2"/>
        <v>3415.1014140410957</v>
      </c>
      <c r="I12" s="88">
        <f t="shared" si="2"/>
        <v>3312.7709062499998</v>
      </c>
      <c r="J12" s="88">
        <f t="shared" si="2"/>
        <v>3210.229914041096</v>
      </c>
      <c r="K12" s="88">
        <f t="shared" si="2"/>
        <v>3107.7941640410959</v>
      </c>
      <c r="L12" s="88">
        <f t="shared" si="2"/>
        <v>3005.3584140410958</v>
      </c>
      <c r="M12" s="88">
        <f t="shared" si="2"/>
        <v>2903.0279062499999</v>
      </c>
      <c r="N12" s="88">
        <f t="shared" si="2"/>
        <v>2800.4869140410956</v>
      </c>
      <c r="O12" s="88">
        <f t="shared" si="2"/>
        <v>2698.0511640410959</v>
      </c>
      <c r="P12" s="88">
        <f t="shared" si="2"/>
        <v>2595.6154140410958</v>
      </c>
      <c r="Q12" s="88">
        <f t="shared" si="2"/>
        <v>2493.2849062499999</v>
      </c>
      <c r="R12" s="88">
        <f t="shared" si="2"/>
        <v>2390.7439140410961</v>
      </c>
      <c r="S12" s="88">
        <f t="shared" si="2"/>
        <v>1725.808164041096</v>
      </c>
      <c r="T12" s="100"/>
    </row>
    <row r="13" spans="2:20" x14ac:dyDescent="0.3">
      <c r="B13" s="104" t="s">
        <v>671</v>
      </c>
      <c r="C13" s="88">
        <f>SUM(D13:S13)</f>
        <v>10960.734283569596</v>
      </c>
      <c r="D13" s="88">
        <f>SUMIF(현금흐름!$E$35:$GF$35,펀드!D$6,현금흐름!$E43:$GF43)</f>
        <v>147.55737260273972</v>
      </c>
      <c r="E13" s="88">
        <f>SUMIF(현금흐름!$E$35:$GF$35,펀드!E$6,현금흐름!$E43:$GF43)</f>
        <v>1133.9457158469945</v>
      </c>
      <c r="F13" s="88">
        <f>SUMIF(현금흐름!$E$35:$GF$35,펀드!F$6,현금흐름!$E43:$GF43)</f>
        <v>1229.229</v>
      </c>
      <c r="G13" s="88">
        <f>SUMIF(현금흐름!$E$35:$GF$35,펀드!G$6,현금흐름!$E43:$GF43)</f>
        <v>1229.229</v>
      </c>
      <c r="H13" s="88">
        <f>SUMIF(현금흐름!$E$35:$GF$35,펀드!H$6,현금흐름!$E43:$GF43)</f>
        <v>1165.1014140410957</v>
      </c>
      <c r="I13" s="88">
        <f>SUMIF(현금흐름!$E$35:$GF$35,펀드!I$6,현금흐름!$E43:$GF43)</f>
        <v>1062.7709062500001</v>
      </c>
      <c r="J13" s="88">
        <f>SUMIF(현금흐름!$E$35:$GF$35,펀드!J$6,현금흐름!$E43:$GF43)</f>
        <v>960.22991404109587</v>
      </c>
      <c r="K13" s="88">
        <f>SUMIF(현금흐름!$E$35:$GF$35,펀드!K$6,현금흐름!$E43:$GF43)</f>
        <v>857.79416404109588</v>
      </c>
      <c r="L13" s="88">
        <f>SUMIF(현금흐름!$E$35:$GF$35,펀드!L$6,현금흐름!$E43:$GF43)</f>
        <v>755.35841404109578</v>
      </c>
      <c r="M13" s="88">
        <f>SUMIF(현금흐름!$E$35:$GF$35,펀드!M$6,현금흐름!$E43:$GF43)</f>
        <v>653.02790624999989</v>
      </c>
      <c r="N13" s="88">
        <f>SUMIF(현금흐름!$E$35:$GF$35,펀드!N$6,현금흐름!$E43:$GF43)</f>
        <v>550.48691404109582</v>
      </c>
      <c r="O13" s="88">
        <f>SUMIF(현금흐름!$E$35:$GF$35,펀드!O$6,현금흐름!$E43:$GF43)</f>
        <v>448.05116404109583</v>
      </c>
      <c r="P13" s="88">
        <f>SUMIF(현금흐름!$E$35:$GF$35,펀드!P$6,현금흐름!$E43:$GF43)</f>
        <v>345.61541404109585</v>
      </c>
      <c r="Q13" s="88">
        <f>SUMIF(현금흐름!$E$35:$GF$35,펀드!Q$6,현금흐름!$E43:$GF43)</f>
        <v>243.28490624999998</v>
      </c>
      <c r="R13" s="88">
        <f>SUMIF(현금흐름!$E$35:$GF$35,펀드!R$6,현금흐름!$E43:$GF43)</f>
        <v>140.74391404109588</v>
      </c>
      <c r="S13" s="88">
        <f>SUMIF(현금흐름!$E$35:$GF$35,펀드!S$6,현금흐름!$E43:$GF43)</f>
        <v>38.308164041095893</v>
      </c>
      <c r="T13" s="100"/>
    </row>
    <row r="14" spans="2:20" x14ac:dyDescent="0.3">
      <c r="B14" s="104" t="s">
        <v>672</v>
      </c>
      <c r="C14" s="88">
        <f>SUM(D14:S14)</f>
        <v>27000</v>
      </c>
      <c r="D14" s="88">
        <f>SUMIF(현금흐름!$E$35:$GF$35,펀드!D$6,현금흐름!$E44:$GF44)</f>
        <v>0</v>
      </c>
      <c r="E14" s="88">
        <f>SUMIF(현금흐름!$E$35:$GF$35,펀드!E$6,현금흐름!$E44:$GF44)</f>
        <v>0</v>
      </c>
      <c r="F14" s="88">
        <f>SUMIF(현금흐름!$E$35:$GF$35,펀드!F$6,현금흐름!$E44:$GF44)</f>
        <v>0</v>
      </c>
      <c r="G14" s="88">
        <f>SUMIF(현금흐름!$E$35:$GF$35,펀드!G$6,현금흐름!$E44:$GF44)</f>
        <v>562.5</v>
      </c>
      <c r="H14" s="88">
        <f>SUMIF(현금흐름!$E$35:$GF$35,펀드!H$6,현금흐름!$E44:$GF44)</f>
        <v>2250</v>
      </c>
      <c r="I14" s="88">
        <f>SUMIF(현금흐름!$E$35:$GF$35,펀드!I$6,현금흐름!$E44:$GF44)</f>
        <v>2250</v>
      </c>
      <c r="J14" s="88">
        <f>SUMIF(현금흐름!$E$35:$GF$35,펀드!J$6,현금흐름!$E44:$GF44)</f>
        <v>2250</v>
      </c>
      <c r="K14" s="88">
        <f>SUMIF(현금흐름!$E$35:$GF$35,펀드!K$6,현금흐름!$E44:$GF44)</f>
        <v>2250</v>
      </c>
      <c r="L14" s="88">
        <f>SUMIF(현금흐름!$E$35:$GF$35,펀드!L$6,현금흐름!$E44:$GF44)</f>
        <v>2250</v>
      </c>
      <c r="M14" s="88">
        <f>SUMIF(현금흐름!$E$35:$GF$35,펀드!M$6,현금흐름!$E44:$GF44)</f>
        <v>2250</v>
      </c>
      <c r="N14" s="88">
        <f>SUMIF(현금흐름!$E$35:$GF$35,펀드!N$6,현금흐름!$E44:$GF44)</f>
        <v>2250</v>
      </c>
      <c r="O14" s="88">
        <f>SUMIF(현금흐름!$E$35:$GF$35,펀드!O$6,현금흐름!$E44:$GF44)</f>
        <v>2250</v>
      </c>
      <c r="P14" s="88">
        <f>SUMIF(현금흐름!$E$35:$GF$35,펀드!P$6,현금흐름!$E44:$GF44)</f>
        <v>2250</v>
      </c>
      <c r="Q14" s="88">
        <f>SUMIF(현금흐름!$E$35:$GF$35,펀드!Q$6,현금흐름!$E44:$GF44)</f>
        <v>2250</v>
      </c>
      <c r="R14" s="88">
        <f>SUMIF(현금흐름!$E$35:$GF$35,펀드!R$6,현금흐름!$E44:$GF44)</f>
        <v>2250</v>
      </c>
      <c r="S14" s="88">
        <f>SUMIF(현금흐름!$E$35:$GF$35,펀드!S$6,현금흐름!$E44:$GF44)</f>
        <v>1687.5</v>
      </c>
      <c r="T14" s="100"/>
    </row>
    <row r="15" spans="2:20" x14ac:dyDescent="0.3">
      <c r="B15" s="65" t="s">
        <v>104</v>
      </c>
      <c r="C15" s="66">
        <f>C16+C17+C18</f>
        <v>-64960.734283569589</v>
      </c>
      <c r="D15" s="66">
        <f>D16+D17+D18</f>
        <v>-13147.557372602741</v>
      </c>
      <c r="E15" s="66">
        <f t="shared" ref="E15:S15" si="3">E16+E17+E18</f>
        <v>-15133.945715846994</v>
      </c>
      <c r="F15" s="66">
        <f t="shared" si="3"/>
        <v>-1229.229</v>
      </c>
      <c r="G15" s="66">
        <f t="shared" si="3"/>
        <v>-1791.729</v>
      </c>
      <c r="H15" s="66">
        <f t="shared" si="3"/>
        <v>-3415.1014140410957</v>
      </c>
      <c r="I15" s="66">
        <f t="shared" si="3"/>
        <v>-3312.7709062499998</v>
      </c>
      <c r="J15" s="66">
        <f t="shared" si="3"/>
        <v>-3210.2299140410955</v>
      </c>
      <c r="K15" s="66">
        <f t="shared" si="3"/>
        <v>-3107.7941640410959</v>
      </c>
      <c r="L15" s="66">
        <f t="shared" si="3"/>
        <v>-3005.3584140410958</v>
      </c>
      <c r="M15" s="66">
        <f t="shared" si="3"/>
        <v>-2903.0279062499999</v>
      </c>
      <c r="N15" s="66">
        <f t="shared" si="3"/>
        <v>-2800.486914041096</v>
      </c>
      <c r="O15" s="66">
        <f t="shared" si="3"/>
        <v>-2698.0511640410959</v>
      </c>
      <c r="P15" s="66">
        <f t="shared" si="3"/>
        <v>-2595.6154140410958</v>
      </c>
      <c r="Q15" s="66">
        <f t="shared" si="3"/>
        <v>-2493.2849062499999</v>
      </c>
      <c r="R15" s="66">
        <f t="shared" si="3"/>
        <v>-2390.7439140410956</v>
      </c>
      <c r="S15" s="66">
        <f t="shared" si="3"/>
        <v>-1725.808164041096</v>
      </c>
      <c r="T15" s="67"/>
    </row>
    <row r="16" spans="2:20" x14ac:dyDescent="0.3">
      <c r="B16" s="468" t="s">
        <v>679</v>
      </c>
      <c r="C16" s="84">
        <f>SUM(D16:S16)</f>
        <v>-27000</v>
      </c>
      <c r="D16" s="88">
        <f>SUMIF(현금흐름!$E$35:$GF$35,펀드!D$6,현금흐름!$E46:$GF46)</f>
        <v>-13000</v>
      </c>
      <c r="E16" s="88">
        <f>SUMIF(현금흐름!$E$35:$GF$35,펀드!E$6,현금흐름!$E46:$GF46)</f>
        <v>-14000</v>
      </c>
      <c r="F16" s="88">
        <f>SUMIF(현금흐름!$E$35:$GF$35,펀드!F$6,현금흐름!$E46:$GF46)</f>
        <v>0</v>
      </c>
      <c r="G16" s="88">
        <f>SUMIF(현금흐름!$E$35:$GF$35,펀드!G$6,현금흐름!$E46:$GF46)</f>
        <v>0</v>
      </c>
      <c r="H16" s="88">
        <f>SUMIF(현금흐름!$E$35:$GF$35,펀드!H$6,현금흐름!$E46:$GF46)</f>
        <v>0</v>
      </c>
      <c r="I16" s="88">
        <f>SUMIF(현금흐름!$E$35:$GF$35,펀드!I$6,현금흐름!$E46:$GF46)</f>
        <v>0</v>
      </c>
      <c r="J16" s="88">
        <f>SUMIF(현금흐름!$E$35:$GF$35,펀드!J$6,현금흐름!$E46:$GF46)</f>
        <v>0</v>
      </c>
      <c r="K16" s="88">
        <f>SUMIF(현금흐름!$E$35:$GF$35,펀드!K$6,현금흐름!$E46:$GF46)</f>
        <v>0</v>
      </c>
      <c r="L16" s="88">
        <f>SUMIF(현금흐름!$E$35:$GF$35,펀드!L$6,현금흐름!$E46:$GF46)</f>
        <v>0</v>
      </c>
      <c r="M16" s="88">
        <f>SUMIF(현금흐름!$E$35:$GF$35,펀드!M$6,현금흐름!$E46:$GF46)</f>
        <v>0</v>
      </c>
      <c r="N16" s="88">
        <f>SUMIF(현금흐름!$E$35:$GF$35,펀드!N$6,현금흐름!$E46:$GF46)</f>
        <v>0</v>
      </c>
      <c r="O16" s="88">
        <f>SUMIF(현금흐름!$E$35:$GF$35,펀드!O$6,현금흐름!$E46:$GF46)</f>
        <v>0</v>
      </c>
      <c r="P16" s="88">
        <f>SUMIF(현금흐름!$E$35:$GF$35,펀드!P$6,현금흐름!$E46:$GF46)</f>
        <v>0</v>
      </c>
      <c r="Q16" s="88">
        <f>SUMIF(현금흐름!$E$35:$GF$35,펀드!Q$6,현금흐름!$E46:$GF46)</f>
        <v>0</v>
      </c>
      <c r="R16" s="88">
        <f>SUMIF(현금흐름!$E$35:$GF$35,펀드!R$6,현금흐름!$E46:$GF46)</f>
        <v>0</v>
      </c>
      <c r="S16" s="88">
        <f>SUMIF(현금흐름!$E$35:$GF$35,펀드!S$6,현금흐름!$E46:$GF46)</f>
        <v>0</v>
      </c>
      <c r="T16" s="102"/>
    </row>
    <row r="17" spans="2:20" x14ac:dyDescent="0.3">
      <c r="B17" s="103" t="s">
        <v>675</v>
      </c>
      <c r="C17" s="84">
        <f t="shared" ref="C17:C24" si="4">SUM(D17:S17)</f>
        <v>-600.34495822104941</v>
      </c>
      <c r="D17" s="88">
        <f>SUMIF(현금흐름!$E$35:$GF$35,펀드!D$6,현금흐름!$E47:$GF47)</f>
        <v>-8.1917808219178081</v>
      </c>
      <c r="E17" s="88">
        <f>SUMIF(현금흐름!$E$35:$GF$35,펀드!E$6,현금흐름!$E47:$GF47)</f>
        <v>-62.472677595628426</v>
      </c>
      <c r="F17" s="88">
        <f>SUMIF(현금흐름!$E$35:$GF$35,펀드!F$6,현금흐름!$E47:$GF47)</f>
        <v>-67.5</v>
      </c>
      <c r="G17" s="88">
        <f>SUMIF(현금흐름!$E$35:$GF$35,펀드!G$6,현금흐름!$E47:$GF47)</f>
        <v>-67.5</v>
      </c>
      <c r="H17" s="88">
        <f>SUMIF(현금흐름!$E$35:$GF$35,펀드!H$6,현금흐름!$E47:$GF47)</f>
        <v>-63.970890410958901</v>
      </c>
      <c r="I17" s="88">
        <f>SUMIF(현금흐름!$E$35:$GF$35,펀드!I$6,현금흐름!$E47:$GF47)</f>
        <v>-58.35169057377049</v>
      </c>
      <c r="J17" s="88">
        <f>SUMIF(현금흐름!$E$35:$GF$35,펀드!J$6,현금흐름!$E47:$GF47)</f>
        <v>-52.720890410958908</v>
      </c>
      <c r="K17" s="88">
        <f>SUMIF(현금흐름!$E$35:$GF$35,펀드!K$6,현금흐름!$E47:$GF47)</f>
        <v>-47.095890410958901</v>
      </c>
      <c r="L17" s="88">
        <f>SUMIF(현금흐름!$E$35:$GF$35,펀드!L$6,현금흐름!$E47:$GF47)</f>
        <v>-41.470890410958901</v>
      </c>
      <c r="M17" s="88">
        <f>SUMIF(현금흐름!$E$35:$GF$35,펀드!M$6,현금흐름!$E47:$GF47)</f>
        <v>-35.851690573770497</v>
      </c>
      <c r="N17" s="88">
        <f>SUMIF(현금흐름!$E$35:$GF$35,펀드!N$6,현금흐름!$E47:$GF47)</f>
        <v>-30.220890410958901</v>
      </c>
      <c r="O17" s="88">
        <f>SUMIF(현금흐름!$E$35:$GF$35,펀드!O$6,현금흐름!$E47:$GF47)</f>
        <v>-24.595890410958901</v>
      </c>
      <c r="P17" s="88">
        <f>SUMIF(현금흐름!$E$35:$GF$35,펀드!P$6,현금흐름!$E47:$GF47)</f>
        <v>-18.970890410958905</v>
      </c>
      <c r="Q17" s="88">
        <f>SUMIF(현금흐름!$E$35:$GF$35,펀드!Q$6,현금흐름!$E47:$GF47)</f>
        <v>-13.35169057377049</v>
      </c>
      <c r="R17" s="88">
        <f>SUMIF(현금흐름!$E$35:$GF$35,펀드!R$6,현금흐름!$E47:$GF47)</f>
        <v>-7.7208904109589049</v>
      </c>
      <c r="S17" s="88">
        <f>SUMIF(현금흐름!$E$35:$GF$35,펀드!S$6,현금흐름!$E47:$GF47)</f>
        <v>-0.35830479452054792</v>
      </c>
      <c r="T17" s="100"/>
    </row>
    <row r="18" spans="2:20" x14ac:dyDescent="0.3">
      <c r="B18" s="103" t="s">
        <v>676</v>
      </c>
      <c r="C18" s="84">
        <f t="shared" si="4"/>
        <v>-37360.389325348544</v>
      </c>
      <c r="D18" s="88">
        <f>D19+D22</f>
        <v>-139.36559178082192</v>
      </c>
      <c r="E18" s="88">
        <f t="shared" ref="E18:S18" si="5">E19+E22</f>
        <v>-1071.473038251366</v>
      </c>
      <c r="F18" s="88">
        <f t="shared" si="5"/>
        <v>-1161.729</v>
      </c>
      <c r="G18" s="88">
        <f t="shared" si="5"/>
        <v>-1724.229</v>
      </c>
      <c r="H18" s="88">
        <f t="shared" si="5"/>
        <v>-3351.1305236301368</v>
      </c>
      <c r="I18" s="88">
        <f t="shared" si="5"/>
        <v>-3254.4192156762292</v>
      </c>
      <c r="J18" s="88">
        <f t="shared" si="5"/>
        <v>-3157.5090236301367</v>
      </c>
      <c r="K18" s="88">
        <f t="shared" si="5"/>
        <v>-3060.698273630137</v>
      </c>
      <c r="L18" s="88">
        <f t="shared" si="5"/>
        <v>-2963.8875236301369</v>
      </c>
      <c r="M18" s="88">
        <f t="shared" si="5"/>
        <v>-2867.1762156762293</v>
      </c>
      <c r="N18" s="88">
        <f t="shared" si="5"/>
        <v>-2770.2660236301372</v>
      </c>
      <c r="O18" s="88">
        <f t="shared" si="5"/>
        <v>-2673.4552736301371</v>
      </c>
      <c r="P18" s="88">
        <f t="shared" si="5"/>
        <v>-2576.644523630137</v>
      </c>
      <c r="Q18" s="88">
        <f t="shared" si="5"/>
        <v>-2479.9332156762293</v>
      </c>
      <c r="R18" s="88">
        <f t="shared" si="5"/>
        <v>-2383.0230236301368</v>
      </c>
      <c r="S18" s="88">
        <f t="shared" si="5"/>
        <v>-1725.4498592465754</v>
      </c>
      <c r="T18" s="100"/>
    </row>
    <row r="19" spans="2:20" x14ac:dyDescent="0.3">
      <c r="B19" s="104" t="s">
        <v>680</v>
      </c>
      <c r="C19" s="84">
        <f t="shared" si="4"/>
        <v>-10360.389325348548</v>
      </c>
      <c r="D19" s="88">
        <f>D20+D21</f>
        <v>-139.36559178082192</v>
      </c>
      <c r="E19" s="88">
        <f t="shared" ref="E19:S19" si="6">E20+E21</f>
        <v>-1071.473038251366</v>
      </c>
      <c r="F19" s="88">
        <f t="shared" si="6"/>
        <v>-1161.729</v>
      </c>
      <c r="G19" s="88">
        <f t="shared" si="6"/>
        <v>-1161.729</v>
      </c>
      <c r="H19" s="88">
        <f t="shared" si="6"/>
        <v>-1101.1305236301368</v>
      </c>
      <c r="I19" s="88">
        <f t="shared" si="6"/>
        <v>-1004.4192156762294</v>
      </c>
      <c r="J19" s="88">
        <f t="shared" si="6"/>
        <v>-907.50902363013688</v>
      </c>
      <c r="K19" s="88">
        <f t="shared" si="6"/>
        <v>-810.6982736301369</v>
      </c>
      <c r="L19" s="88">
        <f t="shared" si="6"/>
        <v>-713.88752363013691</v>
      </c>
      <c r="M19" s="88">
        <f t="shared" si="6"/>
        <v>-617.17621567622939</v>
      </c>
      <c r="N19" s="88">
        <f t="shared" si="6"/>
        <v>-520.26602363013694</v>
      </c>
      <c r="O19" s="88">
        <f t="shared" si="6"/>
        <v>-423.45527363013696</v>
      </c>
      <c r="P19" s="88">
        <f t="shared" si="6"/>
        <v>-326.64452363013697</v>
      </c>
      <c r="Q19" s="88">
        <f t="shared" si="6"/>
        <v>-229.93321567622945</v>
      </c>
      <c r="R19" s="88">
        <f t="shared" si="6"/>
        <v>-133.02302363013698</v>
      </c>
      <c r="S19" s="88">
        <f t="shared" si="6"/>
        <v>-37.949859246575343</v>
      </c>
      <c r="T19" s="100"/>
    </row>
    <row r="20" spans="2:20" x14ac:dyDescent="0.3">
      <c r="B20" s="525" t="s">
        <v>673</v>
      </c>
      <c r="C20" s="84">
        <f t="shared" si="4"/>
        <v>-9842.36985908112</v>
      </c>
      <c r="D20" s="88">
        <f>SUMIF(현금흐름!$E$35:$GF$35,펀드!D$6,현금흐름!$E50:$GF50)</f>
        <v>-132.39731219178083</v>
      </c>
      <c r="E20" s="88">
        <f>SUMIF(현금흐름!$E$35:$GF$35,펀드!E$6,현금흐름!$E50:$GF50)</f>
        <v>-1017.8993863387977</v>
      </c>
      <c r="F20" s="88">
        <f>SUMIF(현금흐름!$E$35:$GF$35,펀드!F$6,현금흐름!$E50:$GF50)</f>
        <v>-1103.64255</v>
      </c>
      <c r="G20" s="88">
        <f>SUMIF(현금흐름!$E$35:$GF$35,펀드!G$6,현금흐름!$E50:$GF50)</f>
        <v>-1103.64255</v>
      </c>
      <c r="H20" s="88">
        <f>SUMIF(현금흐름!$E$35:$GF$35,펀드!H$6,현금흐름!$E50:$GF50)</f>
        <v>-1046.0739974486301</v>
      </c>
      <c r="I20" s="88">
        <f>SUMIF(현금흐름!$E$35:$GF$35,펀드!I$6,현금흐름!$E50:$GF50)</f>
        <v>-954.19825489241794</v>
      </c>
      <c r="J20" s="88">
        <f>SUMIF(현금흐름!$E$35:$GF$35,펀드!J$6,현금흐름!$E50:$GF50)</f>
        <v>-862.13357244863005</v>
      </c>
      <c r="K20" s="88">
        <f>SUMIF(현금흐름!$E$35:$GF$35,펀드!K$6,현금흐름!$E50:$GF50)</f>
        <v>-770.16335994863005</v>
      </c>
      <c r="L20" s="88">
        <f>SUMIF(현금흐름!$E$35:$GF$35,펀드!L$6,현금흐름!$E50:$GF50)</f>
        <v>-678.19314744863004</v>
      </c>
      <c r="M20" s="88">
        <f>SUMIF(현금흐름!$E$35:$GF$35,펀드!M$6,현금흐름!$E50:$GF50)</f>
        <v>-586.31740489241793</v>
      </c>
      <c r="N20" s="88">
        <f>SUMIF(현금흐름!$E$35:$GF$35,펀드!N$6,현금흐름!$E50:$GF50)</f>
        <v>-494.25272244863004</v>
      </c>
      <c r="O20" s="88">
        <f>SUMIF(현금흐름!$E$35:$GF$35,펀드!O$6,현금흐름!$E50:$GF50)</f>
        <v>-402.28250994863009</v>
      </c>
      <c r="P20" s="88">
        <f>SUMIF(현금흐름!$E$35:$GF$35,펀드!P$6,현금흐름!$E50:$GF50)</f>
        <v>-310.31229744863015</v>
      </c>
      <c r="Q20" s="88">
        <f>SUMIF(현금흐름!$E$35:$GF$35,펀드!Q$6,현금흐름!$E50:$GF50)</f>
        <v>-218.43655489241797</v>
      </c>
      <c r="R20" s="88">
        <f>SUMIF(현금흐름!$E$35:$GF$35,펀드!R$6,현금흐름!$E50:$GF50)</f>
        <v>-126.37187244863011</v>
      </c>
      <c r="S20" s="88">
        <f>SUMIF(현금흐름!$E$35:$GF$35,펀드!S$6,현금흐름!$E50:$GF50)</f>
        <v>-36.052366284246574</v>
      </c>
      <c r="T20" s="100"/>
    </row>
    <row r="21" spans="2:20" x14ac:dyDescent="0.3">
      <c r="B21" s="525" t="s">
        <v>674</v>
      </c>
      <c r="C21" s="84">
        <f t="shared" si="4"/>
        <v>-518.01946626742733</v>
      </c>
      <c r="D21" s="88">
        <f>SUMIF(현금흐름!$E$35:$GF$35,펀드!D$6,현금흐름!$E51:$GF51)</f>
        <v>-6.9682795890410958</v>
      </c>
      <c r="E21" s="88">
        <f>SUMIF(현금흐름!$E$35:$GF$35,펀드!E$6,현금흐름!$E51:$GF51)</f>
        <v>-53.573651912568309</v>
      </c>
      <c r="F21" s="88">
        <f>SUMIF(현금흐름!$E$35:$GF$35,펀드!F$6,현금흐름!$E51:$GF51)</f>
        <v>-58.086450000000006</v>
      </c>
      <c r="G21" s="88">
        <f>SUMIF(현금흐름!$E$35:$GF$35,펀드!G$6,현금흐름!$E51:$GF51)</f>
        <v>-58.086450000000006</v>
      </c>
      <c r="H21" s="88">
        <f>SUMIF(현금흐름!$E$35:$GF$35,펀드!H$6,현금흐름!$E51:$GF51)</f>
        <v>-55.056526181506847</v>
      </c>
      <c r="I21" s="88">
        <f>SUMIF(현금흐름!$E$35:$GF$35,펀드!I$6,현금흐름!$E51:$GF51)</f>
        <v>-50.220960783811478</v>
      </c>
      <c r="J21" s="88">
        <f>SUMIF(현금흐름!$E$35:$GF$35,펀드!J$6,현금흐름!$E51:$GF51)</f>
        <v>-45.375451181506847</v>
      </c>
      <c r="K21" s="88">
        <f>SUMIF(현금흐름!$E$35:$GF$35,펀드!K$6,현금흐름!$E51:$GF51)</f>
        <v>-40.53491368150685</v>
      </c>
      <c r="L21" s="88">
        <f>SUMIF(현금흐름!$E$35:$GF$35,펀드!L$6,현금흐름!$E51:$GF51)</f>
        <v>-35.694376181506847</v>
      </c>
      <c r="M21" s="88">
        <f>SUMIF(현금흐름!$E$35:$GF$35,펀드!M$6,현금흐름!$E51:$GF51)</f>
        <v>-30.858810783811471</v>
      </c>
      <c r="N21" s="88">
        <f>SUMIF(현금흐름!$E$35:$GF$35,펀드!N$6,현금흐름!$E51:$GF51)</f>
        <v>-26.013301181506847</v>
      </c>
      <c r="O21" s="88">
        <f>SUMIF(현금흐름!$E$35:$GF$35,펀드!O$6,현금흐름!$E51:$GF51)</f>
        <v>-21.172763681506847</v>
      </c>
      <c r="P21" s="88">
        <f>SUMIF(현금흐름!$E$35:$GF$35,펀드!P$6,현금흐름!$E51:$GF51)</f>
        <v>-16.332226181506851</v>
      </c>
      <c r="Q21" s="88">
        <f>SUMIF(현금흐름!$E$35:$GF$35,펀드!Q$6,현금흐름!$E51:$GF51)</f>
        <v>-11.496660783811473</v>
      </c>
      <c r="R21" s="88">
        <f>SUMIF(현금흐름!$E$35:$GF$35,펀드!R$6,현금흐름!$E51:$GF51)</f>
        <v>-6.6511511815068483</v>
      </c>
      <c r="S21" s="88">
        <f>SUMIF(현금흐름!$E$35:$GF$35,펀드!S$6,현금흐름!$E51:$GF51)</f>
        <v>-1.8974929623287673</v>
      </c>
      <c r="T21" s="100"/>
    </row>
    <row r="22" spans="2:20" x14ac:dyDescent="0.3">
      <c r="B22" s="104" t="s">
        <v>672</v>
      </c>
      <c r="C22" s="84">
        <f t="shared" si="4"/>
        <v>-27000</v>
      </c>
      <c r="D22" s="88">
        <f>D23+D24</f>
        <v>0</v>
      </c>
      <c r="E22" s="88">
        <f t="shared" ref="E22:S22" si="7">E23+E24</f>
        <v>0</v>
      </c>
      <c r="F22" s="88">
        <f t="shared" si="7"/>
        <v>0</v>
      </c>
      <c r="G22" s="88">
        <f t="shared" si="7"/>
        <v>-562.5</v>
      </c>
      <c r="H22" s="88">
        <f t="shared" si="7"/>
        <v>-2250</v>
      </c>
      <c r="I22" s="88">
        <f t="shared" si="7"/>
        <v>-2250</v>
      </c>
      <c r="J22" s="88">
        <f t="shared" si="7"/>
        <v>-2250</v>
      </c>
      <c r="K22" s="88">
        <f t="shared" si="7"/>
        <v>-2250</v>
      </c>
      <c r="L22" s="88">
        <f t="shared" si="7"/>
        <v>-2250</v>
      </c>
      <c r="M22" s="88">
        <f t="shared" si="7"/>
        <v>-2250</v>
      </c>
      <c r="N22" s="88">
        <f t="shared" si="7"/>
        <v>-2250</v>
      </c>
      <c r="O22" s="88">
        <f t="shared" si="7"/>
        <v>-2250</v>
      </c>
      <c r="P22" s="88">
        <f t="shared" si="7"/>
        <v>-2250</v>
      </c>
      <c r="Q22" s="88">
        <f t="shared" si="7"/>
        <v>-2250</v>
      </c>
      <c r="R22" s="88">
        <f t="shared" si="7"/>
        <v>-2250</v>
      </c>
      <c r="S22" s="88">
        <f t="shared" si="7"/>
        <v>-1687.5</v>
      </c>
      <c r="T22" s="100"/>
    </row>
    <row r="23" spans="2:20" x14ac:dyDescent="0.3">
      <c r="B23" s="525" t="s">
        <v>673</v>
      </c>
      <c r="C23" s="88">
        <f t="shared" si="4"/>
        <v>-25650</v>
      </c>
      <c r="D23" s="88">
        <f>SUMIF(현금흐름!$E$35:$GF$35,펀드!D$6,현금흐름!$E53:$GF53)</f>
        <v>0</v>
      </c>
      <c r="E23" s="88">
        <f>SUMIF(현금흐름!$E$35:$GF$35,펀드!E$6,현금흐름!$E53:$GF53)</f>
        <v>0</v>
      </c>
      <c r="F23" s="88">
        <f>SUMIF(현금흐름!$E$35:$GF$35,펀드!F$6,현금흐름!$E53:$GF53)</f>
        <v>0</v>
      </c>
      <c r="G23" s="88">
        <f>SUMIF(현금흐름!$E$35:$GF$35,펀드!G$6,현금흐름!$E53:$GF53)</f>
        <v>-534.375</v>
      </c>
      <c r="H23" s="88">
        <f>SUMIF(현금흐름!$E$35:$GF$35,펀드!H$6,현금흐름!$E53:$GF53)</f>
        <v>-2137.5</v>
      </c>
      <c r="I23" s="88">
        <f>SUMIF(현금흐름!$E$35:$GF$35,펀드!I$6,현금흐름!$E53:$GF53)</f>
        <v>-2137.5</v>
      </c>
      <c r="J23" s="88">
        <f>SUMIF(현금흐름!$E$35:$GF$35,펀드!J$6,현금흐름!$E53:$GF53)</f>
        <v>-2137.5</v>
      </c>
      <c r="K23" s="88">
        <f>SUMIF(현금흐름!$E$35:$GF$35,펀드!K$6,현금흐름!$E53:$GF53)</f>
        <v>-2137.5</v>
      </c>
      <c r="L23" s="88">
        <f>SUMIF(현금흐름!$E$35:$GF$35,펀드!L$6,현금흐름!$E53:$GF53)</f>
        <v>-2137.5</v>
      </c>
      <c r="M23" s="88">
        <f>SUMIF(현금흐름!$E$35:$GF$35,펀드!M$6,현금흐름!$E53:$GF53)</f>
        <v>-2137.5</v>
      </c>
      <c r="N23" s="88">
        <f>SUMIF(현금흐름!$E$35:$GF$35,펀드!N$6,현금흐름!$E53:$GF53)</f>
        <v>-2137.5</v>
      </c>
      <c r="O23" s="88">
        <f>SUMIF(현금흐름!$E$35:$GF$35,펀드!O$6,현금흐름!$E53:$GF53)</f>
        <v>-2137.5</v>
      </c>
      <c r="P23" s="88">
        <f>SUMIF(현금흐름!$E$35:$GF$35,펀드!P$6,현금흐름!$E53:$GF53)</f>
        <v>-2137.5</v>
      </c>
      <c r="Q23" s="88">
        <f>SUMIF(현금흐름!$E$35:$GF$35,펀드!Q$6,현금흐름!$E53:$GF53)</f>
        <v>-2137.5</v>
      </c>
      <c r="R23" s="88">
        <f>SUMIF(현금흐름!$E$35:$GF$35,펀드!R$6,현금흐름!$E53:$GF53)</f>
        <v>-2137.5</v>
      </c>
      <c r="S23" s="88">
        <f>SUMIF(현금흐름!$E$35:$GF$35,펀드!S$6,현금흐름!$E53:$GF53)</f>
        <v>-1603.125</v>
      </c>
      <c r="T23" s="100"/>
    </row>
    <row r="24" spans="2:20" x14ac:dyDescent="0.3">
      <c r="B24" s="525" t="s">
        <v>674</v>
      </c>
      <c r="C24" s="88">
        <f t="shared" si="4"/>
        <v>-1350</v>
      </c>
      <c r="D24" s="88">
        <f>SUMIF(현금흐름!$E$35:$GF$35,펀드!D$6,현금흐름!$E54:$GF54)</f>
        <v>0</v>
      </c>
      <c r="E24" s="88">
        <f>SUMIF(현금흐름!$E$35:$GF$35,펀드!E$6,현금흐름!$E54:$GF54)</f>
        <v>0</v>
      </c>
      <c r="F24" s="88">
        <f>SUMIF(현금흐름!$E$35:$GF$35,펀드!F$6,현금흐름!$E54:$GF54)</f>
        <v>0</v>
      </c>
      <c r="G24" s="88">
        <f>SUMIF(현금흐름!$E$35:$GF$35,펀드!G$6,현금흐름!$E54:$GF54)</f>
        <v>-28.125</v>
      </c>
      <c r="H24" s="88">
        <f>SUMIF(현금흐름!$E$35:$GF$35,펀드!H$6,현금흐름!$E54:$GF54)</f>
        <v>-112.5</v>
      </c>
      <c r="I24" s="88">
        <f>SUMIF(현금흐름!$E$35:$GF$35,펀드!I$6,현금흐름!$E54:$GF54)</f>
        <v>-112.5</v>
      </c>
      <c r="J24" s="88">
        <f>SUMIF(현금흐름!$E$35:$GF$35,펀드!J$6,현금흐름!$E54:$GF54)</f>
        <v>-112.5</v>
      </c>
      <c r="K24" s="88">
        <f>SUMIF(현금흐름!$E$35:$GF$35,펀드!K$6,현금흐름!$E54:$GF54)</f>
        <v>-112.5</v>
      </c>
      <c r="L24" s="88">
        <f>SUMIF(현금흐름!$E$35:$GF$35,펀드!L$6,현금흐름!$E54:$GF54)</f>
        <v>-112.5</v>
      </c>
      <c r="M24" s="88">
        <f>SUMIF(현금흐름!$E$35:$GF$35,펀드!M$6,현금흐름!$E54:$GF54)</f>
        <v>-112.5</v>
      </c>
      <c r="N24" s="88">
        <f>SUMIF(현금흐름!$E$35:$GF$35,펀드!N$6,현금흐름!$E54:$GF54)</f>
        <v>-112.5</v>
      </c>
      <c r="O24" s="88">
        <f>SUMIF(현금흐름!$E$35:$GF$35,펀드!O$6,현금흐름!$E54:$GF54)</f>
        <v>-112.5</v>
      </c>
      <c r="P24" s="88">
        <f>SUMIF(현금흐름!$E$35:$GF$35,펀드!P$6,현금흐름!$E54:$GF54)</f>
        <v>-112.5</v>
      </c>
      <c r="Q24" s="88">
        <f>SUMIF(현금흐름!$E$35:$GF$35,펀드!Q$6,현금흐름!$E54:$GF54)</f>
        <v>-112.5</v>
      </c>
      <c r="R24" s="88">
        <f>SUMIF(현금흐름!$E$35:$GF$35,펀드!R$6,현금흐름!$E54:$GF54)</f>
        <v>-112.5</v>
      </c>
      <c r="S24" s="88">
        <f>SUMIF(현금흐름!$E$35:$GF$35,펀드!S$6,현금흐름!$E54:$GF54)</f>
        <v>-84.375</v>
      </c>
      <c r="T24" s="100"/>
    </row>
    <row r="25" spans="2:20" x14ac:dyDescent="0.3">
      <c r="B25" s="68" t="s">
        <v>99</v>
      </c>
      <c r="C25" s="469">
        <f t="shared" ref="C25:S25" si="8">C8+C15</f>
        <v>0</v>
      </c>
      <c r="D25" s="470">
        <f t="shared" si="8"/>
        <v>0</v>
      </c>
      <c r="E25" s="470">
        <f t="shared" si="8"/>
        <v>0</v>
      </c>
      <c r="F25" s="470">
        <f t="shared" si="8"/>
        <v>0</v>
      </c>
      <c r="G25" s="470">
        <f t="shared" si="8"/>
        <v>0</v>
      </c>
      <c r="H25" s="470">
        <f t="shared" si="8"/>
        <v>0</v>
      </c>
      <c r="I25" s="470">
        <f t="shared" si="8"/>
        <v>0</v>
      </c>
      <c r="J25" s="470">
        <f t="shared" si="8"/>
        <v>0</v>
      </c>
      <c r="K25" s="470">
        <f t="shared" si="8"/>
        <v>0</v>
      </c>
      <c r="L25" s="470">
        <f t="shared" si="8"/>
        <v>0</v>
      </c>
      <c r="M25" s="470">
        <f t="shared" si="8"/>
        <v>0</v>
      </c>
      <c r="N25" s="470">
        <f t="shared" si="8"/>
        <v>0</v>
      </c>
      <c r="O25" s="470">
        <f t="shared" si="8"/>
        <v>0</v>
      </c>
      <c r="P25" s="470">
        <f t="shared" si="8"/>
        <v>0</v>
      </c>
      <c r="Q25" s="470">
        <f t="shared" si="8"/>
        <v>0</v>
      </c>
      <c r="R25" s="470">
        <f t="shared" si="8"/>
        <v>0</v>
      </c>
      <c r="S25" s="470">
        <f t="shared" si="8"/>
        <v>0</v>
      </c>
      <c r="T25" s="73"/>
    </row>
    <row r="26" spans="2:20" x14ac:dyDescent="0.3">
      <c r="B26" s="471" t="s">
        <v>100</v>
      </c>
      <c r="C26" s="69">
        <v>0</v>
      </c>
      <c r="D26" s="69">
        <v>0</v>
      </c>
      <c r="E26" s="69">
        <f>D27</f>
        <v>0</v>
      </c>
      <c r="F26" s="69">
        <f t="shared" ref="F26:S26" si="9">E27</f>
        <v>0</v>
      </c>
      <c r="G26" s="69">
        <f t="shared" si="9"/>
        <v>0</v>
      </c>
      <c r="H26" s="69">
        <f t="shared" si="9"/>
        <v>0</v>
      </c>
      <c r="I26" s="69">
        <f t="shared" si="9"/>
        <v>0</v>
      </c>
      <c r="J26" s="69">
        <f t="shared" si="9"/>
        <v>0</v>
      </c>
      <c r="K26" s="69">
        <f t="shared" si="9"/>
        <v>0</v>
      </c>
      <c r="L26" s="69">
        <f t="shared" si="9"/>
        <v>0</v>
      </c>
      <c r="M26" s="69">
        <f t="shared" si="9"/>
        <v>0</v>
      </c>
      <c r="N26" s="69">
        <f t="shared" si="9"/>
        <v>0</v>
      </c>
      <c r="O26" s="69">
        <f t="shared" si="9"/>
        <v>0</v>
      </c>
      <c r="P26" s="69">
        <f t="shared" si="9"/>
        <v>0</v>
      </c>
      <c r="Q26" s="69">
        <f t="shared" si="9"/>
        <v>0</v>
      </c>
      <c r="R26" s="69">
        <f t="shared" si="9"/>
        <v>0</v>
      </c>
      <c r="S26" s="69">
        <f t="shared" si="9"/>
        <v>0</v>
      </c>
      <c r="T26" s="117"/>
    </row>
    <row r="27" spans="2:20" x14ac:dyDescent="0.3">
      <c r="B27" s="471" t="s">
        <v>101</v>
      </c>
      <c r="C27" s="69">
        <f>C25+C26</f>
        <v>0</v>
      </c>
      <c r="D27" s="69">
        <f>D25+D26</f>
        <v>0</v>
      </c>
      <c r="E27" s="69">
        <f>E25+E26</f>
        <v>0</v>
      </c>
      <c r="F27" s="69">
        <f t="shared" ref="F27:S27" si="10">F25+F26</f>
        <v>0</v>
      </c>
      <c r="G27" s="69">
        <f t="shared" si="10"/>
        <v>0</v>
      </c>
      <c r="H27" s="69">
        <f t="shared" si="10"/>
        <v>0</v>
      </c>
      <c r="I27" s="69">
        <f t="shared" si="10"/>
        <v>0</v>
      </c>
      <c r="J27" s="69">
        <f t="shared" si="10"/>
        <v>0</v>
      </c>
      <c r="K27" s="69">
        <f t="shared" si="10"/>
        <v>0</v>
      </c>
      <c r="L27" s="69">
        <f t="shared" si="10"/>
        <v>0</v>
      </c>
      <c r="M27" s="69">
        <f t="shared" si="10"/>
        <v>0</v>
      </c>
      <c r="N27" s="69">
        <f t="shared" si="10"/>
        <v>0</v>
      </c>
      <c r="O27" s="69">
        <f t="shared" si="10"/>
        <v>0</v>
      </c>
      <c r="P27" s="69">
        <f t="shared" si="10"/>
        <v>0</v>
      </c>
      <c r="Q27" s="69">
        <f t="shared" si="10"/>
        <v>0</v>
      </c>
      <c r="R27" s="69">
        <f t="shared" si="10"/>
        <v>0</v>
      </c>
      <c r="S27" s="69">
        <f t="shared" si="10"/>
        <v>0</v>
      </c>
      <c r="T27" s="117"/>
    </row>
    <row r="28" spans="2:20" x14ac:dyDescent="0.3">
      <c r="B28" s="471" t="s">
        <v>717</v>
      </c>
      <c r="C28" s="69"/>
      <c r="D28" s="69">
        <f>D9+D22</f>
        <v>13000</v>
      </c>
      <c r="E28" s="69">
        <f t="shared" ref="E28:S28" si="11">D28+E9+E22</f>
        <v>27000</v>
      </c>
      <c r="F28" s="69">
        <f t="shared" si="11"/>
        <v>27000</v>
      </c>
      <c r="G28" s="69">
        <f t="shared" si="11"/>
        <v>26437.5</v>
      </c>
      <c r="H28" s="69">
        <f t="shared" si="11"/>
        <v>24187.5</v>
      </c>
      <c r="I28" s="69">
        <f t="shared" si="11"/>
        <v>21937.5</v>
      </c>
      <c r="J28" s="69">
        <f t="shared" si="11"/>
        <v>19687.5</v>
      </c>
      <c r="K28" s="69">
        <f t="shared" si="11"/>
        <v>17437.5</v>
      </c>
      <c r="L28" s="69">
        <f t="shared" si="11"/>
        <v>15187.5</v>
      </c>
      <c r="M28" s="69">
        <f t="shared" si="11"/>
        <v>12937.5</v>
      </c>
      <c r="N28" s="69">
        <f t="shared" si="11"/>
        <v>10687.5</v>
      </c>
      <c r="O28" s="69">
        <f t="shared" si="11"/>
        <v>8437.5</v>
      </c>
      <c r="P28" s="69">
        <f t="shared" si="11"/>
        <v>6187.5</v>
      </c>
      <c r="Q28" s="69">
        <f t="shared" si="11"/>
        <v>3937.5</v>
      </c>
      <c r="R28" s="69">
        <f t="shared" si="11"/>
        <v>1687.5</v>
      </c>
      <c r="S28" s="69">
        <f t="shared" si="11"/>
        <v>0</v>
      </c>
      <c r="T28" s="117"/>
    </row>
    <row r="29" spans="2:20" x14ac:dyDescent="0.3">
      <c r="D29" s="472"/>
      <c r="E29" s="472"/>
      <c r="F29" s="472"/>
      <c r="G29" s="472"/>
      <c r="H29" s="472"/>
      <c r="I29" s="472"/>
      <c r="J29" s="472"/>
      <c r="K29" s="472"/>
      <c r="L29" s="472"/>
      <c r="M29" s="472"/>
      <c r="N29" s="472"/>
      <c r="O29" s="472"/>
      <c r="P29" s="472"/>
      <c r="Q29" s="472"/>
      <c r="R29" s="472"/>
    </row>
    <row r="30" spans="2:20" x14ac:dyDescent="0.3">
      <c r="D30" s="472"/>
      <c r="E30" s="472"/>
      <c r="F30" s="472"/>
      <c r="G30" s="472"/>
      <c r="H30" s="472"/>
      <c r="I30" s="472"/>
      <c r="J30" s="472"/>
      <c r="K30" s="472"/>
      <c r="L30" s="472"/>
      <c r="M30" s="472"/>
      <c r="N30" s="472"/>
      <c r="O30" s="472"/>
      <c r="P30" s="472"/>
      <c r="Q30" s="472"/>
      <c r="R30" s="472"/>
    </row>
    <row r="33" spans="3:12" x14ac:dyDescent="0.3">
      <c r="C33" s="474"/>
      <c r="D33" s="53"/>
      <c r="E33" s="53"/>
      <c r="F33" s="53"/>
      <c r="G33" s="474"/>
      <c r="H33" s="53"/>
      <c r="I33" s="53"/>
      <c r="J33" s="53"/>
      <c r="K33" s="53"/>
      <c r="L33" s="474"/>
    </row>
  </sheetData>
  <mergeCells count="3">
    <mergeCell ref="T5:T6"/>
    <mergeCell ref="B5:B6"/>
    <mergeCell ref="C5:C6"/>
  </mergeCells>
  <phoneticPr fontId="5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2078-14DF-4617-9F07-51E3A87F63F0}">
  <dimension ref="B2:AU73"/>
  <sheetViews>
    <sheetView showGridLines="0" workbookViewId="0">
      <selection activeCell="I29" sqref="I29"/>
    </sheetView>
  </sheetViews>
  <sheetFormatPr defaultColWidth="8.875" defaultRowHeight="13.2" outlineLevelCol="1" x14ac:dyDescent="0.3"/>
  <cols>
    <col min="1" max="1" width="8.875" style="1"/>
    <col min="2" max="2" width="14.125" style="1" customWidth="1"/>
    <col min="3" max="7" width="8.875" style="1"/>
    <col min="8" max="8" width="12.125" style="1" customWidth="1"/>
    <col min="9" max="18" width="8.875" style="1"/>
    <col min="19" max="19" width="14" style="1" customWidth="1"/>
    <col min="20" max="20" width="9.125" style="1" bestFit="1" customWidth="1"/>
    <col min="21" max="30" width="8.875" style="1"/>
    <col min="31" max="40" width="11.25" style="1" bestFit="1" customWidth="1"/>
    <col min="41" max="46" width="11.25" style="1" bestFit="1" customWidth="1" outlineLevel="1"/>
    <col min="47" max="16384" width="8.875" style="1"/>
  </cols>
  <sheetData>
    <row r="2" spans="2:47" x14ac:dyDescent="0.3">
      <c r="B2" s="2" t="s">
        <v>129</v>
      </c>
      <c r="H2" s="2" t="s">
        <v>130</v>
      </c>
      <c r="M2" s="2" t="s">
        <v>135</v>
      </c>
    </row>
    <row r="3" spans="2:47" x14ac:dyDescent="0.3">
      <c r="F3" s="114" t="s">
        <v>128</v>
      </c>
      <c r="K3" s="114" t="s">
        <v>128</v>
      </c>
      <c r="P3" s="114" t="s">
        <v>128</v>
      </c>
      <c r="S3" s="611" t="s">
        <v>102</v>
      </c>
      <c r="T3" s="612" t="s">
        <v>107</v>
      </c>
      <c r="U3" s="59" t="s">
        <v>74</v>
      </c>
      <c r="V3" s="59" t="s">
        <v>87</v>
      </c>
      <c r="W3" s="612" t="s">
        <v>74</v>
      </c>
      <c r="X3" s="612"/>
      <c r="Y3" s="612"/>
      <c r="Z3" s="612"/>
      <c r="AA3" s="612" t="s">
        <v>87</v>
      </c>
      <c r="AB3" s="612"/>
      <c r="AC3" s="612"/>
      <c r="AD3" s="612"/>
      <c r="AE3" s="612"/>
      <c r="AF3" s="612"/>
      <c r="AG3" s="612"/>
      <c r="AH3" s="612"/>
      <c r="AI3" s="612"/>
      <c r="AJ3" s="612"/>
      <c r="AK3" s="612"/>
      <c r="AL3" s="612"/>
      <c r="AM3" s="612"/>
      <c r="AN3" s="612"/>
      <c r="AO3" s="612"/>
      <c r="AP3" s="612"/>
      <c r="AQ3" s="612"/>
      <c r="AR3" s="612"/>
      <c r="AS3" s="612"/>
      <c r="AT3" s="613"/>
    </row>
    <row r="4" spans="2:47" x14ac:dyDescent="0.3">
      <c r="B4" s="611" t="s">
        <v>102</v>
      </c>
      <c r="C4" s="612" t="s">
        <v>107</v>
      </c>
      <c r="D4" s="106" t="s">
        <v>74</v>
      </c>
      <c r="E4" s="107" t="s">
        <v>95</v>
      </c>
      <c r="F4" s="108" t="s">
        <v>96</v>
      </c>
      <c r="H4" s="611" t="s">
        <v>131</v>
      </c>
      <c r="I4" s="612"/>
      <c r="J4" s="612" t="s">
        <v>133</v>
      </c>
      <c r="K4" s="613"/>
      <c r="M4" s="58" t="s">
        <v>102</v>
      </c>
      <c r="N4" s="59" t="s">
        <v>132</v>
      </c>
      <c r="O4" s="59" t="s">
        <v>136</v>
      </c>
      <c r="P4" s="60" t="s">
        <v>137</v>
      </c>
      <c r="S4" s="611"/>
      <c r="T4" s="612"/>
      <c r="U4" s="612" t="s">
        <v>73</v>
      </c>
      <c r="V4" s="612" t="s">
        <v>73</v>
      </c>
      <c r="W4" s="61" t="s">
        <v>95</v>
      </c>
      <c r="X4" s="61" t="s">
        <v>95</v>
      </c>
      <c r="Y4" s="61" t="s">
        <v>95</v>
      </c>
      <c r="Z4" s="61" t="s">
        <v>95</v>
      </c>
      <c r="AA4" s="61" t="s">
        <v>95</v>
      </c>
      <c r="AB4" s="61" t="s">
        <v>95</v>
      </c>
      <c r="AC4" s="61" t="s">
        <v>95</v>
      </c>
      <c r="AD4" s="61" t="s">
        <v>95</v>
      </c>
      <c r="AE4" s="61" t="s">
        <v>95</v>
      </c>
      <c r="AF4" s="61" t="s">
        <v>95</v>
      </c>
      <c r="AG4" s="61" t="s">
        <v>95</v>
      </c>
      <c r="AH4" s="61" t="s">
        <v>95</v>
      </c>
      <c r="AI4" s="61" t="s">
        <v>96</v>
      </c>
      <c r="AJ4" s="61" t="s">
        <v>96</v>
      </c>
      <c r="AK4" s="61" t="s">
        <v>96</v>
      </c>
      <c r="AL4" s="61" t="s">
        <v>96</v>
      </c>
      <c r="AM4" s="61" t="s">
        <v>96</v>
      </c>
      <c r="AN4" s="61" t="s">
        <v>96</v>
      </c>
      <c r="AO4" s="61" t="s">
        <v>96</v>
      </c>
      <c r="AP4" s="61" t="s">
        <v>96</v>
      </c>
      <c r="AQ4" s="61" t="s">
        <v>96</v>
      </c>
      <c r="AR4" s="61" t="s">
        <v>96</v>
      </c>
      <c r="AS4" s="61" t="s">
        <v>96</v>
      </c>
      <c r="AT4" s="62" t="s">
        <v>96</v>
      </c>
    </row>
    <row r="5" spans="2:47" x14ac:dyDescent="0.3">
      <c r="B5" s="611"/>
      <c r="C5" s="612"/>
      <c r="D5" s="109" t="s">
        <v>121</v>
      </c>
      <c r="E5" s="109" t="s">
        <v>122</v>
      </c>
      <c r="F5" s="110" t="s">
        <v>594</v>
      </c>
      <c r="H5" s="58" t="s">
        <v>102</v>
      </c>
      <c r="I5" s="59" t="s">
        <v>132</v>
      </c>
      <c r="J5" s="59" t="s">
        <v>102</v>
      </c>
      <c r="K5" s="60" t="s">
        <v>132</v>
      </c>
      <c r="M5" s="76" t="str">
        <f>B11</f>
        <v>토지관련비용</v>
      </c>
      <c r="N5" s="77">
        <f>SUM(N6:N7)</f>
        <v>508.24427300000002</v>
      </c>
      <c r="O5" s="123">
        <f>N5/$N$19</f>
        <v>9.7236774047184376E-3</v>
      </c>
      <c r="P5" s="119"/>
      <c r="S5" s="611"/>
      <c r="T5" s="612"/>
      <c r="U5" s="612"/>
      <c r="V5" s="612"/>
      <c r="W5" s="63" t="s">
        <v>75</v>
      </c>
      <c r="X5" s="63" t="s">
        <v>76</v>
      </c>
      <c r="Y5" s="63" t="s">
        <v>77</v>
      </c>
      <c r="Z5" s="63" t="s">
        <v>78</v>
      </c>
      <c r="AA5" s="63" t="s">
        <v>79</v>
      </c>
      <c r="AB5" s="63" t="s">
        <v>80</v>
      </c>
      <c r="AC5" s="63" t="s">
        <v>81</v>
      </c>
      <c r="AD5" s="63" t="s">
        <v>82</v>
      </c>
      <c r="AE5" s="63" t="s">
        <v>83</v>
      </c>
      <c r="AF5" s="63" t="s">
        <v>84</v>
      </c>
      <c r="AG5" s="63" t="s">
        <v>85</v>
      </c>
      <c r="AH5" s="63" t="s">
        <v>86</v>
      </c>
      <c r="AI5" s="63" t="s">
        <v>75</v>
      </c>
      <c r="AJ5" s="63" t="s">
        <v>76</v>
      </c>
      <c r="AK5" s="63" t="s">
        <v>77</v>
      </c>
      <c r="AL5" s="63" t="s">
        <v>78</v>
      </c>
      <c r="AM5" s="63" t="s">
        <v>79</v>
      </c>
      <c r="AN5" s="63" t="s">
        <v>80</v>
      </c>
      <c r="AO5" s="63" t="s">
        <v>81</v>
      </c>
      <c r="AP5" s="63" t="s">
        <v>82</v>
      </c>
      <c r="AQ5" s="63" t="s">
        <v>83</v>
      </c>
      <c r="AR5" s="63" t="s">
        <v>84</v>
      </c>
      <c r="AS5" s="63" t="s">
        <v>85</v>
      </c>
      <c r="AT5" s="64" t="s">
        <v>86</v>
      </c>
    </row>
    <row r="6" spans="2:47" x14ac:dyDescent="0.3">
      <c r="B6" s="65" t="str">
        <f>S6</f>
        <v>현금유입</v>
      </c>
      <c r="C6" s="66">
        <f t="shared" ref="C6:D6" si="0">C7+C8</f>
        <v>53000</v>
      </c>
      <c r="D6" s="66">
        <f t="shared" si="0"/>
        <v>26000</v>
      </c>
      <c r="E6" s="66">
        <f t="shared" ref="E6" si="1">E7+E8</f>
        <v>13000</v>
      </c>
      <c r="F6" s="67">
        <f t="shared" ref="F6" si="2">F7+F8</f>
        <v>14000</v>
      </c>
      <c r="H6" s="115" t="str">
        <f>B11</f>
        <v>토지관련비용</v>
      </c>
      <c r="I6" s="69">
        <f>-C11</f>
        <v>508.24427300000002</v>
      </c>
      <c r="J6" s="116" t="s">
        <v>105</v>
      </c>
      <c r="K6" s="73">
        <f>C7</f>
        <v>26000</v>
      </c>
      <c r="M6" s="83" t="str">
        <f t="shared" ref="M6:M18" si="3">B12</f>
        <v>임차료</v>
      </c>
      <c r="N6" s="84">
        <f>-C12</f>
        <v>451.61566800000003</v>
      </c>
      <c r="O6" s="126">
        <f t="shared" ref="O6:O19" si="4">N6/$N$19</f>
        <v>8.640264730633616E-3</v>
      </c>
      <c r="P6" s="127"/>
      <c r="S6" s="65" t="s">
        <v>103</v>
      </c>
      <c r="T6" s="66">
        <f t="shared" ref="T6:V6" si="5">T7+T8</f>
        <v>53000</v>
      </c>
      <c r="U6" s="66">
        <f t="shared" si="5"/>
        <v>26000</v>
      </c>
      <c r="V6" s="66">
        <f t="shared" si="5"/>
        <v>27000</v>
      </c>
      <c r="W6" s="66">
        <f>W7+W8</f>
        <v>11000</v>
      </c>
      <c r="X6" s="66">
        <f t="shared" ref="X6:AT6" si="6">X7+X8</f>
        <v>0</v>
      </c>
      <c r="Y6" s="66">
        <f t="shared" si="6"/>
        <v>0</v>
      </c>
      <c r="Z6" s="66">
        <f t="shared" si="6"/>
        <v>15000</v>
      </c>
      <c r="AA6" s="66">
        <f t="shared" si="6"/>
        <v>0</v>
      </c>
      <c r="AB6" s="66">
        <f t="shared" si="6"/>
        <v>0</v>
      </c>
      <c r="AC6" s="66">
        <f t="shared" si="6"/>
        <v>0</v>
      </c>
      <c r="AD6" s="66">
        <f t="shared" si="6"/>
        <v>0</v>
      </c>
      <c r="AE6" s="66">
        <f t="shared" si="6"/>
        <v>13000</v>
      </c>
      <c r="AF6" s="66">
        <f t="shared" si="6"/>
        <v>0</v>
      </c>
      <c r="AG6" s="66">
        <f t="shared" si="6"/>
        <v>0</v>
      </c>
      <c r="AH6" s="66">
        <f t="shared" si="6"/>
        <v>0</v>
      </c>
      <c r="AI6" s="66">
        <f t="shared" si="6"/>
        <v>12000</v>
      </c>
      <c r="AJ6" s="66">
        <f t="shared" si="6"/>
        <v>0</v>
      </c>
      <c r="AK6" s="66">
        <f t="shared" si="6"/>
        <v>0</v>
      </c>
      <c r="AL6" s="66">
        <f t="shared" si="6"/>
        <v>0</v>
      </c>
      <c r="AM6" s="66">
        <f t="shared" si="6"/>
        <v>0</v>
      </c>
      <c r="AN6" s="66">
        <f t="shared" si="6"/>
        <v>2000</v>
      </c>
      <c r="AO6" s="66">
        <f t="shared" si="6"/>
        <v>0</v>
      </c>
      <c r="AP6" s="66">
        <f t="shared" si="6"/>
        <v>0</v>
      </c>
      <c r="AQ6" s="66">
        <f t="shared" si="6"/>
        <v>0</v>
      </c>
      <c r="AR6" s="66">
        <f t="shared" si="6"/>
        <v>0</v>
      </c>
      <c r="AS6" s="66">
        <f t="shared" si="6"/>
        <v>0</v>
      </c>
      <c r="AT6" s="67">
        <f t="shared" si="6"/>
        <v>0</v>
      </c>
      <c r="AU6" s="53"/>
    </row>
    <row r="7" spans="2:47" x14ac:dyDescent="0.3">
      <c r="B7" s="68" t="str">
        <f t="shared" ref="B7:B27" si="7">S7</f>
        <v>자기자본</v>
      </c>
      <c r="C7" s="69">
        <f>SUM(D7:F7)</f>
        <v>26000</v>
      </c>
      <c r="D7" s="69">
        <f>U7</f>
        <v>26000</v>
      </c>
      <c r="E7" s="69">
        <f>SUMIF($AA$4:$AT$4,E$4,$AA7:$AT7)</f>
        <v>0</v>
      </c>
      <c r="F7" s="73">
        <f>SUMIF($AA$4:$AT$4,F$4,$AA7:$AT7)</f>
        <v>0</v>
      </c>
      <c r="H7" s="68" t="str">
        <f>B14</f>
        <v>도급공사비</v>
      </c>
      <c r="I7" s="69">
        <f>-C14</f>
        <v>48730</v>
      </c>
      <c r="J7" s="116" t="s">
        <v>106</v>
      </c>
      <c r="K7" s="73">
        <f>C8</f>
        <v>27000</v>
      </c>
      <c r="M7" s="79" t="str">
        <f t="shared" si="3"/>
        <v>관리비</v>
      </c>
      <c r="N7" s="80">
        <f>-C13</f>
        <v>56.628605</v>
      </c>
      <c r="O7" s="124">
        <f t="shared" si="4"/>
        <v>1.0834126740848205E-3</v>
      </c>
      <c r="P7" s="125"/>
      <c r="S7" s="68" t="s">
        <v>105</v>
      </c>
      <c r="T7" s="69">
        <f>U7+V7</f>
        <v>26000</v>
      </c>
      <c r="U7" s="69">
        <f>SUM(W7:Z7)</f>
        <v>26000</v>
      </c>
      <c r="V7" s="69">
        <f>SUM(AA7:AT7)</f>
        <v>0</v>
      </c>
      <c r="W7" s="70">
        <f>'수정본 (7)'!L34</f>
        <v>11000</v>
      </c>
      <c r="X7" s="70">
        <f>'수정본 (7)'!M34</f>
        <v>0</v>
      </c>
      <c r="Y7" s="70">
        <f>'수정본 (7)'!N34</f>
        <v>0</v>
      </c>
      <c r="Z7" s="70">
        <f>'수정본 (7)'!O34</f>
        <v>15000</v>
      </c>
      <c r="AA7" s="70">
        <f>'수정본 (7)'!P34</f>
        <v>0</v>
      </c>
      <c r="AB7" s="70">
        <f>'수정본 (7)'!Q34</f>
        <v>0</v>
      </c>
      <c r="AC7" s="70">
        <f>'수정본 (7)'!R34</f>
        <v>0</v>
      </c>
      <c r="AD7" s="70">
        <f>'수정본 (7)'!S34</f>
        <v>0</v>
      </c>
      <c r="AE7" s="70">
        <f>'수정본 (7)'!T34</f>
        <v>0</v>
      </c>
      <c r="AF7" s="70">
        <f>'수정본 (7)'!U34</f>
        <v>0</v>
      </c>
      <c r="AG7" s="70">
        <f>'수정본 (7)'!V34</f>
        <v>0</v>
      </c>
      <c r="AH7" s="70">
        <f>'수정본 (7)'!W34</f>
        <v>0</v>
      </c>
      <c r="AI7" s="70">
        <f>'수정본 (7)'!X34</f>
        <v>0</v>
      </c>
      <c r="AJ7" s="70">
        <f>'수정본 (7)'!Y34</f>
        <v>0</v>
      </c>
      <c r="AK7" s="70">
        <f>'수정본 (7)'!Z34</f>
        <v>0</v>
      </c>
      <c r="AL7" s="70">
        <f>'수정본 (7)'!AA34</f>
        <v>0</v>
      </c>
      <c r="AM7" s="70">
        <f>'수정본 (7)'!AB34</f>
        <v>0</v>
      </c>
      <c r="AN7" s="70">
        <f>'수정본 (7)'!AC34</f>
        <v>0</v>
      </c>
      <c r="AO7" s="70"/>
      <c r="AP7" s="70"/>
      <c r="AQ7" s="70"/>
      <c r="AR7" s="70"/>
      <c r="AS7" s="70"/>
      <c r="AT7" s="71"/>
      <c r="AU7" s="53"/>
    </row>
    <row r="8" spans="2:47" x14ac:dyDescent="0.3">
      <c r="B8" s="68" t="str">
        <f t="shared" si="7"/>
        <v>본건차입금</v>
      </c>
      <c r="C8" s="69">
        <f>SUM(D8:F8)</f>
        <v>27000</v>
      </c>
      <c r="D8" s="69">
        <f t="shared" ref="D8" si="8">U8</f>
        <v>0</v>
      </c>
      <c r="E8" s="69">
        <f>SUMIF($AA$4:$AT$4,E$4,$AA8:$AT8)</f>
        <v>13000</v>
      </c>
      <c r="F8" s="73">
        <f>SUMIF($AA$4:$AT$4,F$4,$AA8:$AT8)</f>
        <v>14000</v>
      </c>
      <c r="H8" s="68" t="str">
        <f>B15</f>
        <v>간접공사비</v>
      </c>
      <c r="I8" s="69">
        <f>-C15</f>
        <v>653.4</v>
      </c>
      <c r="J8" s="118"/>
      <c r="K8" s="119"/>
      <c r="M8" s="72" t="str">
        <f t="shared" si="3"/>
        <v>도급공사비</v>
      </c>
      <c r="N8" s="69">
        <f>-C14</f>
        <v>48730</v>
      </c>
      <c r="O8" s="122">
        <f t="shared" si="4"/>
        <v>0.93229737176385141</v>
      </c>
      <c r="P8" s="355">
        <f>N8/index!$E$26*100</f>
        <v>285.09011629541357</v>
      </c>
      <c r="S8" s="68" t="s">
        <v>106</v>
      </c>
      <c r="T8" s="69">
        <f>U8+V8</f>
        <v>27000</v>
      </c>
      <c r="U8" s="69">
        <f>SUM(W8:Z8)</f>
        <v>0</v>
      </c>
      <c r="V8" s="69">
        <f>SUM(AA8:AT8)</f>
        <v>27000</v>
      </c>
      <c r="W8" s="69">
        <f>W36</f>
        <v>0</v>
      </c>
      <c r="X8" s="69">
        <f t="shared" ref="X8:AT8" si="9">X36</f>
        <v>0</v>
      </c>
      <c r="Y8" s="69">
        <f t="shared" si="9"/>
        <v>0</v>
      </c>
      <c r="Z8" s="69">
        <f t="shared" si="9"/>
        <v>0</v>
      </c>
      <c r="AA8" s="69">
        <f t="shared" si="9"/>
        <v>0</v>
      </c>
      <c r="AB8" s="69">
        <f t="shared" si="9"/>
        <v>0</v>
      </c>
      <c r="AC8" s="69">
        <f t="shared" si="9"/>
        <v>0</v>
      </c>
      <c r="AD8" s="69">
        <f t="shared" si="9"/>
        <v>0</v>
      </c>
      <c r="AE8" s="69">
        <f t="shared" si="9"/>
        <v>13000</v>
      </c>
      <c r="AF8" s="69">
        <f t="shared" si="9"/>
        <v>0</v>
      </c>
      <c r="AG8" s="69">
        <f t="shared" si="9"/>
        <v>0</v>
      </c>
      <c r="AH8" s="69">
        <f t="shared" si="9"/>
        <v>0</v>
      </c>
      <c r="AI8" s="69">
        <f t="shared" si="9"/>
        <v>12000</v>
      </c>
      <c r="AJ8" s="69">
        <f t="shared" si="9"/>
        <v>0</v>
      </c>
      <c r="AK8" s="69">
        <f t="shared" si="9"/>
        <v>0</v>
      </c>
      <c r="AL8" s="69">
        <f t="shared" si="9"/>
        <v>0</v>
      </c>
      <c r="AM8" s="69">
        <f t="shared" si="9"/>
        <v>0</v>
      </c>
      <c r="AN8" s="69">
        <f t="shared" si="9"/>
        <v>2000</v>
      </c>
      <c r="AO8" s="69">
        <f t="shared" si="9"/>
        <v>0</v>
      </c>
      <c r="AP8" s="69">
        <f t="shared" si="9"/>
        <v>0</v>
      </c>
      <c r="AQ8" s="69">
        <f t="shared" si="9"/>
        <v>0</v>
      </c>
      <c r="AR8" s="69">
        <f t="shared" si="9"/>
        <v>0</v>
      </c>
      <c r="AS8" s="69">
        <f t="shared" si="9"/>
        <v>0</v>
      </c>
      <c r="AT8" s="73">
        <f t="shared" si="9"/>
        <v>0</v>
      </c>
      <c r="AU8" s="53"/>
    </row>
    <row r="9" spans="2:47" x14ac:dyDescent="0.3">
      <c r="B9" s="65" t="str">
        <f t="shared" si="7"/>
        <v>현금유출</v>
      </c>
      <c r="C9" s="66">
        <f t="shared" ref="C9:D9" si="10">C10</f>
        <v>-52268.730424291258</v>
      </c>
      <c r="D9" s="66">
        <f t="shared" si="10"/>
        <v>-10079.837013999999</v>
      </c>
      <c r="E9" s="66">
        <f t="shared" ref="E9" si="11">E10</f>
        <v>-28102.493092602741</v>
      </c>
      <c r="F9" s="67">
        <f t="shared" ref="F9" si="12">F10</f>
        <v>-14086.400317688525</v>
      </c>
      <c r="H9" s="115" t="str">
        <f>B18</f>
        <v>기타경비</v>
      </c>
      <c r="I9" s="69">
        <f>-C18</f>
        <v>2175.6999999999998</v>
      </c>
      <c r="J9" s="120"/>
      <c r="K9" s="121"/>
      <c r="M9" s="76" t="str">
        <f t="shared" si="3"/>
        <v>간접공사비</v>
      </c>
      <c r="N9" s="77">
        <f>SUM(N10:N11)</f>
        <v>653.4</v>
      </c>
      <c r="O9" s="123">
        <f t="shared" si="4"/>
        <v>1.2500781914847128E-2</v>
      </c>
      <c r="P9" s="119"/>
      <c r="S9" s="65" t="s">
        <v>104</v>
      </c>
      <c r="T9" s="66">
        <f>T10</f>
        <v>-52268.730424291258</v>
      </c>
      <c r="U9" s="66">
        <f t="shared" ref="U9:AT9" si="13">U10</f>
        <v>-10079.837013999999</v>
      </c>
      <c r="V9" s="66">
        <f t="shared" si="13"/>
        <v>-42188.893410291261</v>
      </c>
      <c r="W9" s="66">
        <f t="shared" si="13"/>
        <v>-4873</v>
      </c>
      <c r="X9" s="66">
        <f t="shared" si="13"/>
        <v>0</v>
      </c>
      <c r="Y9" s="66">
        <f t="shared" si="13"/>
        <v>-208.81915400000003</v>
      </c>
      <c r="Z9" s="66">
        <f t="shared" si="13"/>
        <v>-4998.0178599999999</v>
      </c>
      <c r="AA9" s="66">
        <f t="shared" si="13"/>
        <v>-4109</v>
      </c>
      <c r="AB9" s="66">
        <f t="shared" si="13"/>
        <v>-286</v>
      </c>
      <c r="AC9" s="66">
        <f t="shared" si="13"/>
        <v>-5032.1178600000003</v>
      </c>
      <c r="AD9" s="66">
        <f t="shared" si="13"/>
        <v>-4468.5</v>
      </c>
      <c r="AE9" s="66">
        <f t="shared" si="13"/>
        <v>-5021.5</v>
      </c>
      <c r="AF9" s="66">
        <f t="shared" si="13"/>
        <v>-4973.8178600000001</v>
      </c>
      <c r="AG9" s="66">
        <f t="shared" si="13"/>
        <v>-4025.5</v>
      </c>
      <c r="AH9" s="66">
        <f t="shared" si="13"/>
        <v>-186.05737260273972</v>
      </c>
      <c r="AI9" s="66">
        <f t="shared" si="13"/>
        <v>-11813.453679</v>
      </c>
      <c r="AJ9" s="66">
        <f t="shared" si="13"/>
        <v>847.5</v>
      </c>
      <c r="AK9" s="66">
        <f t="shared" si="13"/>
        <v>-310.73014480874315</v>
      </c>
      <c r="AL9" s="66">
        <f t="shared" si="13"/>
        <v>-10.61786</v>
      </c>
      <c r="AM9" s="66">
        <f t="shared" si="13"/>
        <v>886</v>
      </c>
      <c r="AN9" s="66">
        <f t="shared" si="13"/>
        <v>-3685.0986338797816</v>
      </c>
      <c r="AO9" s="66">
        <f t="shared" si="13"/>
        <v>0</v>
      </c>
      <c r="AP9" s="66">
        <f t="shared" si="13"/>
        <v>0</v>
      </c>
      <c r="AQ9" s="66">
        <f t="shared" si="13"/>
        <v>0</v>
      </c>
      <c r="AR9" s="66">
        <f t="shared" si="13"/>
        <v>0</v>
      </c>
      <c r="AS9" s="66">
        <f t="shared" si="13"/>
        <v>0</v>
      </c>
      <c r="AT9" s="67">
        <f t="shared" si="13"/>
        <v>0</v>
      </c>
      <c r="AU9" s="53"/>
    </row>
    <row r="10" spans="2:47" x14ac:dyDescent="0.3">
      <c r="B10" s="72" t="str">
        <f t="shared" si="7"/>
        <v>총사업비</v>
      </c>
      <c r="C10" s="69">
        <f t="shared" ref="C10:F10" si="14">C11+C14+C15+C18+C22+C23+C24</f>
        <v>-52268.730424291258</v>
      </c>
      <c r="D10" s="69">
        <f t="shared" si="14"/>
        <v>-10079.837013999999</v>
      </c>
      <c r="E10" s="69">
        <f t="shared" si="14"/>
        <v>-28102.493092602741</v>
      </c>
      <c r="F10" s="73">
        <f t="shared" si="14"/>
        <v>-14086.400317688525</v>
      </c>
      <c r="H10" s="115" t="str">
        <f>B22</f>
        <v>금융비용</v>
      </c>
      <c r="I10" s="69">
        <f>-C22</f>
        <v>667.38615129126435</v>
      </c>
      <c r="J10" s="120"/>
      <c r="K10" s="121"/>
      <c r="M10" s="83" t="str">
        <f t="shared" si="3"/>
        <v>감리비</v>
      </c>
      <c r="N10" s="84">
        <f t="shared" ref="N10:N11" si="15">-C16</f>
        <v>576.4</v>
      </c>
      <c r="O10" s="126">
        <f t="shared" si="4"/>
        <v>1.102762579693585E-2</v>
      </c>
      <c r="P10" s="356">
        <f>N10/index!$E$26*100</f>
        <v>3.3721720302211446</v>
      </c>
      <c r="S10" s="72" t="s">
        <v>15</v>
      </c>
      <c r="T10" s="69">
        <f>T11+T14+T15+T18+T22+T23+T24</f>
        <v>-52268.730424291258</v>
      </c>
      <c r="U10" s="69">
        <f t="shared" ref="U10:AT10" si="16">U11+U14+U15+U18+U22+U23+U24</f>
        <v>-10079.837013999999</v>
      </c>
      <c r="V10" s="69">
        <f t="shared" si="16"/>
        <v>-42188.893410291261</v>
      </c>
      <c r="W10" s="69">
        <f t="shared" si="16"/>
        <v>-4873</v>
      </c>
      <c r="X10" s="69">
        <f t="shared" si="16"/>
        <v>0</v>
      </c>
      <c r="Y10" s="69">
        <f t="shared" si="16"/>
        <v>-208.81915400000003</v>
      </c>
      <c r="Z10" s="69">
        <f t="shared" si="16"/>
        <v>-4998.0178599999999</v>
      </c>
      <c r="AA10" s="69">
        <f t="shared" si="16"/>
        <v>-4109</v>
      </c>
      <c r="AB10" s="69">
        <f t="shared" si="16"/>
        <v>-286</v>
      </c>
      <c r="AC10" s="69">
        <f t="shared" si="16"/>
        <v>-5032.1178600000003</v>
      </c>
      <c r="AD10" s="69">
        <f t="shared" si="16"/>
        <v>-4468.5</v>
      </c>
      <c r="AE10" s="69">
        <f t="shared" si="16"/>
        <v>-5021.5</v>
      </c>
      <c r="AF10" s="69">
        <f t="shared" si="16"/>
        <v>-4973.8178600000001</v>
      </c>
      <c r="AG10" s="69">
        <f t="shared" si="16"/>
        <v>-4025.5</v>
      </c>
      <c r="AH10" s="69">
        <f t="shared" si="16"/>
        <v>-186.05737260273972</v>
      </c>
      <c r="AI10" s="69">
        <f t="shared" si="16"/>
        <v>-11813.453679</v>
      </c>
      <c r="AJ10" s="69">
        <f t="shared" si="16"/>
        <v>847.5</v>
      </c>
      <c r="AK10" s="69">
        <f t="shared" si="16"/>
        <v>-310.73014480874315</v>
      </c>
      <c r="AL10" s="69">
        <f t="shared" si="16"/>
        <v>-10.61786</v>
      </c>
      <c r="AM10" s="69">
        <f t="shared" si="16"/>
        <v>886</v>
      </c>
      <c r="AN10" s="69">
        <f t="shared" si="16"/>
        <v>-3685.0986338797816</v>
      </c>
      <c r="AO10" s="69">
        <f t="shared" si="16"/>
        <v>0</v>
      </c>
      <c r="AP10" s="69">
        <f t="shared" si="16"/>
        <v>0</v>
      </c>
      <c r="AQ10" s="69">
        <f t="shared" si="16"/>
        <v>0</v>
      </c>
      <c r="AR10" s="69">
        <f t="shared" si="16"/>
        <v>0</v>
      </c>
      <c r="AS10" s="69">
        <f t="shared" si="16"/>
        <v>0</v>
      </c>
      <c r="AT10" s="73">
        <f t="shared" si="16"/>
        <v>0</v>
      </c>
      <c r="AU10" s="53"/>
    </row>
    <row r="11" spans="2:47" x14ac:dyDescent="0.3">
      <c r="B11" s="76" t="str">
        <f t="shared" si="7"/>
        <v>토지관련비용</v>
      </c>
      <c r="C11" s="77">
        <f t="shared" ref="C11:F11" si="17">C12+C13</f>
        <v>-508.24427300000002</v>
      </c>
      <c r="D11" s="77">
        <f t="shared" si="17"/>
        <v>-219.437014</v>
      </c>
      <c r="E11" s="77">
        <f t="shared" si="17"/>
        <v>-21.235720000000001</v>
      </c>
      <c r="F11" s="78">
        <f t="shared" si="17"/>
        <v>-267.57153899999997</v>
      </c>
      <c r="H11" s="115" t="str">
        <f>B23</f>
        <v>태양광설치</v>
      </c>
      <c r="I11" s="69">
        <f t="shared" ref="I11:I12" si="18">-C23</f>
        <v>3399</v>
      </c>
      <c r="J11" s="120"/>
      <c r="K11" s="121"/>
      <c r="M11" s="79" t="str">
        <f t="shared" si="3"/>
        <v>게이트설치</v>
      </c>
      <c r="N11" s="80">
        <f t="shared" si="15"/>
        <v>77</v>
      </c>
      <c r="O11" s="124">
        <f t="shared" si="4"/>
        <v>1.4731561179112777E-3</v>
      </c>
      <c r="P11" s="125"/>
      <c r="S11" s="76" t="s">
        <v>89</v>
      </c>
      <c r="T11" s="77">
        <f>T12+T13</f>
        <v>-508.24427300000002</v>
      </c>
      <c r="U11" s="77">
        <f t="shared" ref="U11:AT11" si="19">U12+U13</f>
        <v>-219.437014</v>
      </c>
      <c r="V11" s="77">
        <f t="shared" si="19"/>
        <v>-288.80725899999999</v>
      </c>
      <c r="W11" s="77">
        <f t="shared" si="19"/>
        <v>0</v>
      </c>
      <c r="X11" s="77">
        <f t="shared" si="19"/>
        <v>0</v>
      </c>
      <c r="Y11" s="77">
        <f t="shared" si="19"/>
        <v>-208.81915400000003</v>
      </c>
      <c r="Z11" s="77">
        <f t="shared" si="19"/>
        <v>-10.61786</v>
      </c>
      <c r="AA11" s="77">
        <f t="shared" si="19"/>
        <v>0</v>
      </c>
      <c r="AB11" s="77">
        <f t="shared" si="19"/>
        <v>0</v>
      </c>
      <c r="AC11" s="77">
        <f t="shared" si="19"/>
        <v>-10.61786</v>
      </c>
      <c r="AD11" s="77">
        <f t="shared" si="19"/>
        <v>0</v>
      </c>
      <c r="AE11" s="77">
        <f t="shared" si="19"/>
        <v>0</v>
      </c>
      <c r="AF11" s="77">
        <f t="shared" si="19"/>
        <v>-10.61786</v>
      </c>
      <c r="AG11" s="77">
        <f t="shared" si="19"/>
        <v>0</v>
      </c>
      <c r="AH11" s="77">
        <f t="shared" si="19"/>
        <v>0</v>
      </c>
      <c r="AI11" s="77">
        <f t="shared" si="19"/>
        <v>-256.95367899999997</v>
      </c>
      <c r="AJ11" s="77">
        <f t="shared" si="19"/>
        <v>0</v>
      </c>
      <c r="AK11" s="77">
        <f t="shared" si="19"/>
        <v>0</v>
      </c>
      <c r="AL11" s="77">
        <f t="shared" si="19"/>
        <v>-10.61786</v>
      </c>
      <c r="AM11" s="77">
        <f t="shared" si="19"/>
        <v>0</v>
      </c>
      <c r="AN11" s="77">
        <f t="shared" si="19"/>
        <v>0</v>
      </c>
      <c r="AO11" s="77">
        <f t="shared" si="19"/>
        <v>0</v>
      </c>
      <c r="AP11" s="77">
        <f t="shared" si="19"/>
        <v>0</v>
      </c>
      <c r="AQ11" s="77">
        <f t="shared" si="19"/>
        <v>0</v>
      </c>
      <c r="AR11" s="77">
        <f t="shared" si="19"/>
        <v>0</v>
      </c>
      <c r="AS11" s="77">
        <f t="shared" si="19"/>
        <v>0</v>
      </c>
      <c r="AT11" s="78">
        <f t="shared" si="19"/>
        <v>0</v>
      </c>
      <c r="AU11" s="53"/>
    </row>
    <row r="12" spans="2:47" x14ac:dyDescent="0.3">
      <c r="B12" s="83" t="str">
        <f t="shared" si="7"/>
        <v>임차료</v>
      </c>
      <c r="C12" s="84">
        <f t="shared" ref="C12:C14" si="20">SUM(D12:F12)</f>
        <v>-451.61566800000003</v>
      </c>
      <c r="D12" s="84">
        <f t="shared" ref="D12:D13" si="21">U12</f>
        <v>-205.27984900000001</v>
      </c>
      <c r="E12" s="84">
        <f t="shared" ref="E12:F14" si="22">SUMIF($AA$4:$AT$4,E$4,$AA12:$AT12)</f>
        <v>0</v>
      </c>
      <c r="F12" s="102">
        <f t="shared" si="22"/>
        <v>-246.33581899999999</v>
      </c>
      <c r="H12" s="68" t="str">
        <f>B24</f>
        <v>부가세환급</v>
      </c>
      <c r="I12" s="69">
        <f t="shared" si="18"/>
        <v>-3865</v>
      </c>
      <c r="J12" s="120"/>
      <c r="K12" s="121"/>
      <c r="M12" s="76" t="str">
        <f t="shared" si="3"/>
        <v>기타경비</v>
      </c>
      <c r="N12" s="77">
        <f>SUM(N13:N15)</f>
        <v>2175.6999999999998</v>
      </c>
      <c r="O12" s="123">
        <f t="shared" si="4"/>
        <v>4.1625269684929439E-2</v>
      </c>
      <c r="P12" s="119"/>
      <c r="S12" s="83" t="s">
        <v>90</v>
      </c>
      <c r="T12" s="84">
        <f>U12+V12</f>
        <v>-451.61566800000003</v>
      </c>
      <c r="U12" s="84">
        <f>SUM(W12:Z12)</f>
        <v>-205.27984900000001</v>
      </c>
      <c r="V12" s="84">
        <f>SUM(AA12:AT12)</f>
        <v>-246.33581899999999</v>
      </c>
      <c r="W12" s="85">
        <f>'수정본 (7)'!L20</f>
        <v>0</v>
      </c>
      <c r="X12" s="85">
        <f>'수정본 (7)'!M20</f>
        <v>0</v>
      </c>
      <c r="Y12" s="85">
        <f>'수정본 (7)'!N20</f>
        <v>-205.27984900000001</v>
      </c>
      <c r="Z12" s="85">
        <f>'수정본 (7)'!O20</f>
        <v>0</v>
      </c>
      <c r="AA12" s="85">
        <f>'수정본 (7)'!P20</f>
        <v>0</v>
      </c>
      <c r="AB12" s="85">
        <f>'수정본 (7)'!Q20</f>
        <v>0</v>
      </c>
      <c r="AC12" s="85">
        <f>'수정본 (7)'!R20</f>
        <v>0</v>
      </c>
      <c r="AD12" s="85">
        <f>'수정본 (7)'!S20</f>
        <v>0</v>
      </c>
      <c r="AE12" s="85">
        <f>'수정본 (7)'!T20</f>
        <v>0</v>
      </c>
      <c r="AF12" s="85">
        <f>'수정본 (7)'!U20</f>
        <v>0</v>
      </c>
      <c r="AG12" s="85">
        <f>'수정본 (7)'!V20</f>
        <v>0</v>
      </c>
      <c r="AH12" s="85">
        <f>'수정본 (7)'!W20</f>
        <v>0</v>
      </c>
      <c r="AI12" s="85">
        <f>'수정본 (7)'!X20</f>
        <v>-246.33581899999999</v>
      </c>
      <c r="AJ12" s="85">
        <f>'수정본 (7)'!Y20</f>
        <v>0</v>
      </c>
      <c r="AK12" s="85">
        <f>'수정본 (7)'!Z20</f>
        <v>0</v>
      </c>
      <c r="AL12" s="85">
        <f>'수정본 (7)'!AA20</f>
        <v>0</v>
      </c>
      <c r="AM12" s="85">
        <f>'수정본 (7)'!AB20</f>
        <v>0</v>
      </c>
      <c r="AN12" s="85">
        <f>'수정본 (7)'!AC20</f>
        <v>0</v>
      </c>
      <c r="AO12" s="85"/>
      <c r="AP12" s="85"/>
      <c r="AQ12" s="85"/>
      <c r="AR12" s="85"/>
      <c r="AS12" s="85"/>
      <c r="AT12" s="86"/>
      <c r="AU12" s="53"/>
    </row>
    <row r="13" spans="2:47" ht="13.8" thickBot="1" x14ac:dyDescent="0.35">
      <c r="B13" s="79" t="str">
        <f t="shared" si="7"/>
        <v>관리비</v>
      </c>
      <c r="C13" s="80">
        <f t="shared" si="20"/>
        <v>-56.628605</v>
      </c>
      <c r="D13" s="80">
        <f t="shared" si="21"/>
        <v>-14.157165000000001</v>
      </c>
      <c r="E13" s="80">
        <f t="shared" si="22"/>
        <v>-21.235720000000001</v>
      </c>
      <c r="F13" s="98">
        <f t="shared" si="22"/>
        <v>-21.235720000000001</v>
      </c>
      <c r="H13" s="95" t="s">
        <v>134</v>
      </c>
      <c r="I13" s="77">
        <f>C27</f>
        <v>731.2695757087422</v>
      </c>
      <c r="J13" s="120"/>
      <c r="K13" s="100"/>
      <c r="M13" s="83" t="str">
        <f t="shared" si="3"/>
        <v>전산개발</v>
      </c>
      <c r="N13" s="84">
        <f t="shared" ref="N13:N18" si="23">-C19</f>
        <v>352</v>
      </c>
      <c r="O13" s="126">
        <f t="shared" si="4"/>
        <v>6.734427967594412E-3</v>
      </c>
      <c r="P13" s="127"/>
      <c r="S13" s="79" t="s">
        <v>88</v>
      </c>
      <c r="T13" s="80">
        <f>U13+V13</f>
        <v>-56.628605</v>
      </c>
      <c r="U13" s="80">
        <f>SUM(W13:Z13)</f>
        <v>-14.157165000000001</v>
      </c>
      <c r="V13" s="80">
        <f>SUM(AA13:AT13)</f>
        <v>-42.471440000000001</v>
      </c>
      <c r="W13" s="81">
        <f>'수정본 (7)'!L21</f>
        <v>0</v>
      </c>
      <c r="X13" s="81">
        <f>'수정본 (7)'!M21</f>
        <v>0</v>
      </c>
      <c r="Y13" s="81">
        <f>'수정본 (7)'!N21</f>
        <v>-3.5393050000000001</v>
      </c>
      <c r="Z13" s="81">
        <f>'수정본 (7)'!O21</f>
        <v>-10.61786</v>
      </c>
      <c r="AA13" s="81">
        <f>'수정본 (7)'!P21</f>
        <v>0</v>
      </c>
      <c r="AB13" s="81">
        <f>'수정본 (7)'!Q21</f>
        <v>0</v>
      </c>
      <c r="AC13" s="81">
        <f>'수정본 (7)'!R21</f>
        <v>-10.61786</v>
      </c>
      <c r="AD13" s="81">
        <f>'수정본 (7)'!S21</f>
        <v>0</v>
      </c>
      <c r="AE13" s="81">
        <f>'수정본 (7)'!T21</f>
        <v>0</v>
      </c>
      <c r="AF13" s="81">
        <f>'수정본 (7)'!U21</f>
        <v>-10.61786</v>
      </c>
      <c r="AG13" s="81">
        <f>'수정본 (7)'!V21</f>
        <v>0</v>
      </c>
      <c r="AH13" s="81">
        <f>'수정본 (7)'!W21</f>
        <v>0</v>
      </c>
      <c r="AI13" s="81">
        <f>'수정본 (7)'!X21</f>
        <v>-10.61786</v>
      </c>
      <c r="AJ13" s="81">
        <f>'수정본 (7)'!Y21</f>
        <v>0</v>
      </c>
      <c r="AK13" s="81">
        <f>'수정본 (7)'!Z21</f>
        <v>0</v>
      </c>
      <c r="AL13" s="81">
        <f>'수정본 (7)'!AA21</f>
        <v>-10.61786</v>
      </c>
      <c r="AM13" s="81">
        <f>'수정본 (7)'!AB21</f>
        <v>0</v>
      </c>
      <c r="AN13" s="81">
        <f>'수정본 (7)'!AC21</f>
        <v>0</v>
      </c>
      <c r="AO13" s="81"/>
      <c r="AP13" s="81"/>
      <c r="AQ13" s="81"/>
      <c r="AR13" s="81"/>
      <c r="AS13" s="81"/>
      <c r="AT13" s="82"/>
      <c r="AU13" s="53"/>
    </row>
    <row r="14" spans="2:47" ht="13.8" thickTop="1" x14ac:dyDescent="0.3">
      <c r="B14" s="72" t="str">
        <f t="shared" si="7"/>
        <v>도급공사비</v>
      </c>
      <c r="C14" s="69">
        <f t="shared" si="20"/>
        <v>-48730</v>
      </c>
      <c r="D14" s="69">
        <f>U14</f>
        <v>-9746</v>
      </c>
      <c r="E14" s="69">
        <f t="shared" si="22"/>
        <v>-29238</v>
      </c>
      <c r="F14" s="73">
        <f t="shared" si="22"/>
        <v>-9746</v>
      </c>
      <c r="H14" s="111" t="s">
        <v>107</v>
      </c>
      <c r="I14" s="112">
        <f>SUM(I6:I13)</f>
        <v>53000</v>
      </c>
      <c r="J14" s="230" t="s">
        <v>107</v>
      </c>
      <c r="K14" s="113">
        <f>SUM(K6:K13)</f>
        <v>53000</v>
      </c>
      <c r="M14" s="87" t="str">
        <f t="shared" si="3"/>
        <v>한전불입금</v>
      </c>
      <c r="N14" s="88">
        <f t="shared" si="23"/>
        <v>51.7</v>
      </c>
      <c r="O14" s="128">
        <f t="shared" si="4"/>
        <v>9.8911910774042932E-4</v>
      </c>
      <c r="P14" s="121"/>
      <c r="S14" s="72" t="s">
        <v>17</v>
      </c>
      <c r="T14" s="69">
        <f>U14+V14</f>
        <v>-48730</v>
      </c>
      <c r="U14" s="69">
        <f>SUM(W14:Z14)</f>
        <v>-9746</v>
      </c>
      <c r="V14" s="69">
        <f>SUM(AA14:AT14)</f>
        <v>-38984</v>
      </c>
      <c r="W14" s="70">
        <f>'수정본 (7)'!L22</f>
        <v>-4873</v>
      </c>
      <c r="X14" s="70">
        <f>'수정본 (7)'!M22</f>
        <v>0</v>
      </c>
      <c r="Y14" s="70">
        <f>'수정본 (7)'!N22</f>
        <v>0</v>
      </c>
      <c r="Z14" s="70">
        <f>'수정본 (7)'!O22</f>
        <v>-4873</v>
      </c>
      <c r="AA14" s="70">
        <f>'수정본 (7)'!P22</f>
        <v>-4873</v>
      </c>
      <c r="AB14" s="70">
        <f>'수정본 (7)'!Q22</f>
        <v>0</v>
      </c>
      <c r="AC14" s="70">
        <f>'수정본 (7)'!R22</f>
        <v>-4873</v>
      </c>
      <c r="AD14" s="70">
        <f>'수정본 (7)'!S22</f>
        <v>-4873</v>
      </c>
      <c r="AE14" s="70">
        <f>'수정본 (7)'!T22</f>
        <v>-4873</v>
      </c>
      <c r="AF14" s="70">
        <f>'수정본 (7)'!U22</f>
        <v>-4873</v>
      </c>
      <c r="AG14" s="70">
        <f>'수정본 (7)'!V22</f>
        <v>-4873</v>
      </c>
      <c r="AH14" s="70">
        <f>'수정본 (7)'!W22</f>
        <v>0</v>
      </c>
      <c r="AI14" s="70">
        <f>'수정본 (7)'!X22</f>
        <v>-9746</v>
      </c>
      <c r="AJ14" s="70">
        <f>'수정본 (7)'!Y22</f>
        <v>0</v>
      </c>
      <c r="AK14" s="70">
        <f>'수정본 (7)'!Z22</f>
        <v>0</v>
      </c>
      <c r="AL14" s="70">
        <f>'수정본 (7)'!AA22</f>
        <v>0</v>
      </c>
      <c r="AM14" s="70">
        <f>'수정본 (7)'!AB22</f>
        <v>0</v>
      </c>
      <c r="AN14" s="70">
        <f>'수정본 (7)'!AC22</f>
        <v>0</v>
      </c>
      <c r="AO14" s="70"/>
      <c r="AP14" s="70"/>
      <c r="AQ14" s="70"/>
      <c r="AR14" s="70"/>
      <c r="AS14" s="70"/>
      <c r="AT14" s="71"/>
      <c r="AU14" s="53"/>
    </row>
    <row r="15" spans="2:47" x14ac:dyDescent="0.3">
      <c r="B15" s="76" t="str">
        <f t="shared" si="7"/>
        <v>간접공사비</v>
      </c>
      <c r="C15" s="77">
        <f t="shared" ref="C15:D15" si="24">C16+C17</f>
        <v>-653.4</v>
      </c>
      <c r="D15" s="77">
        <f t="shared" si="24"/>
        <v>-114.4</v>
      </c>
      <c r="E15" s="77">
        <f t="shared" ref="E15" si="25">E16+E17</f>
        <v>-385</v>
      </c>
      <c r="F15" s="78">
        <f t="shared" ref="F15" si="26">F16+F17</f>
        <v>-154</v>
      </c>
      <c r="M15" s="79" t="str">
        <f t="shared" si="3"/>
        <v>취득세 등</v>
      </c>
      <c r="N15" s="80">
        <f t="shared" si="23"/>
        <v>1772</v>
      </c>
      <c r="O15" s="124">
        <f t="shared" si="4"/>
        <v>3.3901722609594599E-2</v>
      </c>
      <c r="P15" s="125"/>
      <c r="S15" s="76" t="s">
        <v>91</v>
      </c>
      <c r="T15" s="77">
        <f>T16+T17</f>
        <v>-653.4</v>
      </c>
      <c r="U15" s="77">
        <f t="shared" ref="U15" si="27">U16+U17</f>
        <v>-114.4</v>
      </c>
      <c r="V15" s="77">
        <f t="shared" ref="V15" si="28">V16+V17</f>
        <v>-539</v>
      </c>
      <c r="W15" s="77">
        <f t="shared" ref="W15" si="29">W16+W17</f>
        <v>0</v>
      </c>
      <c r="X15" s="77">
        <f t="shared" ref="X15" si="30">X16+X17</f>
        <v>0</v>
      </c>
      <c r="Y15" s="77">
        <f t="shared" ref="Y15" si="31">Y16+Y17</f>
        <v>0</v>
      </c>
      <c r="Z15" s="77">
        <f t="shared" ref="Z15" si="32">Z16+Z17</f>
        <v>-114.4</v>
      </c>
      <c r="AA15" s="77">
        <f t="shared" ref="AA15" si="33">AA16+AA17</f>
        <v>0</v>
      </c>
      <c r="AB15" s="77">
        <f t="shared" ref="AB15" si="34">AB16+AB17</f>
        <v>-154</v>
      </c>
      <c r="AC15" s="77">
        <f t="shared" ref="AC15" si="35">AC16+AC17</f>
        <v>-38.5</v>
      </c>
      <c r="AD15" s="77">
        <f t="shared" ref="AD15" si="36">AD16+AD17</f>
        <v>-38.5</v>
      </c>
      <c r="AE15" s="77">
        <f t="shared" ref="AE15" si="37">AE16+AE17</f>
        <v>-38.5</v>
      </c>
      <c r="AF15" s="77">
        <f t="shared" ref="AF15" si="38">AF16+AF17</f>
        <v>-38.5</v>
      </c>
      <c r="AG15" s="77">
        <f t="shared" ref="AG15" si="39">AG16+AG17</f>
        <v>-38.5</v>
      </c>
      <c r="AH15" s="77">
        <f t="shared" ref="AH15" si="40">AH16+AH17</f>
        <v>-38.5</v>
      </c>
      <c r="AI15" s="77">
        <f t="shared" ref="AI15" si="41">AI16+AI17</f>
        <v>-38.5</v>
      </c>
      <c r="AJ15" s="77">
        <f t="shared" ref="AJ15" si="42">AJ16+AJ17</f>
        <v>-38.5</v>
      </c>
      <c r="AK15" s="77">
        <f t="shared" ref="AK15" si="43">AK16+AK17</f>
        <v>-77</v>
      </c>
      <c r="AL15" s="77">
        <f t="shared" ref="AL15" si="44">AL16+AL17</f>
        <v>0</v>
      </c>
      <c r="AM15" s="77">
        <f t="shared" ref="AM15" si="45">AM16+AM17</f>
        <v>0</v>
      </c>
      <c r="AN15" s="77">
        <f t="shared" ref="AN15" si="46">AN16+AN17</f>
        <v>0</v>
      </c>
      <c r="AO15" s="77">
        <f t="shared" ref="AO15" si="47">AO16+AO17</f>
        <v>0</v>
      </c>
      <c r="AP15" s="77">
        <f t="shared" ref="AP15" si="48">AP16+AP17</f>
        <v>0</v>
      </c>
      <c r="AQ15" s="77">
        <f t="shared" ref="AQ15" si="49">AQ16+AQ17</f>
        <v>0</v>
      </c>
      <c r="AR15" s="77">
        <f t="shared" ref="AR15" si="50">AR16+AR17</f>
        <v>0</v>
      </c>
      <c r="AS15" s="77">
        <f t="shared" ref="AS15" si="51">AS16+AS17</f>
        <v>0</v>
      </c>
      <c r="AT15" s="78">
        <f t="shared" ref="AT15" si="52">AT16+AT17</f>
        <v>0</v>
      </c>
      <c r="AU15" s="53"/>
    </row>
    <row r="16" spans="2:47" x14ac:dyDescent="0.3">
      <c r="B16" s="83" t="str">
        <f t="shared" si="7"/>
        <v>감리비</v>
      </c>
      <c r="C16" s="84">
        <f t="shared" ref="C16:C17" si="53">SUM(D16:F16)</f>
        <v>-576.4</v>
      </c>
      <c r="D16" s="84">
        <f t="shared" ref="D16:D17" si="54">U16</f>
        <v>-114.4</v>
      </c>
      <c r="E16" s="84">
        <f>SUMIF($AA$4:$AT$4,E$4,$AA16:$AT16)</f>
        <v>-308</v>
      </c>
      <c r="F16" s="102">
        <f>SUMIF($AA$4:$AT$4,F$4,$AA16:$AT16)</f>
        <v>-154</v>
      </c>
      <c r="M16" s="72" t="str">
        <f t="shared" si="3"/>
        <v>금융비용</v>
      </c>
      <c r="N16" s="69">
        <f t="shared" si="23"/>
        <v>667.38615129126435</v>
      </c>
      <c r="O16" s="122">
        <f t="shared" si="4"/>
        <v>1.2768363529662177E-2</v>
      </c>
      <c r="P16" s="117"/>
      <c r="S16" s="83" t="s">
        <v>19</v>
      </c>
      <c r="T16" s="84">
        <f t="shared" ref="T16:T17" si="55">U16+V16</f>
        <v>-576.4</v>
      </c>
      <c r="U16" s="84">
        <f t="shared" ref="U16:U17" si="56">SUM(W16:Z16)</f>
        <v>-114.4</v>
      </c>
      <c r="V16" s="84">
        <f t="shared" ref="V16:V17" si="57">SUM(AA16:AT16)</f>
        <v>-462</v>
      </c>
      <c r="W16" s="85">
        <f>'수정본 (7)'!L24</f>
        <v>0</v>
      </c>
      <c r="X16" s="85">
        <f>'수정본 (7)'!M24</f>
        <v>0</v>
      </c>
      <c r="Y16" s="85">
        <f>'수정본 (7)'!N24</f>
        <v>0</v>
      </c>
      <c r="Z16" s="85">
        <f>'수정본 (7)'!O24</f>
        <v>-114.4</v>
      </c>
      <c r="AA16" s="85">
        <f>'수정본 (7)'!P24</f>
        <v>0</v>
      </c>
      <c r="AB16" s="85">
        <f>'수정본 (7)'!Q24</f>
        <v>-77</v>
      </c>
      <c r="AC16" s="85">
        <f>'수정본 (7)'!R24</f>
        <v>-38.5</v>
      </c>
      <c r="AD16" s="85">
        <f>'수정본 (7)'!S24</f>
        <v>-38.5</v>
      </c>
      <c r="AE16" s="85">
        <f>'수정본 (7)'!T24</f>
        <v>-38.5</v>
      </c>
      <c r="AF16" s="85">
        <f>'수정본 (7)'!U24</f>
        <v>-38.5</v>
      </c>
      <c r="AG16" s="85">
        <f>'수정본 (7)'!V24</f>
        <v>-38.5</v>
      </c>
      <c r="AH16" s="85">
        <f>'수정본 (7)'!W24</f>
        <v>-38.5</v>
      </c>
      <c r="AI16" s="85">
        <f>'수정본 (7)'!X24</f>
        <v>-38.5</v>
      </c>
      <c r="AJ16" s="85">
        <f>'수정본 (7)'!Y24</f>
        <v>-38.5</v>
      </c>
      <c r="AK16" s="85">
        <f>'수정본 (7)'!Z24</f>
        <v>-77</v>
      </c>
      <c r="AL16" s="85">
        <f>'수정본 (7)'!AA24</f>
        <v>0</v>
      </c>
      <c r="AM16" s="85">
        <f>'수정본 (7)'!AB24</f>
        <v>0</v>
      </c>
      <c r="AN16" s="85">
        <f>'수정본 (7)'!AC24</f>
        <v>0</v>
      </c>
      <c r="AO16" s="85"/>
      <c r="AP16" s="85"/>
      <c r="AQ16" s="85"/>
      <c r="AR16" s="85"/>
      <c r="AS16" s="85"/>
      <c r="AT16" s="86"/>
      <c r="AU16" s="53"/>
    </row>
    <row r="17" spans="2:47" x14ac:dyDescent="0.3">
      <c r="B17" s="79" t="str">
        <f t="shared" si="7"/>
        <v>게이트설치</v>
      </c>
      <c r="C17" s="80">
        <f t="shared" si="53"/>
        <v>-77</v>
      </c>
      <c r="D17" s="80">
        <f t="shared" si="54"/>
        <v>0</v>
      </c>
      <c r="E17" s="80">
        <f>SUMIF($AA$4:$AT$4,E$4,$AA17:$AT17)</f>
        <v>-77</v>
      </c>
      <c r="F17" s="98">
        <f>SUMIF($AA$4:$AT$4,F$4,$AA17:$AT17)</f>
        <v>0</v>
      </c>
      <c r="M17" s="72" t="str">
        <f t="shared" si="3"/>
        <v>태양광설치</v>
      </c>
      <c r="N17" s="69">
        <f t="shared" si="23"/>
        <v>3399</v>
      </c>
      <c r="O17" s="122">
        <f t="shared" si="4"/>
        <v>6.5029320062083548E-2</v>
      </c>
      <c r="P17" s="117"/>
      <c r="S17" s="79" t="s">
        <v>92</v>
      </c>
      <c r="T17" s="80">
        <f t="shared" si="55"/>
        <v>-77</v>
      </c>
      <c r="U17" s="80">
        <f t="shared" si="56"/>
        <v>0</v>
      </c>
      <c r="V17" s="80">
        <f t="shared" si="57"/>
        <v>-77</v>
      </c>
      <c r="W17" s="81">
        <f>'수정본 (7)'!L25</f>
        <v>0</v>
      </c>
      <c r="X17" s="81">
        <f>'수정본 (7)'!M25</f>
        <v>0</v>
      </c>
      <c r="Y17" s="81">
        <f>'수정본 (7)'!N25</f>
        <v>0</v>
      </c>
      <c r="Z17" s="81">
        <f>'수정본 (7)'!O25</f>
        <v>0</v>
      </c>
      <c r="AA17" s="81">
        <f>'수정본 (7)'!P25</f>
        <v>0</v>
      </c>
      <c r="AB17" s="81">
        <f>'수정본 (7)'!Q25</f>
        <v>-77</v>
      </c>
      <c r="AC17" s="81">
        <f>'수정본 (7)'!R25</f>
        <v>0</v>
      </c>
      <c r="AD17" s="81">
        <f>'수정본 (7)'!S25</f>
        <v>0</v>
      </c>
      <c r="AE17" s="81">
        <f>'수정본 (7)'!T25</f>
        <v>0</v>
      </c>
      <c r="AF17" s="81">
        <f>'수정본 (7)'!U25</f>
        <v>0</v>
      </c>
      <c r="AG17" s="81">
        <f>'수정본 (7)'!V25</f>
        <v>0</v>
      </c>
      <c r="AH17" s="81">
        <f>'수정본 (7)'!W25</f>
        <v>0</v>
      </c>
      <c r="AI17" s="81">
        <f>'수정본 (7)'!X25</f>
        <v>0</v>
      </c>
      <c r="AJ17" s="81">
        <f>'수정본 (7)'!Y25</f>
        <v>0</v>
      </c>
      <c r="AK17" s="81">
        <f>'수정본 (7)'!Z25</f>
        <v>0</v>
      </c>
      <c r="AL17" s="81">
        <f>'수정본 (7)'!AA25</f>
        <v>0</v>
      </c>
      <c r="AM17" s="81">
        <f>'수정본 (7)'!AB25</f>
        <v>0</v>
      </c>
      <c r="AN17" s="81">
        <f>'수정본 (7)'!AC25</f>
        <v>0</v>
      </c>
      <c r="AO17" s="81"/>
      <c r="AP17" s="81"/>
      <c r="AQ17" s="81"/>
      <c r="AR17" s="81"/>
      <c r="AS17" s="81"/>
      <c r="AT17" s="82"/>
      <c r="AU17" s="53"/>
    </row>
    <row r="18" spans="2:47" ht="13.8" thickBot="1" x14ac:dyDescent="0.35">
      <c r="B18" s="76" t="str">
        <f t="shared" si="7"/>
        <v>기타경비</v>
      </c>
      <c r="C18" s="77">
        <f t="shared" ref="C18:D18" si="58">SUM(C19:C21)</f>
        <v>-2175.6999999999998</v>
      </c>
      <c r="D18" s="77">
        <f t="shared" si="58"/>
        <v>0</v>
      </c>
      <c r="E18" s="77">
        <f t="shared" ref="E18" si="59">SUM(E19:E21)</f>
        <v>-403.7</v>
      </c>
      <c r="F18" s="78">
        <f t="shared" ref="F18" si="60">SUM(F19:F21)</f>
        <v>-1772</v>
      </c>
      <c r="M18" s="129" t="str">
        <f t="shared" si="3"/>
        <v>부가세환급</v>
      </c>
      <c r="N18" s="77">
        <f t="shared" si="23"/>
        <v>-3865</v>
      </c>
      <c r="O18" s="123">
        <f t="shared" si="4"/>
        <v>-7.3944784360092053E-2</v>
      </c>
      <c r="P18" s="119"/>
      <c r="S18" s="76" t="s">
        <v>93</v>
      </c>
      <c r="T18" s="77">
        <f>SUM(T19:T21)</f>
        <v>-2175.6999999999998</v>
      </c>
      <c r="U18" s="77">
        <f t="shared" ref="U18:AT18" si="61">SUM(U19:U21)</f>
        <v>0</v>
      </c>
      <c r="V18" s="77">
        <f t="shared" si="61"/>
        <v>-2175.6999999999998</v>
      </c>
      <c r="W18" s="77">
        <f t="shared" si="61"/>
        <v>0</v>
      </c>
      <c r="X18" s="77">
        <f t="shared" si="61"/>
        <v>0</v>
      </c>
      <c r="Y18" s="77">
        <f t="shared" si="61"/>
        <v>0</v>
      </c>
      <c r="Z18" s="77">
        <f t="shared" si="61"/>
        <v>0</v>
      </c>
      <c r="AA18" s="77">
        <f t="shared" si="61"/>
        <v>0</v>
      </c>
      <c r="AB18" s="77">
        <f t="shared" si="61"/>
        <v>-132</v>
      </c>
      <c r="AC18" s="77">
        <f t="shared" si="61"/>
        <v>-110</v>
      </c>
      <c r="AD18" s="77">
        <f t="shared" si="61"/>
        <v>0</v>
      </c>
      <c r="AE18" s="77">
        <f t="shared" si="61"/>
        <v>-110</v>
      </c>
      <c r="AF18" s="77">
        <f t="shared" si="61"/>
        <v>-51.7</v>
      </c>
      <c r="AG18" s="77">
        <f t="shared" si="61"/>
        <v>0</v>
      </c>
      <c r="AH18" s="77">
        <f t="shared" si="61"/>
        <v>0</v>
      </c>
      <c r="AI18" s="77">
        <f t="shared" si="61"/>
        <v>-1772</v>
      </c>
      <c r="AJ18" s="77">
        <f t="shared" si="61"/>
        <v>0</v>
      </c>
      <c r="AK18" s="77">
        <f t="shared" si="61"/>
        <v>0</v>
      </c>
      <c r="AL18" s="77">
        <f t="shared" si="61"/>
        <v>0</v>
      </c>
      <c r="AM18" s="77">
        <f t="shared" si="61"/>
        <v>0</v>
      </c>
      <c r="AN18" s="77">
        <f t="shared" si="61"/>
        <v>0</v>
      </c>
      <c r="AO18" s="77">
        <f t="shared" si="61"/>
        <v>0</v>
      </c>
      <c r="AP18" s="77">
        <f t="shared" si="61"/>
        <v>0</v>
      </c>
      <c r="AQ18" s="77">
        <f t="shared" si="61"/>
        <v>0</v>
      </c>
      <c r="AR18" s="77">
        <f t="shared" si="61"/>
        <v>0</v>
      </c>
      <c r="AS18" s="77">
        <f t="shared" si="61"/>
        <v>0</v>
      </c>
      <c r="AT18" s="78">
        <f t="shared" si="61"/>
        <v>0</v>
      </c>
      <c r="AU18" s="53"/>
    </row>
    <row r="19" spans="2:47" ht="13.8" thickTop="1" x14ac:dyDescent="0.3">
      <c r="B19" s="83" t="str">
        <f t="shared" si="7"/>
        <v>전산개발</v>
      </c>
      <c r="C19" s="84">
        <f t="shared" ref="C19:C24" si="62">SUM(D19:F19)</f>
        <v>-352</v>
      </c>
      <c r="D19" s="84">
        <f t="shared" ref="D19:D21" si="63">U19</f>
        <v>0</v>
      </c>
      <c r="E19" s="84">
        <f t="shared" ref="E19:F24" si="64">SUMIF($AA$4:$AT$4,E$4,$AA19:$AT19)</f>
        <v>-352</v>
      </c>
      <c r="F19" s="102">
        <f t="shared" si="64"/>
        <v>0</v>
      </c>
      <c r="M19" s="111" t="s">
        <v>107</v>
      </c>
      <c r="N19" s="112">
        <f>N18+N17+N16+N12+N9+N8+N5</f>
        <v>52268.730424291258</v>
      </c>
      <c r="O19" s="130">
        <f t="shared" si="4"/>
        <v>1</v>
      </c>
      <c r="P19" s="131"/>
      <c r="S19" s="83" t="s">
        <v>94</v>
      </c>
      <c r="T19" s="84">
        <f t="shared" ref="T19:T24" si="65">U19+V19</f>
        <v>-352</v>
      </c>
      <c r="U19" s="84">
        <f t="shared" ref="U19:U24" si="66">SUM(W19:Z19)</f>
        <v>0</v>
      </c>
      <c r="V19" s="84">
        <f t="shared" ref="V19:V24" si="67">SUM(AA19:AT19)</f>
        <v>-352</v>
      </c>
      <c r="W19" s="85">
        <f>'수정본 (7)'!L27</f>
        <v>0</v>
      </c>
      <c r="X19" s="85">
        <f>'수정본 (7)'!M27</f>
        <v>0</v>
      </c>
      <c r="Y19" s="85">
        <f>'수정본 (7)'!N27</f>
        <v>0</v>
      </c>
      <c r="Z19" s="85">
        <f>'수정본 (7)'!O27</f>
        <v>0</v>
      </c>
      <c r="AA19" s="85">
        <f>'수정본 (7)'!P27</f>
        <v>0</v>
      </c>
      <c r="AB19" s="85">
        <f>'수정본 (7)'!Q27</f>
        <v>-132</v>
      </c>
      <c r="AC19" s="85">
        <f>'수정본 (7)'!R27</f>
        <v>-110</v>
      </c>
      <c r="AD19" s="85">
        <f>'수정본 (7)'!S27</f>
        <v>0</v>
      </c>
      <c r="AE19" s="85">
        <f>'수정본 (7)'!T27</f>
        <v>-110</v>
      </c>
      <c r="AF19" s="85">
        <f>'수정본 (7)'!U27</f>
        <v>0</v>
      </c>
      <c r="AG19" s="85">
        <f>'수정본 (7)'!V27</f>
        <v>0</v>
      </c>
      <c r="AH19" s="85">
        <f>'수정본 (7)'!W27</f>
        <v>0</v>
      </c>
      <c r="AI19" s="85">
        <f>'수정본 (7)'!X27</f>
        <v>0</v>
      </c>
      <c r="AJ19" s="85">
        <f>'수정본 (7)'!Y27</f>
        <v>0</v>
      </c>
      <c r="AK19" s="85">
        <f>'수정본 (7)'!Z27</f>
        <v>0</v>
      </c>
      <c r="AL19" s="85">
        <f>'수정본 (7)'!AA27</f>
        <v>0</v>
      </c>
      <c r="AM19" s="85">
        <f>'수정본 (7)'!AB27</f>
        <v>0</v>
      </c>
      <c r="AN19" s="85">
        <f>'수정본 (7)'!AC27</f>
        <v>0</v>
      </c>
      <c r="AO19" s="85"/>
      <c r="AP19" s="85"/>
      <c r="AQ19" s="85"/>
      <c r="AR19" s="85"/>
      <c r="AS19" s="85"/>
      <c r="AT19" s="86"/>
      <c r="AU19" s="53"/>
    </row>
    <row r="20" spans="2:47" x14ac:dyDescent="0.3">
      <c r="B20" s="87" t="str">
        <f t="shared" si="7"/>
        <v>한전불입금</v>
      </c>
      <c r="C20" s="88">
        <f t="shared" si="62"/>
        <v>-51.7</v>
      </c>
      <c r="D20" s="88">
        <f t="shared" si="63"/>
        <v>0</v>
      </c>
      <c r="E20" s="88">
        <f t="shared" si="64"/>
        <v>-51.7</v>
      </c>
      <c r="F20" s="100">
        <f t="shared" si="64"/>
        <v>0</v>
      </c>
      <c r="S20" s="87" t="s">
        <v>51</v>
      </c>
      <c r="T20" s="88">
        <f t="shared" si="65"/>
        <v>-51.7</v>
      </c>
      <c r="U20" s="88">
        <f t="shared" si="66"/>
        <v>0</v>
      </c>
      <c r="V20" s="88">
        <f t="shared" si="67"/>
        <v>-51.7</v>
      </c>
      <c r="W20" s="89">
        <f>'수정본 (7)'!L28</f>
        <v>0</v>
      </c>
      <c r="X20" s="89">
        <f>'수정본 (7)'!M28</f>
        <v>0</v>
      </c>
      <c r="Y20" s="89">
        <f>'수정본 (7)'!N28</f>
        <v>0</v>
      </c>
      <c r="Z20" s="89">
        <f>'수정본 (7)'!O28</f>
        <v>0</v>
      </c>
      <c r="AA20" s="89">
        <f>'수정본 (7)'!P28</f>
        <v>0</v>
      </c>
      <c r="AB20" s="89">
        <f>'수정본 (7)'!Q28</f>
        <v>0</v>
      </c>
      <c r="AC20" s="89">
        <f>'수정본 (7)'!R28</f>
        <v>0</v>
      </c>
      <c r="AD20" s="89">
        <f>'수정본 (7)'!S28</f>
        <v>0</v>
      </c>
      <c r="AE20" s="89">
        <f>'수정본 (7)'!T28</f>
        <v>0</v>
      </c>
      <c r="AF20" s="89">
        <f>'수정본 (7)'!U28</f>
        <v>-51.7</v>
      </c>
      <c r="AG20" s="89">
        <f>'수정본 (7)'!V28</f>
        <v>0</v>
      </c>
      <c r="AH20" s="89">
        <f>'수정본 (7)'!W28</f>
        <v>0</v>
      </c>
      <c r="AI20" s="89">
        <f>'수정본 (7)'!X28</f>
        <v>0</v>
      </c>
      <c r="AJ20" s="89">
        <f>'수정본 (7)'!Y28</f>
        <v>0</v>
      </c>
      <c r="AK20" s="89">
        <f>'수정본 (7)'!Z28</f>
        <v>0</v>
      </c>
      <c r="AL20" s="89">
        <f>'수정본 (7)'!AA28</f>
        <v>0</v>
      </c>
      <c r="AM20" s="89">
        <f>'수정본 (7)'!AB28</f>
        <v>0</v>
      </c>
      <c r="AN20" s="89">
        <f>'수정본 (7)'!AC28</f>
        <v>0</v>
      </c>
      <c r="AO20" s="89"/>
      <c r="AP20" s="89"/>
      <c r="AQ20" s="89"/>
      <c r="AR20" s="89"/>
      <c r="AS20" s="89"/>
      <c r="AT20" s="90"/>
      <c r="AU20" s="53"/>
    </row>
    <row r="21" spans="2:47" x14ac:dyDescent="0.3">
      <c r="B21" s="79" t="str">
        <f t="shared" si="7"/>
        <v>취득세 등</v>
      </c>
      <c r="C21" s="80">
        <f t="shared" si="62"/>
        <v>-1772</v>
      </c>
      <c r="D21" s="80">
        <f t="shared" si="63"/>
        <v>0</v>
      </c>
      <c r="E21" s="80">
        <f t="shared" si="64"/>
        <v>0</v>
      </c>
      <c r="F21" s="98">
        <f t="shared" si="64"/>
        <v>-1772</v>
      </c>
      <c r="S21" s="79" t="s">
        <v>97</v>
      </c>
      <c r="T21" s="80">
        <f t="shared" si="65"/>
        <v>-1772</v>
      </c>
      <c r="U21" s="80">
        <f t="shared" si="66"/>
        <v>0</v>
      </c>
      <c r="V21" s="80">
        <f t="shared" si="67"/>
        <v>-1772</v>
      </c>
      <c r="W21" s="81">
        <f>'수정본 (7)'!L29</f>
        <v>0</v>
      </c>
      <c r="X21" s="81">
        <f>'수정본 (7)'!M29</f>
        <v>0</v>
      </c>
      <c r="Y21" s="81">
        <f>'수정본 (7)'!N29</f>
        <v>0</v>
      </c>
      <c r="Z21" s="81">
        <f>'수정본 (7)'!O29</f>
        <v>0</v>
      </c>
      <c r="AA21" s="81">
        <f>'수정본 (7)'!P29</f>
        <v>0</v>
      </c>
      <c r="AB21" s="81">
        <f>'수정본 (7)'!Q29</f>
        <v>0</v>
      </c>
      <c r="AC21" s="81">
        <f>'수정본 (7)'!R29</f>
        <v>0</v>
      </c>
      <c r="AD21" s="81">
        <f>'수정본 (7)'!S29</f>
        <v>0</v>
      </c>
      <c r="AE21" s="81">
        <f>'수정본 (7)'!T29</f>
        <v>0</v>
      </c>
      <c r="AF21" s="81">
        <f>'수정본 (7)'!U29</f>
        <v>0</v>
      </c>
      <c r="AG21" s="81">
        <f>'수정본 (7)'!V29</f>
        <v>0</v>
      </c>
      <c r="AH21" s="81">
        <f>'수정본 (7)'!W29</f>
        <v>0</v>
      </c>
      <c r="AI21" s="81">
        <f>'수정본 (7)'!X29</f>
        <v>-1772</v>
      </c>
      <c r="AJ21" s="81">
        <f>'수정본 (7)'!Y29</f>
        <v>0</v>
      </c>
      <c r="AK21" s="81">
        <f>'수정본 (7)'!Z29</f>
        <v>0</v>
      </c>
      <c r="AL21" s="81">
        <f>'수정본 (7)'!AA29</f>
        <v>0</v>
      </c>
      <c r="AM21" s="81">
        <f>'수정본 (7)'!AB29</f>
        <v>0</v>
      </c>
      <c r="AN21" s="81">
        <f>'수정본 (7)'!AC29</f>
        <v>0</v>
      </c>
      <c r="AO21" s="81"/>
      <c r="AP21" s="81"/>
      <c r="AQ21" s="81"/>
      <c r="AR21" s="81"/>
      <c r="AS21" s="81"/>
      <c r="AT21" s="82"/>
      <c r="AU21" s="53"/>
    </row>
    <row r="22" spans="2:47" x14ac:dyDescent="0.3">
      <c r="B22" s="72" t="str">
        <f t="shared" si="7"/>
        <v>금융비용</v>
      </c>
      <c r="C22" s="69">
        <f t="shared" si="62"/>
        <v>-667.38615129126435</v>
      </c>
      <c r="D22" s="69">
        <f>U22</f>
        <v>0</v>
      </c>
      <c r="E22" s="69">
        <f t="shared" si="64"/>
        <v>-147.55737260273972</v>
      </c>
      <c r="F22" s="73">
        <f t="shared" si="64"/>
        <v>-519.82877868852461</v>
      </c>
      <c r="S22" s="72" t="s">
        <v>27</v>
      </c>
      <c r="T22" s="69">
        <f t="shared" si="65"/>
        <v>-667.38615129126424</v>
      </c>
      <c r="U22" s="69">
        <f t="shared" si="66"/>
        <v>0</v>
      </c>
      <c r="V22" s="69">
        <f t="shared" si="67"/>
        <v>-667.38615129126424</v>
      </c>
      <c r="W22" s="69">
        <f>-W39</f>
        <v>0</v>
      </c>
      <c r="X22" s="69">
        <f t="shared" ref="X22:AT22" si="68">-X39</f>
        <v>0</v>
      </c>
      <c r="Y22" s="69">
        <f t="shared" si="68"/>
        <v>0</v>
      </c>
      <c r="Z22" s="69">
        <f t="shared" si="68"/>
        <v>0</v>
      </c>
      <c r="AA22" s="69">
        <f t="shared" si="68"/>
        <v>0</v>
      </c>
      <c r="AB22" s="69">
        <f t="shared" si="68"/>
        <v>0</v>
      </c>
      <c r="AC22" s="69">
        <f t="shared" si="68"/>
        <v>0</v>
      </c>
      <c r="AD22" s="69">
        <f t="shared" si="68"/>
        <v>0</v>
      </c>
      <c r="AE22" s="69">
        <f t="shared" si="68"/>
        <v>0</v>
      </c>
      <c r="AF22" s="69">
        <f t="shared" si="68"/>
        <v>0</v>
      </c>
      <c r="AG22" s="69">
        <f t="shared" si="68"/>
        <v>0</v>
      </c>
      <c r="AH22" s="69">
        <f t="shared" si="68"/>
        <v>-147.55737260273972</v>
      </c>
      <c r="AI22" s="69">
        <f t="shared" si="68"/>
        <v>0</v>
      </c>
      <c r="AJ22" s="69">
        <f t="shared" si="68"/>
        <v>0</v>
      </c>
      <c r="AK22" s="69">
        <f t="shared" si="68"/>
        <v>-233.73014480874315</v>
      </c>
      <c r="AL22" s="69">
        <f t="shared" si="68"/>
        <v>0</v>
      </c>
      <c r="AM22" s="69">
        <f t="shared" si="68"/>
        <v>0</v>
      </c>
      <c r="AN22" s="69">
        <f t="shared" si="68"/>
        <v>-286.0986338797814</v>
      </c>
      <c r="AO22" s="69">
        <f t="shared" si="68"/>
        <v>0</v>
      </c>
      <c r="AP22" s="69">
        <f t="shared" si="68"/>
        <v>0</v>
      </c>
      <c r="AQ22" s="69">
        <f t="shared" si="68"/>
        <v>0</v>
      </c>
      <c r="AR22" s="69">
        <f t="shared" si="68"/>
        <v>0</v>
      </c>
      <c r="AS22" s="69">
        <f t="shared" si="68"/>
        <v>0</v>
      </c>
      <c r="AT22" s="73">
        <f t="shared" si="68"/>
        <v>0</v>
      </c>
      <c r="AU22" s="53"/>
    </row>
    <row r="23" spans="2:47" x14ac:dyDescent="0.3">
      <c r="B23" s="72" t="str">
        <f t="shared" si="7"/>
        <v>태양광설치</v>
      </c>
      <c r="C23" s="69">
        <f t="shared" si="62"/>
        <v>-3399</v>
      </c>
      <c r="D23" s="69">
        <f t="shared" ref="D23:D24" si="69">U23</f>
        <v>0</v>
      </c>
      <c r="E23" s="69">
        <f t="shared" si="64"/>
        <v>0</v>
      </c>
      <c r="F23" s="73">
        <f t="shared" si="64"/>
        <v>-3399</v>
      </c>
      <c r="S23" s="72" t="s">
        <v>98</v>
      </c>
      <c r="T23" s="69">
        <f t="shared" si="65"/>
        <v>-3399</v>
      </c>
      <c r="U23" s="69">
        <f t="shared" si="66"/>
        <v>0</v>
      </c>
      <c r="V23" s="69">
        <f t="shared" si="67"/>
        <v>-3399</v>
      </c>
      <c r="W23" s="70">
        <f>'수정본 (7)'!L31</f>
        <v>0</v>
      </c>
      <c r="X23" s="70">
        <f>'수정본 (7)'!M31</f>
        <v>0</v>
      </c>
      <c r="Y23" s="70">
        <f>'수정본 (7)'!N31</f>
        <v>0</v>
      </c>
      <c r="Z23" s="70">
        <f>'수정본 (7)'!O31</f>
        <v>0</v>
      </c>
      <c r="AA23" s="70">
        <f>'수정본 (7)'!P31</f>
        <v>0</v>
      </c>
      <c r="AB23" s="70">
        <f>'수정본 (7)'!Q31</f>
        <v>0</v>
      </c>
      <c r="AC23" s="70">
        <f>'수정본 (7)'!R31</f>
        <v>0</v>
      </c>
      <c r="AD23" s="70">
        <f>'수정본 (7)'!S31</f>
        <v>0</v>
      </c>
      <c r="AE23" s="70">
        <f>'수정본 (7)'!T31</f>
        <v>0</v>
      </c>
      <c r="AF23" s="70">
        <f>'수정본 (7)'!U31</f>
        <v>0</v>
      </c>
      <c r="AG23" s="70">
        <f>'수정본 (7)'!V31</f>
        <v>0</v>
      </c>
      <c r="AH23" s="70">
        <f>'수정본 (7)'!W31</f>
        <v>0</v>
      </c>
      <c r="AI23" s="70">
        <f>'수정본 (7)'!X31</f>
        <v>0</v>
      </c>
      <c r="AJ23" s="70">
        <f>'수정본 (7)'!Y31</f>
        <v>0</v>
      </c>
      <c r="AK23" s="70">
        <f>'수정본 (7)'!Z31</f>
        <v>0</v>
      </c>
      <c r="AL23" s="70">
        <f>'수정본 (7)'!AA31</f>
        <v>0</v>
      </c>
      <c r="AM23" s="70">
        <f>'수정본 (7)'!AB31</f>
        <v>0</v>
      </c>
      <c r="AN23" s="70">
        <f>'수정본 (7)'!AC31</f>
        <v>-3399</v>
      </c>
      <c r="AO23" s="70"/>
      <c r="AP23" s="70"/>
      <c r="AQ23" s="70"/>
      <c r="AR23" s="70"/>
      <c r="AS23" s="70"/>
      <c r="AT23" s="71"/>
      <c r="AU23" s="53"/>
    </row>
    <row r="24" spans="2:47" x14ac:dyDescent="0.3">
      <c r="B24" s="74" t="str">
        <f t="shared" si="7"/>
        <v>부가세환급</v>
      </c>
      <c r="C24" s="69">
        <f t="shared" si="62"/>
        <v>3865</v>
      </c>
      <c r="D24" s="69">
        <f t="shared" si="69"/>
        <v>0</v>
      </c>
      <c r="E24" s="69">
        <f t="shared" si="64"/>
        <v>2093</v>
      </c>
      <c r="F24" s="73">
        <f t="shared" si="64"/>
        <v>1772</v>
      </c>
      <c r="S24" s="74" t="s">
        <v>25</v>
      </c>
      <c r="T24" s="69">
        <f t="shared" si="65"/>
        <v>3865</v>
      </c>
      <c r="U24" s="69">
        <f t="shared" si="66"/>
        <v>0</v>
      </c>
      <c r="V24" s="69">
        <f t="shared" si="67"/>
        <v>3865</v>
      </c>
      <c r="W24" s="70">
        <f>'수정본 (7)'!L32</f>
        <v>0</v>
      </c>
      <c r="X24" s="70">
        <f>'수정본 (7)'!M32</f>
        <v>0</v>
      </c>
      <c r="Y24" s="70">
        <f>'수정본 (7)'!N32</f>
        <v>0</v>
      </c>
      <c r="Z24" s="70">
        <f>'수정본 (7)'!O32</f>
        <v>0</v>
      </c>
      <c r="AA24" s="70">
        <f>'수정본 (7)'!P32</f>
        <v>764</v>
      </c>
      <c r="AB24" s="70">
        <f>'수정본 (7)'!Q32</f>
        <v>0</v>
      </c>
      <c r="AC24" s="70">
        <f>'수정본 (7)'!R32</f>
        <v>0</v>
      </c>
      <c r="AD24" s="70">
        <f>'수정본 (7)'!S32</f>
        <v>443</v>
      </c>
      <c r="AE24" s="70">
        <f>'수정본 (7)'!T32</f>
        <v>0</v>
      </c>
      <c r="AF24" s="70">
        <f>'수정본 (7)'!U32</f>
        <v>0</v>
      </c>
      <c r="AG24" s="70">
        <f>'수정본 (7)'!V32</f>
        <v>886</v>
      </c>
      <c r="AH24" s="70">
        <f>'수정본 (7)'!W32</f>
        <v>0</v>
      </c>
      <c r="AI24" s="70">
        <f>'수정본 (7)'!X32</f>
        <v>0</v>
      </c>
      <c r="AJ24" s="70">
        <f>'수정본 (7)'!Y32</f>
        <v>886</v>
      </c>
      <c r="AK24" s="70">
        <f>'수정본 (7)'!Z32</f>
        <v>0</v>
      </c>
      <c r="AL24" s="70">
        <f>'수정본 (7)'!AA32</f>
        <v>0</v>
      </c>
      <c r="AM24" s="70">
        <f>'수정본 (7)'!AB32</f>
        <v>886</v>
      </c>
      <c r="AN24" s="70">
        <f>'수정본 (7)'!AC32</f>
        <v>0</v>
      </c>
      <c r="AO24" s="70"/>
      <c r="AP24" s="70"/>
      <c r="AQ24" s="70"/>
      <c r="AR24" s="70"/>
      <c r="AS24" s="70"/>
      <c r="AT24" s="71"/>
      <c r="AU24" s="53"/>
    </row>
    <row r="25" spans="2:47" x14ac:dyDescent="0.3">
      <c r="B25" s="65" t="str">
        <f t="shared" si="7"/>
        <v>현금증감</v>
      </c>
      <c r="C25" s="66">
        <f t="shared" ref="C25:F25" si="70">C6+C9</f>
        <v>731.2695757087422</v>
      </c>
      <c r="D25" s="66">
        <f t="shared" si="70"/>
        <v>15920.162986000001</v>
      </c>
      <c r="E25" s="66">
        <f t="shared" si="70"/>
        <v>-15102.493092602741</v>
      </c>
      <c r="F25" s="67">
        <f t="shared" si="70"/>
        <v>-86.40031768852532</v>
      </c>
      <c r="S25" s="65" t="s">
        <v>99</v>
      </c>
      <c r="T25" s="66">
        <f>T6+T9</f>
        <v>731.2695757087422</v>
      </c>
      <c r="U25" s="66">
        <f t="shared" ref="U25:AT25" si="71">U6+U9</f>
        <v>15920.162986000001</v>
      </c>
      <c r="V25" s="66">
        <f t="shared" si="71"/>
        <v>-15188.893410291261</v>
      </c>
      <c r="W25" s="66">
        <f t="shared" si="71"/>
        <v>6127</v>
      </c>
      <c r="X25" s="66">
        <f t="shared" si="71"/>
        <v>0</v>
      </c>
      <c r="Y25" s="66">
        <f t="shared" si="71"/>
        <v>-208.81915400000003</v>
      </c>
      <c r="Z25" s="66">
        <f t="shared" si="71"/>
        <v>10001.98214</v>
      </c>
      <c r="AA25" s="66">
        <f t="shared" si="71"/>
        <v>-4109</v>
      </c>
      <c r="AB25" s="66">
        <f t="shared" si="71"/>
        <v>-286</v>
      </c>
      <c r="AC25" s="66">
        <f t="shared" si="71"/>
        <v>-5032.1178600000003</v>
      </c>
      <c r="AD25" s="66">
        <f t="shared" si="71"/>
        <v>-4468.5</v>
      </c>
      <c r="AE25" s="66">
        <f t="shared" si="71"/>
        <v>7978.5</v>
      </c>
      <c r="AF25" s="66">
        <f t="shared" si="71"/>
        <v>-4973.8178600000001</v>
      </c>
      <c r="AG25" s="66">
        <f t="shared" si="71"/>
        <v>-4025.5</v>
      </c>
      <c r="AH25" s="66">
        <f t="shared" si="71"/>
        <v>-186.05737260273972</v>
      </c>
      <c r="AI25" s="66">
        <f t="shared" si="71"/>
        <v>186.54632099999981</v>
      </c>
      <c r="AJ25" s="66">
        <f t="shared" si="71"/>
        <v>847.5</v>
      </c>
      <c r="AK25" s="66">
        <f t="shared" si="71"/>
        <v>-310.73014480874315</v>
      </c>
      <c r="AL25" s="66">
        <f t="shared" si="71"/>
        <v>-10.61786</v>
      </c>
      <c r="AM25" s="66">
        <f t="shared" si="71"/>
        <v>886</v>
      </c>
      <c r="AN25" s="66">
        <f t="shared" si="71"/>
        <v>-1685.0986338797816</v>
      </c>
      <c r="AO25" s="66">
        <f t="shared" si="71"/>
        <v>0</v>
      </c>
      <c r="AP25" s="66">
        <f t="shared" si="71"/>
        <v>0</v>
      </c>
      <c r="AQ25" s="66">
        <f t="shared" si="71"/>
        <v>0</v>
      </c>
      <c r="AR25" s="66">
        <f t="shared" si="71"/>
        <v>0</v>
      </c>
      <c r="AS25" s="66">
        <f t="shared" si="71"/>
        <v>0</v>
      </c>
      <c r="AT25" s="67">
        <f t="shared" si="71"/>
        <v>0</v>
      </c>
      <c r="AU25" s="53"/>
    </row>
    <row r="26" spans="2:47" x14ac:dyDescent="0.3">
      <c r="B26" s="68" t="str">
        <f t="shared" si="7"/>
        <v>기초현금</v>
      </c>
      <c r="C26" s="69">
        <f>D26</f>
        <v>0</v>
      </c>
      <c r="D26" s="69">
        <f>W26</f>
        <v>0</v>
      </c>
      <c r="E26" s="69">
        <f>D27</f>
        <v>15920.162986000001</v>
      </c>
      <c r="F26" s="73">
        <f>E27</f>
        <v>817.66989339726024</v>
      </c>
      <c r="S26" s="68" t="s">
        <v>100</v>
      </c>
      <c r="T26" s="69">
        <f>U26</f>
        <v>0</v>
      </c>
      <c r="U26" s="69">
        <f>W26</f>
        <v>0</v>
      </c>
      <c r="V26" s="69">
        <f>U27</f>
        <v>15920.162986000001</v>
      </c>
      <c r="W26" s="75">
        <v>0</v>
      </c>
      <c r="X26" s="69">
        <f>W27</f>
        <v>6127</v>
      </c>
      <c r="Y26" s="69">
        <f t="shared" ref="Y26:AT26" si="72">X27</f>
        <v>6127</v>
      </c>
      <c r="Z26" s="69">
        <f t="shared" si="72"/>
        <v>5918.1808460000002</v>
      </c>
      <c r="AA26" s="69">
        <f t="shared" si="72"/>
        <v>15920.162985999999</v>
      </c>
      <c r="AB26" s="69">
        <f t="shared" si="72"/>
        <v>11811.162985999999</v>
      </c>
      <c r="AC26" s="69">
        <f t="shared" si="72"/>
        <v>11525.162985999999</v>
      </c>
      <c r="AD26" s="69">
        <f t="shared" si="72"/>
        <v>6493.0451259999991</v>
      </c>
      <c r="AE26" s="69">
        <f t="shared" si="72"/>
        <v>2024.5451259999991</v>
      </c>
      <c r="AF26" s="69">
        <f t="shared" si="72"/>
        <v>10003.045125999999</v>
      </c>
      <c r="AG26" s="69">
        <f t="shared" si="72"/>
        <v>5029.227265999999</v>
      </c>
      <c r="AH26" s="69">
        <f t="shared" si="72"/>
        <v>1003.727265999999</v>
      </c>
      <c r="AI26" s="69">
        <f t="shared" si="72"/>
        <v>817.66989339725922</v>
      </c>
      <c r="AJ26" s="69">
        <f t="shared" si="72"/>
        <v>1004.216214397259</v>
      </c>
      <c r="AK26" s="69">
        <f t="shared" si="72"/>
        <v>1851.7162143972591</v>
      </c>
      <c r="AL26" s="69">
        <f t="shared" si="72"/>
        <v>1540.9860695885159</v>
      </c>
      <c r="AM26" s="69">
        <f t="shared" si="72"/>
        <v>1530.3682095885158</v>
      </c>
      <c r="AN26" s="69">
        <f t="shared" si="72"/>
        <v>2416.368209588516</v>
      </c>
      <c r="AO26" s="69">
        <f t="shared" si="72"/>
        <v>731.26957570873446</v>
      </c>
      <c r="AP26" s="69">
        <f t="shared" si="72"/>
        <v>731.26957570873446</v>
      </c>
      <c r="AQ26" s="69">
        <f t="shared" si="72"/>
        <v>731.26957570873446</v>
      </c>
      <c r="AR26" s="69">
        <f t="shared" si="72"/>
        <v>731.26957570873446</v>
      </c>
      <c r="AS26" s="69">
        <f t="shared" si="72"/>
        <v>731.26957570873446</v>
      </c>
      <c r="AT26" s="73">
        <f t="shared" si="72"/>
        <v>731.26957570873446</v>
      </c>
      <c r="AU26" s="53"/>
    </row>
    <row r="27" spans="2:47" x14ac:dyDescent="0.3">
      <c r="B27" s="91" t="str">
        <f t="shared" si="7"/>
        <v>기말현금</v>
      </c>
      <c r="C27" s="92">
        <f t="shared" ref="C27:D27" si="73">C25+C26</f>
        <v>731.2695757087422</v>
      </c>
      <c r="D27" s="92">
        <f t="shared" si="73"/>
        <v>15920.162986000001</v>
      </c>
      <c r="E27" s="92">
        <f t="shared" ref="E27" si="74">E25+E26</f>
        <v>817.66989339726024</v>
      </c>
      <c r="F27" s="93">
        <f t="shared" ref="F27" si="75">F25+F26</f>
        <v>731.26957570873492</v>
      </c>
      <c r="S27" s="91" t="s">
        <v>101</v>
      </c>
      <c r="T27" s="92">
        <f t="shared" ref="T27:V27" si="76">T25+T26</f>
        <v>731.2695757087422</v>
      </c>
      <c r="U27" s="92">
        <f t="shared" si="76"/>
        <v>15920.162986000001</v>
      </c>
      <c r="V27" s="92">
        <f t="shared" si="76"/>
        <v>731.26957570874038</v>
      </c>
      <c r="W27" s="92">
        <f>W25+W26</f>
        <v>6127</v>
      </c>
      <c r="X27" s="92">
        <f>X25+X26</f>
        <v>6127</v>
      </c>
      <c r="Y27" s="92">
        <f t="shared" ref="Y27:AT27" si="77">Y25+Y26</f>
        <v>5918.1808460000002</v>
      </c>
      <c r="Z27" s="92">
        <f t="shared" si="77"/>
        <v>15920.162985999999</v>
      </c>
      <c r="AA27" s="92">
        <f t="shared" si="77"/>
        <v>11811.162985999999</v>
      </c>
      <c r="AB27" s="92">
        <f t="shared" si="77"/>
        <v>11525.162985999999</v>
      </c>
      <c r="AC27" s="92">
        <f t="shared" si="77"/>
        <v>6493.0451259999991</v>
      </c>
      <c r="AD27" s="92">
        <f t="shared" si="77"/>
        <v>2024.5451259999991</v>
      </c>
      <c r="AE27" s="92">
        <f t="shared" si="77"/>
        <v>10003.045125999999</v>
      </c>
      <c r="AF27" s="92">
        <f t="shared" si="77"/>
        <v>5029.227265999999</v>
      </c>
      <c r="AG27" s="92">
        <f t="shared" si="77"/>
        <v>1003.727265999999</v>
      </c>
      <c r="AH27" s="92">
        <f t="shared" si="77"/>
        <v>817.66989339725922</v>
      </c>
      <c r="AI27" s="92">
        <f t="shared" si="77"/>
        <v>1004.216214397259</v>
      </c>
      <c r="AJ27" s="92">
        <f t="shared" si="77"/>
        <v>1851.7162143972591</v>
      </c>
      <c r="AK27" s="92">
        <f t="shared" si="77"/>
        <v>1540.9860695885159</v>
      </c>
      <c r="AL27" s="92">
        <f t="shared" si="77"/>
        <v>1530.3682095885158</v>
      </c>
      <c r="AM27" s="92">
        <f t="shared" si="77"/>
        <v>2416.368209588516</v>
      </c>
      <c r="AN27" s="92">
        <f t="shared" si="77"/>
        <v>731.26957570873446</v>
      </c>
      <c r="AO27" s="92">
        <f t="shared" si="77"/>
        <v>731.26957570873446</v>
      </c>
      <c r="AP27" s="92">
        <f t="shared" si="77"/>
        <v>731.26957570873446</v>
      </c>
      <c r="AQ27" s="92">
        <f t="shared" si="77"/>
        <v>731.26957570873446</v>
      </c>
      <c r="AR27" s="92">
        <f t="shared" si="77"/>
        <v>731.26957570873446</v>
      </c>
      <c r="AS27" s="92">
        <f t="shared" si="77"/>
        <v>731.26957570873446</v>
      </c>
      <c r="AT27" s="93">
        <f t="shared" si="77"/>
        <v>731.26957570873446</v>
      </c>
      <c r="AU27" s="53"/>
    </row>
    <row r="28" spans="2:47" x14ac:dyDescent="0.3">
      <c r="B28" s="1" t="s">
        <v>123</v>
      </c>
      <c r="T28" s="51"/>
      <c r="U28" s="51"/>
      <c r="V28" s="51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474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2:47" x14ac:dyDescent="0.3">
      <c r="T29" s="51"/>
      <c r="U29" s="51"/>
      <c r="V29" s="51"/>
      <c r="W29" s="53"/>
      <c r="X29" s="53"/>
      <c r="Y29" s="53"/>
      <c r="Z29" s="53"/>
      <c r="AA29" s="53"/>
      <c r="AB29" s="53"/>
      <c r="AC29" s="53"/>
      <c r="AD29" s="53"/>
      <c r="AE29" s="474"/>
      <c r="AF29" s="53"/>
      <c r="AG29" s="53"/>
      <c r="AH29" s="53"/>
      <c r="AI29" s="474"/>
      <c r="AJ29" s="53"/>
      <c r="AK29" s="53"/>
      <c r="AL29" s="53"/>
      <c r="AM29" s="53"/>
      <c r="AN29" s="474"/>
      <c r="AO29" s="53"/>
      <c r="AP29" s="53"/>
      <c r="AQ29" s="53"/>
      <c r="AR29" s="53"/>
      <c r="AS29" s="53"/>
      <c r="AT29" s="53"/>
      <c r="AU29" s="53"/>
    </row>
    <row r="30" spans="2:47" x14ac:dyDescent="0.3">
      <c r="T30" s="52"/>
      <c r="U30" s="52"/>
      <c r="V30" s="52"/>
      <c r="W30" s="53"/>
      <c r="X30" s="53"/>
      <c r="Y30" s="53"/>
      <c r="Z30" s="53"/>
      <c r="AA30" s="53"/>
      <c r="AB30" s="53"/>
      <c r="AC30" s="53"/>
      <c r="AD30" s="53"/>
      <c r="AE30" s="474"/>
      <c r="AF30" s="474"/>
      <c r="AG30" s="474"/>
      <c r="AH30" s="474"/>
      <c r="AI30" s="474"/>
      <c r="AJ30" s="474"/>
      <c r="AK30" s="474"/>
      <c r="AL30" s="474"/>
      <c r="AM30" s="474"/>
      <c r="AN30" s="474"/>
      <c r="AO30" s="474"/>
      <c r="AP30" s="474"/>
      <c r="AQ30" s="474"/>
      <c r="AR30" s="474"/>
      <c r="AS30" s="474"/>
      <c r="AT30" s="474"/>
      <c r="AU30" s="53"/>
    </row>
    <row r="31" spans="2:47" x14ac:dyDescent="0.3">
      <c r="B31" s="58" t="s">
        <v>102</v>
      </c>
      <c r="C31" s="59" t="s">
        <v>721</v>
      </c>
      <c r="D31" s="59" t="s">
        <v>126</v>
      </c>
      <c r="E31" s="60" t="s">
        <v>127</v>
      </c>
      <c r="S31" s="611" t="s">
        <v>102</v>
      </c>
      <c r="T31" s="612" t="s">
        <v>107</v>
      </c>
      <c r="U31" s="59" t="s">
        <v>74</v>
      </c>
      <c r="V31" s="59" t="s">
        <v>87</v>
      </c>
      <c r="W31" s="61" t="s">
        <v>95</v>
      </c>
      <c r="X31" s="61" t="s">
        <v>95</v>
      </c>
      <c r="Y31" s="61" t="s">
        <v>95</v>
      </c>
      <c r="Z31" s="61" t="s">
        <v>95</v>
      </c>
      <c r="AA31" s="61" t="s">
        <v>95</v>
      </c>
      <c r="AB31" s="61" t="s">
        <v>95</v>
      </c>
      <c r="AC31" s="61" t="s">
        <v>95</v>
      </c>
      <c r="AD31" s="61" t="s">
        <v>95</v>
      </c>
      <c r="AE31" s="61" t="s">
        <v>95</v>
      </c>
      <c r="AF31" s="61" t="s">
        <v>95</v>
      </c>
      <c r="AG31" s="61" t="s">
        <v>95</v>
      </c>
      <c r="AH31" s="61" t="s">
        <v>95</v>
      </c>
      <c r="AI31" s="61" t="s">
        <v>96</v>
      </c>
      <c r="AJ31" s="61" t="s">
        <v>96</v>
      </c>
      <c r="AK31" s="61" t="s">
        <v>96</v>
      </c>
      <c r="AL31" s="61" t="s">
        <v>96</v>
      </c>
      <c r="AM31" s="61" t="s">
        <v>96</v>
      </c>
      <c r="AN31" s="61" t="s">
        <v>96</v>
      </c>
      <c r="AO31" s="61" t="s">
        <v>96</v>
      </c>
      <c r="AP31" s="61" t="s">
        <v>96</v>
      </c>
      <c r="AQ31" s="61" t="s">
        <v>96</v>
      </c>
      <c r="AR31" s="61" t="s">
        <v>96</v>
      </c>
      <c r="AS31" s="61" t="s">
        <v>96</v>
      </c>
      <c r="AT31" s="62" t="s">
        <v>96</v>
      </c>
      <c r="AU31" s="53"/>
    </row>
    <row r="32" spans="2:47" x14ac:dyDescent="0.3">
      <c r="B32" s="58"/>
      <c r="C32" s="59"/>
      <c r="D32" s="59"/>
      <c r="E32" s="60"/>
      <c r="S32" s="611"/>
      <c r="T32" s="612"/>
      <c r="U32" s="59"/>
      <c r="V32" s="59"/>
      <c r="W32" s="61"/>
      <c r="X32" s="61"/>
      <c r="Y32" s="61"/>
      <c r="Z32" s="61"/>
      <c r="AA32" s="61"/>
      <c r="AB32" s="61"/>
      <c r="AC32" s="61"/>
      <c r="AD32" s="61"/>
      <c r="AE32" s="61">
        <v>1</v>
      </c>
      <c r="AF32" s="61">
        <v>2</v>
      </c>
      <c r="AG32" s="61">
        <v>3</v>
      </c>
      <c r="AH32" s="61">
        <v>4</v>
      </c>
      <c r="AI32" s="61">
        <v>5</v>
      </c>
      <c r="AJ32" s="61">
        <v>6</v>
      </c>
      <c r="AK32" s="61">
        <v>7</v>
      </c>
      <c r="AL32" s="61">
        <v>8</v>
      </c>
      <c r="AM32" s="61">
        <v>9</v>
      </c>
      <c r="AN32" s="61"/>
      <c r="AO32" s="61"/>
      <c r="AP32" s="61"/>
      <c r="AQ32" s="61"/>
      <c r="AR32" s="61"/>
      <c r="AS32" s="61"/>
      <c r="AT32" s="62"/>
      <c r="AU32" s="53"/>
    </row>
    <row r="33" spans="2:47" x14ac:dyDescent="0.3">
      <c r="B33" s="68" t="s">
        <v>89</v>
      </c>
      <c r="C33" s="69">
        <f>-'수정본 (7)'!K19</f>
        <v>529.47999300000004</v>
      </c>
      <c r="D33" s="69">
        <f>-C11</f>
        <v>508.24427300000002</v>
      </c>
      <c r="E33" s="73">
        <f>D33-C33</f>
        <v>-21.235720000000015</v>
      </c>
      <c r="F33" s="53" t="s">
        <v>582</v>
      </c>
      <c r="G33" s="53"/>
      <c r="H33" s="53"/>
      <c r="I33" s="53"/>
      <c r="S33" s="611"/>
      <c r="T33" s="612"/>
      <c r="U33" s="59" t="s">
        <v>73</v>
      </c>
      <c r="V33" s="59" t="s">
        <v>73</v>
      </c>
      <c r="W33" s="63" t="s">
        <v>75</v>
      </c>
      <c r="X33" s="63" t="s">
        <v>76</v>
      </c>
      <c r="Y33" s="63" t="s">
        <v>77</v>
      </c>
      <c r="Z33" s="63" t="s">
        <v>78</v>
      </c>
      <c r="AA33" s="63" t="s">
        <v>79</v>
      </c>
      <c r="AB33" s="63" t="s">
        <v>80</v>
      </c>
      <c r="AC33" s="63" t="s">
        <v>81</v>
      </c>
      <c r="AD33" s="63" t="s">
        <v>82</v>
      </c>
      <c r="AE33" s="63" t="s">
        <v>83</v>
      </c>
      <c r="AF33" s="63" t="s">
        <v>84</v>
      </c>
      <c r="AG33" s="63" t="s">
        <v>85</v>
      </c>
      <c r="AH33" s="63" t="s">
        <v>86</v>
      </c>
      <c r="AI33" s="63" t="s">
        <v>75</v>
      </c>
      <c r="AJ33" s="63" t="s">
        <v>76</v>
      </c>
      <c r="AK33" s="63" t="s">
        <v>77</v>
      </c>
      <c r="AL33" s="63" t="s">
        <v>78</v>
      </c>
      <c r="AM33" s="63" t="s">
        <v>79</v>
      </c>
      <c r="AN33" s="63" t="s">
        <v>80</v>
      </c>
      <c r="AO33" s="63" t="s">
        <v>81</v>
      </c>
      <c r="AP33" s="63" t="s">
        <v>82</v>
      </c>
      <c r="AQ33" s="63" t="s">
        <v>83</v>
      </c>
      <c r="AR33" s="63" t="s">
        <v>84</v>
      </c>
      <c r="AS33" s="63" t="s">
        <v>85</v>
      </c>
      <c r="AT33" s="64" t="s">
        <v>86</v>
      </c>
      <c r="AU33" s="53"/>
    </row>
    <row r="34" spans="2:47" x14ac:dyDescent="0.3">
      <c r="B34" s="68" t="s">
        <v>124</v>
      </c>
      <c r="C34" s="69">
        <f>-'수정본 (7)'!K22</f>
        <v>48730</v>
      </c>
      <c r="D34" s="69">
        <f>-C14</f>
        <v>48730</v>
      </c>
      <c r="E34" s="73">
        <f t="shared" ref="E34:E40" si="78">D34-C34</f>
        <v>0</v>
      </c>
      <c r="F34" s="53"/>
      <c r="G34" s="53"/>
      <c r="H34" s="53"/>
      <c r="I34" s="53"/>
      <c r="S34" s="65" t="s">
        <v>108</v>
      </c>
      <c r="T34" s="94"/>
      <c r="U34" s="94"/>
      <c r="V34" s="94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7"/>
      <c r="AU34" s="53"/>
    </row>
    <row r="35" spans="2:47" x14ac:dyDescent="0.3">
      <c r="B35" s="68" t="s">
        <v>91</v>
      </c>
      <c r="C35" s="69">
        <f>-'수정본 (7)'!K23</f>
        <v>653.4</v>
      </c>
      <c r="D35" s="69">
        <f>-C15</f>
        <v>653.4</v>
      </c>
      <c r="E35" s="73">
        <f t="shared" si="78"/>
        <v>0</v>
      </c>
      <c r="F35" s="53"/>
      <c r="G35" s="53"/>
      <c r="H35" s="53"/>
      <c r="I35" s="53"/>
      <c r="S35" s="95" t="s">
        <v>109</v>
      </c>
      <c r="T35" s="77">
        <f>U35</f>
        <v>0</v>
      </c>
      <c r="U35" s="77">
        <f>W35</f>
        <v>0</v>
      </c>
      <c r="V35" s="77">
        <f>U38</f>
        <v>0</v>
      </c>
      <c r="W35" s="96">
        <v>0</v>
      </c>
      <c r="X35" s="77">
        <f>W38</f>
        <v>0</v>
      </c>
      <c r="Y35" s="77">
        <f t="shared" ref="Y35:AT35" si="79">X38</f>
        <v>0</v>
      </c>
      <c r="Z35" s="77">
        <f t="shared" si="79"/>
        <v>0</v>
      </c>
      <c r="AA35" s="77">
        <f t="shared" si="79"/>
        <v>0</v>
      </c>
      <c r="AB35" s="77">
        <f t="shared" si="79"/>
        <v>0</v>
      </c>
      <c r="AC35" s="77">
        <f t="shared" si="79"/>
        <v>0</v>
      </c>
      <c r="AD35" s="77">
        <f t="shared" si="79"/>
        <v>0</v>
      </c>
      <c r="AE35" s="77">
        <f t="shared" si="79"/>
        <v>0</v>
      </c>
      <c r="AF35" s="77">
        <f t="shared" si="79"/>
        <v>13000</v>
      </c>
      <c r="AG35" s="77">
        <f t="shared" si="79"/>
        <v>13000</v>
      </c>
      <c r="AH35" s="77">
        <f t="shared" si="79"/>
        <v>13000</v>
      </c>
      <c r="AI35" s="77">
        <f t="shared" si="79"/>
        <v>13000</v>
      </c>
      <c r="AJ35" s="77">
        <f t="shared" si="79"/>
        <v>25000</v>
      </c>
      <c r="AK35" s="77">
        <f t="shared" si="79"/>
        <v>25000</v>
      </c>
      <c r="AL35" s="77">
        <f t="shared" si="79"/>
        <v>25000</v>
      </c>
      <c r="AM35" s="77">
        <f t="shared" si="79"/>
        <v>25000</v>
      </c>
      <c r="AN35" s="77">
        <f t="shared" si="79"/>
        <v>25000</v>
      </c>
      <c r="AO35" s="77">
        <f t="shared" si="79"/>
        <v>27000</v>
      </c>
      <c r="AP35" s="77">
        <f t="shared" si="79"/>
        <v>27000</v>
      </c>
      <c r="AQ35" s="77">
        <f t="shared" si="79"/>
        <v>27000</v>
      </c>
      <c r="AR35" s="77">
        <f t="shared" si="79"/>
        <v>27000</v>
      </c>
      <c r="AS35" s="77">
        <f t="shared" si="79"/>
        <v>27000</v>
      </c>
      <c r="AT35" s="78">
        <f t="shared" si="79"/>
        <v>27000</v>
      </c>
      <c r="AU35" s="53"/>
    </row>
    <row r="36" spans="2:47" x14ac:dyDescent="0.3">
      <c r="B36" s="68" t="s">
        <v>93</v>
      </c>
      <c r="C36" s="69">
        <f>-'수정본 (7)'!K26</f>
        <v>2175.6999999999998</v>
      </c>
      <c r="D36" s="69">
        <f>-C18</f>
        <v>2175.6999999999998</v>
      </c>
      <c r="E36" s="73">
        <f t="shared" si="78"/>
        <v>0</v>
      </c>
      <c r="F36" s="53"/>
      <c r="G36" s="53"/>
      <c r="H36" s="53"/>
      <c r="I36" s="53"/>
      <c r="S36" s="99" t="s">
        <v>110</v>
      </c>
      <c r="T36" s="88">
        <f>U36+V36</f>
        <v>27000</v>
      </c>
      <c r="U36" s="88">
        <f t="shared" ref="U36:U37" si="80">SUM(W36:Z36)</f>
        <v>0</v>
      </c>
      <c r="V36" s="88">
        <f t="shared" ref="V36:V37" si="81">SUM(AA36:AT36)</f>
        <v>27000</v>
      </c>
      <c r="W36" s="89"/>
      <c r="X36" s="89"/>
      <c r="Y36" s="89"/>
      <c r="Z36" s="89"/>
      <c r="AA36" s="89"/>
      <c r="AB36" s="89"/>
      <c r="AC36" s="89"/>
      <c r="AD36" s="89"/>
      <c r="AE36" s="89">
        <f>현금흐름!E13</f>
        <v>13000</v>
      </c>
      <c r="AF36" s="89">
        <f>현금흐름!F13</f>
        <v>0</v>
      </c>
      <c r="AG36" s="89">
        <f>현금흐름!G13</f>
        <v>0</v>
      </c>
      <c r="AH36" s="89">
        <f>현금흐름!H13</f>
        <v>0</v>
      </c>
      <c r="AI36" s="89">
        <f>현금흐름!I13</f>
        <v>12000</v>
      </c>
      <c r="AJ36" s="89">
        <f>현금흐름!J13</f>
        <v>0</v>
      </c>
      <c r="AK36" s="89">
        <f>현금흐름!K13</f>
        <v>0</v>
      </c>
      <c r="AL36" s="89">
        <f>현금흐름!L13</f>
        <v>0</v>
      </c>
      <c r="AM36" s="89">
        <f>현금흐름!M13</f>
        <v>0</v>
      </c>
      <c r="AN36" s="89">
        <f>현금흐름!N13</f>
        <v>2000</v>
      </c>
      <c r="AO36" s="89">
        <f>현금흐름!O13</f>
        <v>0</v>
      </c>
      <c r="AP36" s="89">
        <f>현금흐름!P13</f>
        <v>0</v>
      </c>
      <c r="AQ36" s="89">
        <f>현금흐름!Q13</f>
        <v>0</v>
      </c>
      <c r="AR36" s="89">
        <f>현금흐름!R13</f>
        <v>0</v>
      </c>
      <c r="AS36" s="89">
        <f>현금흐름!S13</f>
        <v>0</v>
      </c>
      <c r="AT36" s="88">
        <f>현금흐름!T13</f>
        <v>0</v>
      </c>
      <c r="AU36" s="53"/>
    </row>
    <row r="37" spans="2:47" x14ac:dyDescent="0.3">
      <c r="B37" s="68" t="s">
        <v>113</v>
      </c>
      <c r="C37" s="69">
        <f>-'수정본 (7)'!K30</f>
        <v>1445.5</v>
      </c>
      <c r="D37" s="69">
        <f>-C22</f>
        <v>667.38615129126435</v>
      </c>
      <c r="E37" s="73">
        <f t="shared" si="78"/>
        <v>-778.11384870873565</v>
      </c>
      <c r="F37" s="53" t="s">
        <v>582</v>
      </c>
      <c r="G37" s="53"/>
      <c r="H37" s="53"/>
      <c r="I37" s="53"/>
      <c r="S37" s="99" t="s">
        <v>111</v>
      </c>
      <c r="T37" s="88">
        <f>U37+V37</f>
        <v>0</v>
      </c>
      <c r="U37" s="88">
        <f t="shared" si="80"/>
        <v>0</v>
      </c>
      <c r="V37" s="88">
        <f t="shared" si="81"/>
        <v>0</v>
      </c>
      <c r="W37" s="88">
        <v>0</v>
      </c>
      <c r="X37" s="88">
        <v>0</v>
      </c>
      <c r="Y37" s="88">
        <v>0</v>
      </c>
      <c r="Z37" s="88">
        <v>0</v>
      </c>
      <c r="AA37" s="88">
        <v>0</v>
      </c>
      <c r="AB37" s="88">
        <v>0</v>
      </c>
      <c r="AC37" s="88">
        <v>0</v>
      </c>
      <c r="AD37" s="88">
        <v>0</v>
      </c>
      <c r="AE37" s="88">
        <v>0</v>
      </c>
      <c r="AF37" s="88">
        <v>0</v>
      </c>
      <c r="AG37" s="88">
        <v>0</v>
      </c>
      <c r="AH37" s="88">
        <v>0</v>
      </c>
      <c r="AI37" s="88">
        <v>0</v>
      </c>
      <c r="AJ37" s="88">
        <v>0</v>
      </c>
      <c r="AK37" s="88">
        <v>0</v>
      </c>
      <c r="AL37" s="88">
        <v>0</v>
      </c>
      <c r="AM37" s="88">
        <v>0</v>
      </c>
      <c r="AN37" s="88">
        <v>0</v>
      </c>
      <c r="AO37" s="88">
        <v>0</v>
      </c>
      <c r="AP37" s="88">
        <v>0</v>
      </c>
      <c r="AQ37" s="88">
        <v>0</v>
      </c>
      <c r="AR37" s="88">
        <v>0</v>
      </c>
      <c r="AS37" s="88">
        <v>0</v>
      </c>
      <c r="AT37" s="100">
        <v>0</v>
      </c>
      <c r="AU37" s="53"/>
    </row>
    <row r="38" spans="2:47" x14ac:dyDescent="0.3">
      <c r="B38" s="68" t="s">
        <v>98</v>
      </c>
      <c r="C38" s="69">
        <f>-'수정본 (7)'!K31</f>
        <v>3399</v>
      </c>
      <c r="D38" s="69">
        <f>-C23</f>
        <v>3399</v>
      </c>
      <c r="E38" s="73">
        <f t="shared" si="78"/>
        <v>0</v>
      </c>
      <c r="F38" s="53"/>
      <c r="G38" s="53"/>
      <c r="H38" s="53"/>
      <c r="I38" s="53"/>
      <c r="S38" s="97" t="s">
        <v>112</v>
      </c>
      <c r="T38" s="80">
        <f t="shared" ref="T38:V38" si="82">T35+T36-T37</f>
        <v>27000</v>
      </c>
      <c r="U38" s="80">
        <f t="shared" si="82"/>
        <v>0</v>
      </c>
      <c r="V38" s="80">
        <f t="shared" si="82"/>
        <v>27000</v>
      </c>
      <c r="W38" s="80">
        <f>W35+W36-W37</f>
        <v>0</v>
      </c>
      <c r="X38" s="80">
        <f t="shared" ref="X38:AT38" si="83">X35+X36-X37</f>
        <v>0</v>
      </c>
      <c r="Y38" s="80">
        <f t="shared" si="83"/>
        <v>0</v>
      </c>
      <c r="Z38" s="80">
        <f t="shared" si="83"/>
        <v>0</v>
      </c>
      <c r="AA38" s="80">
        <f t="shared" si="83"/>
        <v>0</v>
      </c>
      <c r="AB38" s="80">
        <f t="shared" si="83"/>
        <v>0</v>
      </c>
      <c r="AC38" s="80">
        <f t="shared" si="83"/>
        <v>0</v>
      </c>
      <c r="AD38" s="80">
        <f t="shared" si="83"/>
        <v>0</v>
      </c>
      <c r="AE38" s="80">
        <f t="shared" si="83"/>
        <v>13000</v>
      </c>
      <c r="AF38" s="80">
        <f t="shared" si="83"/>
        <v>13000</v>
      </c>
      <c r="AG38" s="80">
        <f t="shared" si="83"/>
        <v>13000</v>
      </c>
      <c r="AH38" s="80">
        <f t="shared" si="83"/>
        <v>13000</v>
      </c>
      <c r="AI38" s="80">
        <f t="shared" si="83"/>
        <v>25000</v>
      </c>
      <c r="AJ38" s="80">
        <f t="shared" si="83"/>
        <v>25000</v>
      </c>
      <c r="AK38" s="80">
        <f t="shared" si="83"/>
        <v>25000</v>
      </c>
      <c r="AL38" s="80">
        <f t="shared" si="83"/>
        <v>25000</v>
      </c>
      <c r="AM38" s="80">
        <f t="shared" si="83"/>
        <v>25000</v>
      </c>
      <c r="AN38" s="80">
        <f t="shared" si="83"/>
        <v>27000</v>
      </c>
      <c r="AO38" s="80">
        <f t="shared" si="83"/>
        <v>27000</v>
      </c>
      <c r="AP38" s="80">
        <f t="shared" si="83"/>
        <v>27000</v>
      </c>
      <c r="AQ38" s="80">
        <f t="shared" si="83"/>
        <v>27000</v>
      </c>
      <c r="AR38" s="80">
        <f t="shared" si="83"/>
        <v>27000</v>
      </c>
      <c r="AS38" s="80">
        <f t="shared" si="83"/>
        <v>27000</v>
      </c>
      <c r="AT38" s="98">
        <f t="shared" si="83"/>
        <v>27000</v>
      </c>
      <c r="AU38" s="53"/>
    </row>
    <row r="39" spans="2:47" ht="13.8" thickBot="1" x14ac:dyDescent="0.35">
      <c r="B39" s="95" t="s">
        <v>125</v>
      </c>
      <c r="C39" s="77">
        <f>-'수정본 (7)'!K32</f>
        <v>-4174</v>
      </c>
      <c r="D39" s="77">
        <f>-C24</f>
        <v>-3865</v>
      </c>
      <c r="E39" s="78">
        <f t="shared" si="78"/>
        <v>309</v>
      </c>
      <c r="F39" s="53" t="s">
        <v>582</v>
      </c>
      <c r="G39" s="53"/>
      <c r="H39" s="53"/>
      <c r="I39" s="53"/>
      <c r="S39" s="95" t="s">
        <v>113</v>
      </c>
      <c r="T39" s="77">
        <f>T40+T41</f>
        <v>667.38615129126424</v>
      </c>
      <c r="U39" s="77">
        <f t="shared" ref="U39:AT39" si="84">U40+U41</f>
        <v>0</v>
      </c>
      <c r="V39" s="77">
        <f t="shared" si="84"/>
        <v>667.38615129126424</v>
      </c>
      <c r="W39" s="77">
        <f t="shared" si="84"/>
        <v>0</v>
      </c>
      <c r="X39" s="77">
        <f t="shared" si="84"/>
        <v>0</v>
      </c>
      <c r="Y39" s="77">
        <f t="shared" si="84"/>
        <v>0</v>
      </c>
      <c r="Z39" s="77">
        <f t="shared" si="84"/>
        <v>0</v>
      </c>
      <c r="AA39" s="77">
        <f t="shared" si="84"/>
        <v>0</v>
      </c>
      <c r="AB39" s="77">
        <f t="shared" si="84"/>
        <v>0</v>
      </c>
      <c r="AC39" s="77">
        <f t="shared" si="84"/>
        <v>0</v>
      </c>
      <c r="AD39" s="77">
        <f t="shared" si="84"/>
        <v>0</v>
      </c>
      <c r="AE39" s="77">
        <f t="shared" si="84"/>
        <v>0</v>
      </c>
      <c r="AF39" s="77">
        <f t="shared" si="84"/>
        <v>0</v>
      </c>
      <c r="AG39" s="77">
        <f t="shared" si="84"/>
        <v>0</v>
      </c>
      <c r="AH39" s="77">
        <f t="shared" si="84"/>
        <v>147.55737260273972</v>
      </c>
      <c r="AI39" s="77">
        <f t="shared" si="84"/>
        <v>0</v>
      </c>
      <c r="AJ39" s="77">
        <f t="shared" si="84"/>
        <v>0</v>
      </c>
      <c r="AK39" s="77">
        <f t="shared" si="84"/>
        <v>233.73014480874315</v>
      </c>
      <c r="AL39" s="77">
        <f t="shared" si="84"/>
        <v>0</v>
      </c>
      <c r="AM39" s="77">
        <f t="shared" si="84"/>
        <v>0</v>
      </c>
      <c r="AN39" s="77">
        <f t="shared" si="84"/>
        <v>286.0986338797814</v>
      </c>
      <c r="AO39" s="77">
        <f t="shared" si="84"/>
        <v>0</v>
      </c>
      <c r="AP39" s="77">
        <f t="shared" si="84"/>
        <v>0</v>
      </c>
      <c r="AQ39" s="77">
        <f t="shared" si="84"/>
        <v>0</v>
      </c>
      <c r="AR39" s="77">
        <f t="shared" si="84"/>
        <v>0</v>
      </c>
      <c r="AS39" s="77">
        <f t="shared" si="84"/>
        <v>0</v>
      </c>
      <c r="AT39" s="78">
        <f t="shared" si="84"/>
        <v>0</v>
      </c>
      <c r="AU39" s="53"/>
    </row>
    <row r="40" spans="2:47" ht="13.8" thickTop="1" x14ac:dyDescent="0.3">
      <c r="B40" s="111" t="s">
        <v>107</v>
      </c>
      <c r="C40" s="112">
        <f>SUM(C33:C39)</f>
        <v>52759.079992999999</v>
      </c>
      <c r="D40" s="112">
        <f>SUM(D33:D39)</f>
        <v>52268.730424291258</v>
      </c>
      <c r="E40" s="113">
        <f t="shared" si="78"/>
        <v>-490.34956870874157</v>
      </c>
      <c r="F40" s="53"/>
      <c r="G40" s="53"/>
      <c r="H40" s="53"/>
      <c r="I40" s="53"/>
      <c r="R40" s="473"/>
      <c r="S40" s="101" t="s">
        <v>114</v>
      </c>
      <c r="T40" s="84">
        <f t="shared" ref="T40:T41" si="85">U40+V40</f>
        <v>0</v>
      </c>
      <c r="U40" s="84">
        <f t="shared" ref="U40:U41" si="86">SUM(W40:Z40)</f>
        <v>0</v>
      </c>
      <c r="V40" s="84">
        <f t="shared" ref="V40:V41" si="87">SUM(AA40:AT40)</f>
        <v>0</v>
      </c>
      <c r="W40" s="84"/>
      <c r="X40" s="84"/>
      <c r="Y40" s="84"/>
      <c r="Z40" s="84"/>
      <c r="AA40" s="84"/>
      <c r="AB40" s="84"/>
      <c r="AC40" s="84"/>
      <c r="AD40" s="84"/>
      <c r="AE40" s="84">
        <f>T36*$R$40</f>
        <v>0</v>
      </c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102"/>
      <c r="AU40" s="53"/>
    </row>
    <row r="41" spans="2:47" x14ac:dyDescent="0.3">
      <c r="C41" s="53"/>
      <c r="D41" s="53"/>
      <c r="E41" s="53"/>
      <c r="F41" s="53"/>
      <c r="G41" s="53"/>
      <c r="H41" s="53"/>
      <c r="I41" s="53"/>
      <c r="R41" s="473"/>
      <c r="S41" s="103" t="s">
        <v>115</v>
      </c>
      <c r="T41" s="88">
        <f t="shared" si="85"/>
        <v>667.38615129126424</v>
      </c>
      <c r="U41" s="88">
        <f t="shared" si="86"/>
        <v>0</v>
      </c>
      <c r="V41" s="88">
        <f t="shared" si="87"/>
        <v>667.38615129126424</v>
      </c>
      <c r="W41" s="88"/>
      <c r="X41" s="88"/>
      <c r="Y41" s="88"/>
      <c r="Z41" s="88"/>
      <c r="AA41" s="88"/>
      <c r="AB41" s="88"/>
      <c r="AC41" s="88"/>
      <c r="AD41" s="88"/>
      <c r="AE41" s="88">
        <f>AE43</f>
        <v>0</v>
      </c>
      <c r="AF41" s="88">
        <f t="shared" ref="AF41:AN41" si="88">AF43</f>
        <v>0</v>
      </c>
      <c r="AG41" s="88">
        <f t="shared" si="88"/>
        <v>0</v>
      </c>
      <c r="AH41" s="88">
        <f t="shared" si="88"/>
        <v>147.55737260273972</v>
      </c>
      <c r="AI41" s="88">
        <f t="shared" si="88"/>
        <v>0</v>
      </c>
      <c r="AJ41" s="88">
        <f t="shared" si="88"/>
        <v>0</v>
      </c>
      <c r="AK41" s="88">
        <f t="shared" si="88"/>
        <v>233.73014480874315</v>
      </c>
      <c r="AL41" s="88">
        <f t="shared" si="88"/>
        <v>0</v>
      </c>
      <c r="AM41" s="88">
        <f t="shared" si="88"/>
        <v>0</v>
      </c>
      <c r="AN41" s="88">
        <f t="shared" si="88"/>
        <v>286.0986338797814</v>
      </c>
      <c r="AO41" s="88"/>
      <c r="AP41" s="88"/>
      <c r="AQ41" s="88"/>
      <c r="AR41" s="88"/>
      <c r="AS41" s="88"/>
      <c r="AT41" s="100"/>
      <c r="AU41" s="53"/>
    </row>
    <row r="42" spans="2:47" x14ac:dyDescent="0.3">
      <c r="C42" s="53"/>
      <c r="D42" s="53"/>
      <c r="E42" s="53"/>
      <c r="F42" s="53"/>
      <c r="G42" s="53"/>
      <c r="H42" s="53"/>
      <c r="I42" s="53"/>
      <c r="S42" s="104" t="s">
        <v>118</v>
      </c>
      <c r="T42" s="88">
        <f t="shared" ref="T42:T43" si="89">U42+V42</f>
        <v>667.38615129126424</v>
      </c>
      <c r="U42" s="88">
        <f t="shared" ref="U42:U43" si="90">SUM(W42:Z42)</f>
        <v>0</v>
      </c>
      <c r="V42" s="88">
        <f t="shared" ref="V42:V43" si="91">SUM(AA42:AT42)</f>
        <v>667.38615129126424</v>
      </c>
      <c r="W42" s="88"/>
      <c r="X42" s="88"/>
      <c r="Y42" s="88"/>
      <c r="Z42" s="88"/>
      <c r="AA42" s="88"/>
      <c r="AB42" s="88"/>
      <c r="AC42" s="88"/>
      <c r="AD42" s="88"/>
      <c r="AE42" s="88">
        <f>현금흐름!E17</f>
        <v>0</v>
      </c>
      <c r="AF42" s="88">
        <f>현금흐름!F17</f>
        <v>48.645287671232872</v>
      </c>
      <c r="AG42" s="88">
        <f>현금흐름!G17</f>
        <v>50.266797260273968</v>
      </c>
      <c r="AH42" s="88">
        <f>현금흐름!H17</f>
        <v>48.645287671232872</v>
      </c>
      <c r="AI42" s="88">
        <f>현금흐름!I17</f>
        <v>50.129456284153001</v>
      </c>
      <c r="AJ42" s="88">
        <f>현금흐름!J17</f>
        <v>93.417423497267748</v>
      </c>
      <c r="AK42" s="88">
        <f>현금흐름!K17</f>
        <v>90.183265027322406</v>
      </c>
      <c r="AL42" s="88">
        <f>현금흐름!L17</f>
        <v>96.402800546448077</v>
      </c>
      <c r="AM42" s="88">
        <f>현금흐름!M17</f>
        <v>93.293032786885234</v>
      </c>
      <c r="AN42" s="88">
        <f>현금흐름!N17</f>
        <v>96.402800546448077</v>
      </c>
      <c r="AO42" s="88"/>
      <c r="AP42" s="88"/>
      <c r="AQ42" s="88"/>
      <c r="AR42" s="88"/>
      <c r="AS42" s="88"/>
      <c r="AT42" s="100"/>
      <c r="AU42" s="53"/>
    </row>
    <row r="43" spans="2:47" x14ac:dyDescent="0.3">
      <c r="C43" s="53"/>
      <c r="D43" s="53"/>
      <c r="E43" s="53"/>
      <c r="F43" s="53"/>
      <c r="G43" s="53"/>
      <c r="H43" s="53"/>
      <c r="I43" s="53"/>
      <c r="S43" s="105" t="s">
        <v>119</v>
      </c>
      <c r="T43" s="80">
        <f t="shared" si="89"/>
        <v>667.38615129126424</v>
      </c>
      <c r="U43" s="80">
        <f t="shared" si="90"/>
        <v>0</v>
      </c>
      <c r="V43" s="80">
        <f t="shared" si="91"/>
        <v>667.38615129126424</v>
      </c>
      <c r="W43" s="80"/>
      <c r="X43" s="80"/>
      <c r="Y43" s="80"/>
      <c r="Z43" s="80"/>
      <c r="AA43" s="80"/>
      <c r="AB43" s="80"/>
      <c r="AC43" s="80"/>
      <c r="AD43" s="80"/>
      <c r="AE43" s="80">
        <f>현금흐름!E18</f>
        <v>0</v>
      </c>
      <c r="AF43" s="80">
        <f>현금흐름!F18</f>
        <v>0</v>
      </c>
      <c r="AG43" s="80">
        <f>현금흐름!G18</f>
        <v>0</v>
      </c>
      <c r="AH43" s="80">
        <f>현금흐름!H18</f>
        <v>147.55737260273972</v>
      </c>
      <c r="AI43" s="80">
        <f>현금흐름!I18</f>
        <v>0</v>
      </c>
      <c r="AJ43" s="80">
        <f>현금흐름!J18</f>
        <v>0</v>
      </c>
      <c r="AK43" s="80">
        <f>현금흐름!K18</f>
        <v>233.73014480874315</v>
      </c>
      <c r="AL43" s="80">
        <f>현금흐름!L18</f>
        <v>0</v>
      </c>
      <c r="AM43" s="80">
        <f>현금흐름!M18</f>
        <v>0</v>
      </c>
      <c r="AN43" s="80">
        <f>현금흐름!N18</f>
        <v>286.0986338797814</v>
      </c>
      <c r="AO43" s="80"/>
      <c r="AP43" s="80"/>
      <c r="AQ43" s="80"/>
      <c r="AR43" s="80"/>
      <c r="AS43" s="80"/>
      <c r="AT43" s="98"/>
      <c r="AU43" s="53"/>
    </row>
    <row r="44" spans="2:47" x14ac:dyDescent="0.3">
      <c r="C44" s="53"/>
      <c r="D44" s="53"/>
      <c r="E44" s="53"/>
      <c r="F44" s="53"/>
      <c r="G44" s="53"/>
      <c r="H44" s="53"/>
      <c r="I44" s="53"/>
    </row>
    <row r="45" spans="2:47" x14ac:dyDescent="0.3">
      <c r="B45" s="2" t="s">
        <v>519</v>
      </c>
      <c r="C45" s="53"/>
      <c r="D45" s="53"/>
      <c r="E45" s="53"/>
      <c r="F45" s="53"/>
      <c r="G45" s="53"/>
      <c r="H45" s="53"/>
      <c r="I45" s="53"/>
    </row>
    <row r="47" spans="2:47" x14ac:dyDescent="0.3">
      <c r="B47" s="611" t="s">
        <v>102</v>
      </c>
      <c r="C47" s="612" t="s">
        <v>107</v>
      </c>
      <c r="D47" s="106" t="s">
        <v>74</v>
      </c>
      <c r="E47" s="107" t="s">
        <v>95</v>
      </c>
      <c r="F47" s="108" t="s">
        <v>96</v>
      </c>
    </row>
    <row r="48" spans="2:47" x14ac:dyDescent="0.3">
      <c r="B48" s="611"/>
      <c r="C48" s="612"/>
      <c r="D48" s="109" t="s">
        <v>121</v>
      </c>
      <c r="E48" s="109" t="s">
        <v>122</v>
      </c>
      <c r="F48" s="110" t="s">
        <v>594</v>
      </c>
    </row>
    <row r="49" spans="2:7" x14ac:dyDescent="0.3">
      <c r="B49" s="76" t="s">
        <v>520</v>
      </c>
      <c r="C49" s="53">
        <f>-C11</f>
        <v>508.24427300000002</v>
      </c>
      <c r="D49" s="53">
        <f t="shared" ref="D49:F49" si="92">-D11</f>
        <v>219.437014</v>
      </c>
      <c r="E49" s="53">
        <f t="shared" si="92"/>
        <v>21.235720000000001</v>
      </c>
      <c r="F49" s="53">
        <f t="shared" si="92"/>
        <v>267.57153899999997</v>
      </c>
    </row>
    <row r="50" spans="2:7" x14ac:dyDescent="0.3">
      <c r="B50" s="83" t="s">
        <v>521</v>
      </c>
      <c r="C50" s="53">
        <f t="shared" ref="C50:F50" si="93">-C12</f>
        <v>451.61566800000003</v>
      </c>
      <c r="D50" s="53">
        <f t="shared" si="93"/>
        <v>205.27984900000001</v>
      </c>
      <c r="E50" s="53">
        <f t="shared" si="93"/>
        <v>0</v>
      </c>
      <c r="F50" s="53">
        <f t="shared" si="93"/>
        <v>246.33581899999999</v>
      </c>
    </row>
    <row r="51" spans="2:7" x14ac:dyDescent="0.3">
      <c r="B51" s="79" t="s">
        <v>522</v>
      </c>
      <c r="C51" s="53">
        <f t="shared" ref="C51:F51" si="94">-C13</f>
        <v>56.628605</v>
      </c>
      <c r="D51" s="53">
        <f t="shared" si="94"/>
        <v>14.157165000000001</v>
      </c>
      <c r="E51" s="53">
        <f t="shared" si="94"/>
        <v>21.235720000000001</v>
      </c>
      <c r="F51" s="53">
        <f t="shared" si="94"/>
        <v>21.235720000000001</v>
      </c>
    </row>
    <row r="52" spans="2:7" x14ac:dyDescent="0.3">
      <c r="B52" s="72" t="s">
        <v>523</v>
      </c>
      <c r="C52" s="53">
        <f t="shared" ref="C52:F52" si="95">-C14</f>
        <v>48730</v>
      </c>
      <c r="D52" s="53">
        <f t="shared" si="95"/>
        <v>9746</v>
      </c>
      <c r="E52" s="53">
        <f t="shared" si="95"/>
        <v>29238</v>
      </c>
      <c r="F52" s="53">
        <f t="shared" si="95"/>
        <v>9746</v>
      </c>
      <c r="G52" s="448"/>
    </row>
    <row r="53" spans="2:7" x14ac:dyDescent="0.3">
      <c r="B53" s="76" t="s">
        <v>524</v>
      </c>
      <c r="C53" s="53">
        <f t="shared" ref="C53:F53" si="96">-C15</f>
        <v>653.4</v>
      </c>
      <c r="D53" s="53">
        <f t="shared" si="96"/>
        <v>114.4</v>
      </c>
      <c r="E53" s="53">
        <f t="shared" si="96"/>
        <v>385</v>
      </c>
      <c r="F53" s="53">
        <f t="shared" si="96"/>
        <v>154</v>
      </c>
    </row>
    <row r="54" spans="2:7" x14ac:dyDescent="0.3">
      <c r="B54" s="83" t="s">
        <v>525</v>
      </c>
      <c r="C54" s="53">
        <f t="shared" ref="C54:F54" si="97">-C16</f>
        <v>576.4</v>
      </c>
      <c r="D54" s="53">
        <f t="shared" si="97"/>
        <v>114.4</v>
      </c>
      <c r="E54" s="53">
        <f t="shared" si="97"/>
        <v>308</v>
      </c>
      <c r="F54" s="53">
        <f t="shared" si="97"/>
        <v>154</v>
      </c>
    </row>
    <row r="55" spans="2:7" x14ac:dyDescent="0.3">
      <c r="B55" s="79" t="s">
        <v>526</v>
      </c>
      <c r="C55" s="53">
        <f t="shared" ref="C55:F55" si="98">-C17</f>
        <v>77</v>
      </c>
      <c r="D55" s="53">
        <f t="shared" si="98"/>
        <v>0</v>
      </c>
      <c r="E55" s="53">
        <f t="shared" si="98"/>
        <v>77</v>
      </c>
      <c r="F55" s="53">
        <f t="shared" si="98"/>
        <v>0</v>
      </c>
    </row>
    <row r="56" spans="2:7" x14ac:dyDescent="0.3">
      <c r="B56" s="76" t="s">
        <v>527</v>
      </c>
      <c r="C56" s="53">
        <f t="shared" ref="C56:F56" si="99">-C18</f>
        <v>2175.6999999999998</v>
      </c>
      <c r="D56" s="53">
        <f t="shared" si="99"/>
        <v>0</v>
      </c>
      <c r="E56" s="53">
        <f t="shared" si="99"/>
        <v>403.7</v>
      </c>
      <c r="F56" s="53">
        <f t="shared" si="99"/>
        <v>1772</v>
      </c>
    </row>
    <row r="57" spans="2:7" x14ac:dyDescent="0.3">
      <c r="B57" s="83" t="s">
        <v>528</v>
      </c>
      <c r="C57" s="53">
        <f t="shared" ref="C57:F57" si="100">-C19</f>
        <v>352</v>
      </c>
      <c r="D57" s="53">
        <f t="shared" si="100"/>
        <v>0</v>
      </c>
      <c r="E57" s="53">
        <f t="shared" si="100"/>
        <v>352</v>
      </c>
      <c r="F57" s="53">
        <f t="shared" si="100"/>
        <v>0</v>
      </c>
    </row>
    <row r="58" spans="2:7" x14ac:dyDescent="0.3">
      <c r="B58" s="87" t="s">
        <v>529</v>
      </c>
      <c r="C58" s="53">
        <f t="shared" ref="C58:F58" si="101">-C20</f>
        <v>51.7</v>
      </c>
      <c r="D58" s="53">
        <f t="shared" si="101"/>
        <v>0</v>
      </c>
      <c r="E58" s="53">
        <f t="shared" si="101"/>
        <v>51.7</v>
      </c>
      <c r="F58" s="53">
        <f t="shared" si="101"/>
        <v>0</v>
      </c>
    </row>
    <row r="59" spans="2:7" x14ac:dyDescent="0.3">
      <c r="B59" s="79" t="s">
        <v>530</v>
      </c>
      <c r="C59" s="53">
        <f t="shared" ref="C59:F59" si="102">-C21</f>
        <v>1772</v>
      </c>
      <c r="D59" s="53">
        <f t="shared" si="102"/>
        <v>0</v>
      </c>
      <c r="E59" s="53">
        <f t="shared" si="102"/>
        <v>0</v>
      </c>
      <c r="F59" s="53">
        <f t="shared" si="102"/>
        <v>1772</v>
      </c>
    </row>
    <row r="60" spans="2:7" x14ac:dyDescent="0.3">
      <c r="B60" s="72" t="s">
        <v>531</v>
      </c>
      <c r="C60" s="53">
        <f t="shared" ref="C60:F60" si="103">-C22</f>
        <v>667.38615129126435</v>
      </c>
      <c r="D60" s="53">
        <f t="shared" si="103"/>
        <v>0</v>
      </c>
      <c r="E60" s="53">
        <f t="shared" si="103"/>
        <v>147.55737260273972</v>
      </c>
      <c r="F60" s="53">
        <f t="shared" si="103"/>
        <v>519.82877868852461</v>
      </c>
    </row>
    <row r="61" spans="2:7" x14ac:dyDescent="0.3">
      <c r="B61" s="72" t="s">
        <v>532</v>
      </c>
      <c r="C61" s="53">
        <f t="shared" ref="C61:F61" si="104">-C23</f>
        <v>3399</v>
      </c>
      <c r="D61" s="53">
        <f t="shared" si="104"/>
        <v>0</v>
      </c>
      <c r="E61" s="53">
        <f t="shared" si="104"/>
        <v>0</v>
      </c>
      <c r="F61" s="53">
        <f t="shared" si="104"/>
        <v>3399</v>
      </c>
    </row>
    <row r="62" spans="2:7" x14ac:dyDescent="0.3">
      <c r="B62" s="74" t="s">
        <v>533</v>
      </c>
      <c r="C62" s="53">
        <f t="shared" ref="C62:F62" si="105">-C24</f>
        <v>-3865</v>
      </c>
      <c r="D62" s="53">
        <f t="shared" si="105"/>
        <v>0</v>
      </c>
      <c r="E62" s="53">
        <f t="shared" si="105"/>
        <v>-2093</v>
      </c>
      <c r="F62" s="53">
        <f t="shared" si="105"/>
        <v>-1772</v>
      </c>
    </row>
    <row r="63" spans="2:7" x14ac:dyDescent="0.3">
      <c r="B63" s="74" t="s">
        <v>534</v>
      </c>
      <c r="C63" s="53">
        <f>SUM(C49,C52:C53,C56,C60:C62)</f>
        <v>52268.730424291258</v>
      </c>
      <c r="D63" s="53">
        <f t="shared" ref="D63:F63" si="106">SUM(D49,D52:D53,D56,D60:D62)</f>
        <v>10079.837013999999</v>
      </c>
      <c r="E63" s="53">
        <f t="shared" si="106"/>
        <v>28102.493092602741</v>
      </c>
      <c r="F63" s="53">
        <f t="shared" si="106"/>
        <v>14086.400317688525</v>
      </c>
      <c r="G63" s="53" t="b">
        <f>C63=SUM(D63:F63)</f>
        <v>1</v>
      </c>
    </row>
    <row r="64" spans="2:7" x14ac:dyDescent="0.3">
      <c r="G64" s="1" t="b">
        <f>C63=-C10</f>
        <v>1</v>
      </c>
    </row>
    <row r="67" spans="2:6" x14ac:dyDescent="0.3">
      <c r="B67" s="2" t="s">
        <v>535</v>
      </c>
    </row>
    <row r="69" spans="2:6" x14ac:dyDescent="0.3">
      <c r="B69" s="611" t="s">
        <v>102</v>
      </c>
      <c r="C69" s="612" t="s">
        <v>107</v>
      </c>
      <c r="D69" s="106" t="s">
        <v>74</v>
      </c>
      <c r="E69" s="107" t="s">
        <v>95</v>
      </c>
      <c r="F69" s="108" t="s">
        <v>96</v>
      </c>
    </row>
    <row r="70" spans="2:6" x14ac:dyDescent="0.3">
      <c r="B70" s="611"/>
      <c r="C70" s="612"/>
      <c r="D70" s="109" t="s">
        <v>121</v>
      </c>
      <c r="E70" s="109" t="s">
        <v>122</v>
      </c>
      <c r="F70" s="110" t="s">
        <v>594</v>
      </c>
    </row>
    <row r="71" spans="2:6" x14ac:dyDescent="0.3">
      <c r="B71" s="65" t="s">
        <v>107</v>
      </c>
      <c r="C71" s="66">
        <f>C72+C73</f>
        <v>53000</v>
      </c>
      <c r="D71" s="66">
        <f t="shared" ref="D71:F71" si="107">D72+D73</f>
        <v>26000</v>
      </c>
      <c r="E71" s="66">
        <f t="shared" si="107"/>
        <v>13000</v>
      </c>
      <c r="F71" s="66">
        <f t="shared" si="107"/>
        <v>14000</v>
      </c>
    </row>
    <row r="72" spans="2:6" x14ac:dyDescent="0.3">
      <c r="B72" s="68" t="s">
        <v>536</v>
      </c>
      <c r="C72" s="69">
        <f>C7</f>
        <v>26000</v>
      </c>
      <c r="D72" s="69">
        <f t="shared" ref="D72:F72" si="108">D7</f>
        <v>26000</v>
      </c>
      <c r="E72" s="69">
        <f t="shared" si="108"/>
        <v>0</v>
      </c>
      <c r="F72" s="69">
        <f t="shared" si="108"/>
        <v>0</v>
      </c>
    </row>
    <row r="73" spans="2:6" x14ac:dyDescent="0.3">
      <c r="B73" s="68" t="s">
        <v>537</v>
      </c>
      <c r="C73" s="69">
        <f>C8</f>
        <v>27000</v>
      </c>
      <c r="D73" s="69">
        <f t="shared" ref="D73:F73" si="109">D8</f>
        <v>0</v>
      </c>
      <c r="E73" s="69">
        <f t="shared" si="109"/>
        <v>13000</v>
      </c>
      <c r="F73" s="69">
        <f t="shared" si="109"/>
        <v>14000</v>
      </c>
    </row>
  </sheetData>
  <mergeCells count="16">
    <mergeCell ref="B47:B48"/>
    <mergeCell ref="C47:C48"/>
    <mergeCell ref="B69:B70"/>
    <mergeCell ref="C69:C70"/>
    <mergeCell ref="S31:S33"/>
    <mergeCell ref="T31:T33"/>
    <mergeCell ref="B4:B5"/>
    <mergeCell ref="C4:C5"/>
    <mergeCell ref="H4:I4"/>
    <mergeCell ref="J4:K4"/>
    <mergeCell ref="AA3:AT3"/>
    <mergeCell ref="W3:Z3"/>
    <mergeCell ref="S3:S5"/>
    <mergeCell ref="T3:T5"/>
    <mergeCell ref="U4:U5"/>
    <mergeCell ref="V4:V5"/>
  </mergeCells>
  <phoneticPr fontId="5" type="noConversion"/>
  <dataValidations disablePrompts="1" count="1">
    <dataValidation type="list" allowBlank="1" showInputMessage="1" showErrorMessage="1" sqref="P44" xr:uid="{4B602161-7E7C-4EC0-B430-6AB76ED17C1C}">
      <formula1>$P$45:$P$46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B72EA-E3F1-4E18-9CAC-1EF2BA3EA784}">
  <dimension ref="A2:AE70"/>
  <sheetViews>
    <sheetView showGridLines="0" workbookViewId="0">
      <selection activeCell="G53" sqref="G53"/>
    </sheetView>
  </sheetViews>
  <sheetFormatPr defaultRowHeight="13.2" x14ac:dyDescent="0.3"/>
  <cols>
    <col min="2" max="2" width="19.625" customWidth="1"/>
    <col min="24" max="24" width="9.625" bestFit="1" customWidth="1"/>
    <col min="25" max="25" width="11.125" bestFit="1" customWidth="1"/>
    <col min="26" max="26" width="9.625" bestFit="1" customWidth="1"/>
  </cols>
  <sheetData>
    <row r="2" spans="1:31" x14ac:dyDescent="0.3">
      <c r="B2" s="2" t="s">
        <v>247</v>
      </c>
    </row>
    <row r="3" spans="1:31" x14ac:dyDescent="0.3">
      <c r="D3" s="271">
        <v>6</v>
      </c>
      <c r="H3" s="421" t="s">
        <v>558</v>
      </c>
      <c r="S3" s="114" t="s">
        <v>128</v>
      </c>
    </row>
    <row r="4" spans="1:31" x14ac:dyDescent="0.3">
      <c r="B4" s="597" t="s">
        <v>102</v>
      </c>
      <c r="C4" s="598" t="s">
        <v>107</v>
      </c>
      <c r="D4" s="231" t="s">
        <v>289</v>
      </c>
      <c r="E4" s="231" t="s">
        <v>290</v>
      </c>
      <c r="F4" s="231" t="s">
        <v>291</v>
      </c>
      <c r="G4" s="231" t="s">
        <v>292</v>
      </c>
      <c r="H4" s="231" t="s">
        <v>293</v>
      </c>
      <c r="I4" s="231" t="s">
        <v>352</v>
      </c>
      <c r="J4" s="231" t="s">
        <v>353</v>
      </c>
      <c r="K4" s="231" t="s">
        <v>354</v>
      </c>
      <c r="L4" s="231" t="s">
        <v>355</v>
      </c>
      <c r="M4" s="231" t="s">
        <v>356</v>
      </c>
      <c r="N4" s="231" t="s">
        <v>357</v>
      </c>
      <c r="O4" s="231" t="s">
        <v>358</v>
      </c>
      <c r="P4" s="231" t="s">
        <v>359</v>
      </c>
      <c r="Q4" s="231" t="s">
        <v>360</v>
      </c>
      <c r="R4" s="295" t="s">
        <v>589</v>
      </c>
      <c r="S4" s="600" t="s">
        <v>137</v>
      </c>
    </row>
    <row r="5" spans="1:31" x14ac:dyDescent="0.3">
      <c r="B5" s="597"/>
      <c r="C5" s="598"/>
      <c r="D5" s="291" t="s">
        <v>96</v>
      </c>
      <c r="E5" s="291" t="s">
        <v>332</v>
      </c>
      <c r="F5" s="291" t="s">
        <v>333</v>
      </c>
      <c r="G5" s="291" t="s">
        <v>334</v>
      </c>
      <c r="H5" s="291" t="s">
        <v>335</v>
      </c>
      <c r="I5" s="291" t="s">
        <v>336</v>
      </c>
      <c r="J5" s="291" t="s">
        <v>361</v>
      </c>
      <c r="K5" s="291" t="s">
        <v>362</v>
      </c>
      <c r="L5" s="291" t="s">
        <v>363</v>
      </c>
      <c r="M5" s="291" t="s">
        <v>364</v>
      </c>
      <c r="N5" s="291" t="s">
        <v>365</v>
      </c>
      <c r="O5" s="291" t="s">
        <v>366</v>
      </c>
      <c r="P5" s="291" t="s">
        <v>367</v>
      </c>
      <c r="Q5" s="291" t="s">
        <v>368</v>
      </c>
      <c r="R5" s="296" t="s">
        <v>590</v>
      </c>
      <c r="S5" s="600"/>
    </row>
    <row r="6" spans="1:31" x14ac:dyDescent="0.3">
      <c r="B6" s="56" t="s">
        <v>309</v>
      </c>
      <c r="C6" s="357" t="s">
        <v>120</v>
      </c>
      <c r="D6" s="358">
        <f>index!C115</f>
        <v>0.4</v>
      </c>
      <c r="E6" s="358">
        <f>index!D115</f>
        <v>0.5</v>
      </c>
      <c r="F6" s="358">
        <f>index!E115</f>
        <v>0.6</v>
      </c>
      <c r="G6" s="358">
        <f>index!F115</f>
        <v>0.7</v>
      </c>
      <c r="H6" s="358">
        <f>index!G115</f>
        <v>0.75</v>
      </c>
      <c r="I6" s="359">
        <f>H6</f>
        <v>0.75</v>
      </c>
      <c r="J6" s="359">
        <f t="shared" ref="J6:R6" si="0">I6</f>
        <v>0.75</v>
      </c>
      <c r="K6" s="359">
        <f t="shared" si="0"/>
        <v>0.75</v>
      </c>
      <c r="L6" s="359">
        <f t="shared" si="0"/>
        <v>0.75</v>
      </c>
      <c r="M6" s="359">
        <f t="shared" si="0"/>
        <v>0.75</v>
      </c>
      <c r="N6" s="359">
        <f t="shared" si="0"/>
        <v>0.75</v>
      </c>
      <c r="O6" s="359">
        <f t="shared" si="0"/>
        <v>0.75</v>
      </c>
      <c r="P6" s="359">
        <f t="shared" si="0"/>
        <v>0.75</v>
      </c>
      <c r="Q6" s="359">
        <f t="shared" si="0"/>
        <v>0.75</v>
      </c>
      <c r="R6" s="359">
        <f t="shared" si="0"/>
        <v>0.75</v>
      </c>
      <c r="S6" s="238"/>
      <c r="T6" s="249"/>
      <c r="U6" s="249"/>
      <c r="V6" s="249"/>
    </row>
    <row r="7" spans="1:31" x14ac:dyDescent="0.3">
      <c r="A7" s="249"/>
      <c r="B7" s="283" t="s">
        <v>103</v>
      </c>
      <c r="C7" s="360">
        <f>C8</f>
        <v>279457.6596092555</v>
      </c>
      <c r="D7" s="360">
        <f>D8</f>
        <v>5030.6020173913048</v>
      </c>
      <c r="E7" s="360">
        <f t="shared" ref="E7:H7" si="1">E8</f>
        <v>13315.470093913045</v>
      </c>
      <c r="F7" s="360">
        <f t="shared" si="1"/>
        <v>15852.858112695652</v>
      </c>
      <c r="G7" s="360">
        <f t="shared" si="1"/>
        <v>18390.261461478261</v>
      </c>
      <c r="H7" s="360">
        <f t="shared" si="1"/>
        <v>19657.453054219568</v>
      </c>
      <c r="I7" s="360">
        <f t="shared" ref="I7" si="2">I8</f>
        <v>19844.96686606151</v>
      </c>
      <c r="J7" s="360">
        <f t="shared" ref="J7" si="3">J8</f>
        <v>20034.401119615377</v>
      </c>
      <c r="K7" s="360">
        <f t="shared" ref="K7" si="4">K8</f>
        <v>20225.774792780314</v>
      </c>
      <c r="L7" s="360">
        <f t="shared" ref="L7" si="5">L8</f>
        <v>20419.107054367061</v>
      </c>
      <c r="M7" s="360">
        <f t="shared" ref="M7" si="6">M8</f>
        <v>20614.417266001376</v>
      </c>
      <c r="N7" s="360">
        <f t="shared" ref="N7" si="7">N8</f>
        <v>20811.724984046581</v>
      </c>
      <c r="O7" s="360">
        <f t="shared" ref="O7" si="8">O8</f>
        <v>21011.049961545315</v>
      </c>
      <c r="P7" s="360">
        <f t="shared" ref="P7" si="9">P8</f>
        <v>21212.412150180746</v>
      </c>
      <c r="Q7" s="360">
        <f t="shared" ref="Q7:R7" si="10">Q8</f>
        <v>21415.831702257427</v>
      </c>
      <c r="R7" s="360">
        <f t="shared" si="10"/>
        <v>21621.328972702006</v>
      </c>
      <c r="S7" s="285"/>
      <c r="T7" s="249"/>
      <c r="U7" s="249"/>
      <c r="V7" s="249"/>
    </row>
    <row r="8" spans="1:31" x14ac:dyDescent="0.3">
      <c r="A8" s="249"/>
      <c r="B8" s="239" t="s">
        <v>377</v>
      </c>
      <c r="C8" s="361">
        <f>SUM(C9:C12)</f>
        <v>279457.6596092555</v>
      </c>
      <c r="D8" s="361">
        <f>SUM(D9:D12)</f>
        <v>5030.6020173913048</v>
      </c>
      <c r="E8" s="361">
        <f t="shared" ref="E8:H8" si="11">SUM(E9:E12)</f>
        <v>13315.470093913045</v>
      </c>
      <c r="F8" s="361">
        <f t="shared" si="11"/>
        <v>15852.858112695652</v>
      </c>
      <c r="G8" s="361">
        <f t="shared" si="11"/>
        <v>18390.261461478261</v>
      </c>
      <c r="H8" s="361">
        <f t="shared" si="11"/>
        <v>19657.453054219568</v>
      </c>
      <c r="I8" s="361">
        <f t="shared" ref="I8" si="12">SUM(I9:I12)</f>
        <v>19844.96686606151</v>
      </c>
      <c r="J8" s="361">
        <f t="shared" ref="J8" si="13">SUM(J9:J12)</f>
        <v>20034.401119615377</v>
      </c>
      <c r="K8" s="361">
        <f t="shared" ref="K8" si="14">SUM(K9:K12)</f>
        <v>20225.774792780314</v>
      </c>
      <c r="L8" s="361">
        <f t="shared" ref="L8" si="15">SUM(L9:L12)</f>
        <v>20419.107054367061</v>
      </c>
      <c r="M8" s="361">
        <f t="shared" ref="M8" si="16">SUM(M9:M12)</f>
        <v>20614.417266001376</v>
      </c>
      <c r="N8" s="361">
        <f t="shared" ref="N8" si="17">SUM(N9:N12)</f>
        <v>20811.724984046581</v>
      </c>
      <c r="O8" s="361">
        <f t="shared" ref="O8" si="18">SUM(O9:O12)</f>
        <v>21011.049961545315</v>
      </c>
      <c r="P8" s="361">
        <f t="shared" ref="P8" si="19">SUM(P9:P12)</f>
        <v>21212.412150180746</v>
      </c>
      <c r="Q8" s="361">
        <f t="shared" ref="Q8:R8" si="20">SUM(Q9:Q12)</f>
        <v>21415.831702257427</v>
      </c>
      <c r="R8" s="361">
        <f t="shared" si="20"/>
        <v>21621.328972702006</v>
      </c>
      <c r="S8" s="241"/>
      <c r="T8" s="249"/>
      <c r="U8" s="249">
        <f>H8+H14</f>
        <v>4858.5443002384454</v>
      </c>
      <c r="V8" s="249">
        <f>I8+I14</f>
        <v>4887.8794129445723</v>
      </c>
      <c r="W8" s="249">
        <f t="shared" ref="W8:AB8" si="21">J8+J14</f>
        <v>4917.2948081433478</v>
      </c>
      <c r="X8" s="249">
        <f t="shared" si="21"/>
        <v>4946.7858946971683</v>
      </c>
      <c r="Y8" s="249">
        <f t="shared" si="21"/>
        <v>4976.3479333407613</v>
      </c>
      <c r="Z8" s="249">
        <f t="shared" si="21"/>
        <v>5005.9760331272355</v>
      </c>
      <c r="AA8" s="249">
        <f t="shared" si="21"/>
        <v>5035.6651477973737</v>
      </c>
      <c r="AB8" s="249">
        <f t="shared" si="21"/>
        <v>5065.4100720703664</v>
      </c>
      <c r="AC8" s="249">
        <f t="shared" ref="AC8" si="22">P8+P14</f>
        <v>5095.2054378545363</v>
      </c>
      <c r="AD8" s="249">
        <f t="shared" ref="AD8:AE8" si="23">Q8+Q14</f>
        <v>5125.0457103763074</v>
      </c>
      <c r="AE8" s="249">
        <f t="shared" si="23"/>
        <v>5154.9251842257945</v>
      </c>
    </row>
    <row r="9" spans="1:31" x14ac:dyDescent="0.3">
      <c r="A9" s="249">
        <f>index!G64*12</f>
        <v>15287.217391304348</v>
      </c>
      <c r="B9" s="287" t="s">
        <v>320</v>
      </c>
      <c r="C9" s="362">
        <f>SUM(D9:R9)</f>
        <v>164794.32712363481</v>
      </c>
      <c r="D9" s="362">
        <f>$A9*D$6*$D$3/12</f>
        <v>3057.4434782608696</v>
      </c>
      <c r="E9" s="362">
        <f>$A9*(1+index!$C$120)*E$6</f>
        <v>7720.0447826086956</v>
      </c>
      <c r="F9" s="362">
        <f>$A9*(1+index!$C$120)*F$6</f>
        <v>9264.0537391304351</v>
      </c>
      <c r="G9" s="362">
        <f>$A9*(1+index!$C$120)*G$6</f>
        <v>10808.062695652174</v>
      </c>
      <c r="H9" s="362">
        <f>$A9*(1+index!$C$120)*H$6</f>
        <v>11580.067173913043</v>
      </c>
      <c r="I9" s="362">
        <f>H9*(1+index!$C$120)</f>
        <v>11695.867845652174</v>
      </c>
      <c r="J9" s="362">
        <f>I9*(1+index!$C$120)</f>
        <v>11812.826524108696</v>
      </c>
      <c r="K9" s="362">
        <f>J9*(1+index!$C$120)</f>
        <v>11930.954789349782</v>
      </c>
      <c r="L9" s="362">
        <f>K9*(1+index!$C$120)</f>
        <v>12050.264337243279</v>
      </c>
      <c r="M9" s="362">
        <f>L9*(1+index!$C$120)</f>
        <v>12170.766980615712</v>
      </c>
      <c r="N9" s="362">
        <f>M9*(1+index!$C$120)</f>
        <v>12292.474650421869</v>
      </c>
      <c r="O9" s="362">
        <f>N9*(1+index!$C$120)</f>
        <v>12415.399396926088</v>
      </c>
      <c r="P9" s="362">
        <f>O9*(1+index!$C$120)</f>
        <v>12539.553390895349</v>
      </c>
      <c r="Q9" s="362">
        <f>P9*(1+index!$C$120)</f>
        <v>12664.948924804303</v>
      </c>
      <c r="R9" s="362">
        <f>Q9*(1+index!$C$120)</f>
        <v>12791.598414052345</v>
      </c>
      <c r="S9" s="282"/>
      <c r="T9" s="249"/>
      <c r="U9" s="249"/>
      <c r="V9" s="249"/>
    </row>
    <row r="10" spans="1:31" x14ac:dyDescent="0.3">
      <c r="A10" s="249">
        <f>index!H64*12</f>
        <v>5617.5839999999998</v>
      </c>
      <c r="B10" s="288" t="s">
        <v>322</v>
      </c>
      <c r="C10" s="364">
        <f t="shared" ref="C10:C12" si="24">SUM(D10:R10)</f>
        <v>60556.86601716531</v>
      </c>
      <c r="D10" s="364">
        <f>$A10*D$6*$D$3/12</f>
        <v>1123.5168000000001</v>
      </c>
      <c r="E10" s="364">
        <f>$A10*(1+index!$C$120)*E$6</f>
        <v>2836.8799199999999</v>
      </c>
      <c r="F10" s="364">
        <f>$A10*(1+index!$C$120)*F$6</f>
        <v>3404.2559039999996</v>
      </c>
      <c r="G10" s="364">
        <f>$A10*(1+index!$C$120)*G$6</f>
        <v>3971.6318879999994</v>
      </c>
      <c r="H10" s="364">
        <f>$A10*(1+index!$C$120)*H$6</f>
        <v>4255.31988</v>
      </c>
      <c r="I10" s="364">
        <f>H10*(1+index!$C$120)</f>
        <v>4297.8730788000003</v>
      </c>
      <c r="J10" s="364">
        <f>I10*(1+index!$C$120)</f>
        <v>4340.8518095879999</v>
      </c>
      <c r="K10" s="364">
        <f>J10*(1+index!$C$120)</f>
        <v>4384.26032768388</v>
      </c>
      <c r="L10" s="364">
        <f>K10*(1+index!$C$120)</f>
        <v>4428.1029309607184</v>
      </c>
      <c r="M10" s="364">
        <f>L10*(1+index!$C$120)</f>
        <v>4472.3839602703256</v>
      </c>
      <c r="N10" s="364">
        <f>M10*(1+index!$C$120)</f>
        <v>4517.1077998730289</v>
      </c>
      <c r="O10" s="364">
        <f>N10*(1+index!$C$120)</f>
        <v>4562.2788778717595</v>
      </c>
      <c r="P10" s="364">
        <f>O10*(1+index!$C$120)</f>
        <v>4607.9016666504767</v>
      </c>
      <c r="Q10" s="364">
        <f>P10*(1+index!$C$120)</f>
        <v>4653.9806833169814</v>
      </c>
      <c r="R10" s="364">
        <f>Q10*(1+index!$C$120)</f>
        <v>4700.5204901501511</v>
      </c>
      <c r="S10" s="278"/>
      <c r="T10" s="249"/>
      <c r="U10" s="249"/>
      <c r="V10" s="249"/>
    </row>
    <row r="11" spans="1:31" x14ac:dyDescent="0.3">
      <c r="A11" s="249">
        <f>index!I64*12</f>
        <v>4248.2086956521734</v>
      </c>
      <c r="B11" s="288" t="s">
        <v>321</v>
      </c>
      <c r="C11" s="364">
        <f t="shared" si="24"/>
        <v>45795.168313560658</v>
      </c>
      <c r="D11" s="364">
        <f>$A11*D$6*$D$3/12</f>
        <v>849.64173913043476</v>
      </c>
      <c r="E11" s="364">
        <f>$A11*(1+index!$C$120)*E$6</f>
        <v>2145.3453913043477</v>
      </c>
      <c r="F11" s="364">
        <f>$A11*(1+index!$C$120)*F$6</f>
        <v>2574.4144695652171</v>
      </c>
      <c r="G11" s="364">
        <f>$A11*(1+index!$C$120)*G$6</f>
        <v>3003.4835478260866</v>
      </c>
      <c r="H11" s="364">
        <f>$A11*(1+index!$C$120)*H$6</f>
        <v>3218.0180869565215</v>
      </c>
      <c r="I11" s="364">
        <f>H11*(1+index!$C$120)</f>
        <v>3250.198267826087</v>
      </c>
      <c r="J11" s="364">
        <f>I11*(1+index!$C$120)</f>
        <v>3282.7002505043479</v>
      </c>
      <c r="K11" s="364">
        <f>J11*(1+index!$C$120)</f>
        <v>3315.5272530093912</v>
      </c>
      <c r="L11" s="364">
        <f>K11*(1+index!$C$120)</f>
        <v>3348.6825255394851</v>
      </c>
      <c r="M11" s="364">
        <f>L11*(1+index!$C$120)</f>
        <v>3382.1693507948798</v>
      </c>
      <c r="N11" s="364">
        <f>M11*(1+index!$C$120)</f>
        <v>3415.9910443028289</v>
      </c>
      <c r="O11" s="364">
        <f>N11*(1+index!$C$120)</f>
        <v>3450.1509547458572</v>
      </c>
      <c r="P11" s="364">
        <f>O11*(1+index!$C$120)</f>
        <v>3484.6524642933159</v>
      </c>
      <c r="Q11" s="364">
        <f>P11*(1+index!$C$120)</f>
        <v>3519.4989889362491</v>
      </c>
      <c r="R11" s="364">
        <f>Q11*(1+index!$C$120)</f>
        <v>3554.6939788256118</v>
      </c>
      <c r="S11" s="278"/>
      <c r="T11" s="249"/>
      <c r="U11" s="249"/>
      <c r="V11" s="249"/>
    </row>
    <row r="12" spans="1:31" x14ac:dyDescent="0.3">
      <c r="A12" s="249"/>
      <c r="B12" s="286" t="s">
        <v>323</v>
      </c>
      <c r="C12" s="366">
        <f t="shared" si="24"/>
        <v>8311.2981548947409</v>
      </c>
      <c r="D12" s="441" t="s">
        <v>120</v>
      </c>
      <c r="E12" s="366">
        <f>index!C70</f>
        <v>613.20000000000005</v>
      </c>
      <c r="F12" s="366">
        <f>E12*(1-index!$F$70)</f>
        <v>610.13400000000001</v>
      </c>
      <c r="G12" s="366">
        <f>F12*(1-index!$F$70)</f>
        <v>607.08333000000005</v>
      </c>
      <c r="H12" s="366">
        <f>G12*(1-index!$F$70)</f>
        <v>604.04791335000004</v>
      </c>
      <c r="I12" s="366">
        <f>H12*(1-index!$F$70)</f>
        <v>601.02767378325007</v>
      </c>
      <c r="J12" s="366">
        <f>I12*(1-index!$F$70)</f>
        <v>598.02253541433379</v>
      </c>
      <c r="K12" s="366">
        <f>J12*(1-index!$F$70)</f>
        <v>595.0324227372621</v>
      </c>
      <c r="L12" s="366">
        <f>K12*(1-index!$F$70)</f>
        <v>592.05726062357576</v>
      </c>
      <c r="M12" s="366">
        <f>L12*(1-index!$F$70)</f>
        <v>589.09697432045789</v>
      </c>
      <c r="N12" s="366">
        <f>M12*(1-index!$F$70)</f>
        <v>586.15148944885561</v>
      </c>
      <c r="O12" s="366">
        <f>N12*(1-index!$F$70)</f>
        <v>583.22073200161128</v>
      </c>
      <c r="P12" s="366">
        <f>O12*(1-index!$F$70)</f>
        <v>580.30462834160323</v>
      </c>
      <c r="Q12" s="366">
        <f>P12*(1-index!$F$70)</f>
        <v>577.40310519989521</v>
      </c>
      <c r="R12" s="366">
        <f>Q12*(1-index!$F$70)</f>
        <v>574.51608967389575</v>
      </c>
      <c r="S12" s="248"/>
      <c r="T12" s="249"/>
      <c r="U12" s="249"/>
      <c r="V12" s="249"/>
    </row>
    <row r="13" spans="1:31" x14ac:dyDescent="0.3">
      <c r="A13" s="249"/>
      <c r="B13" s="283" t="s">
        <v>104</v>
      </c>
      <c r="C13" s="360">
        <f>C14+C25</f>
        <v>-249745.07287326496</v>
      </c>
      <c r="D13" s="360">
        <f>D14+D25</f>
        <v>-4754.6132399668832</v>
      </c>
      <c r="E13" s="360">
        <f t="shared" ref="E13:H13" si="25">E14+E25</f>
        <v>-11649.626654512476</v>
      </c>
      <c r="F13" s="360">
        <f t="shared" si="25"/>
        <v>-13942.521452628822</v>
      </c>
      <c r="G13" s="360">
        <f t="shared" si="25"/>
        <v>-17355.751756116682</v>
      </c>
      <c r="H13" s="360">
        <f t="shared" si="25"/>
        <v>-18111.679660231122</v>
      </c>
      <c r="I13" s="360">
        <f t="shared" ref="I13" si="26">I14+I25</f>
        <v>-18167.317367158033</v>
      </c>
      <c r="J13" s="360">
        <f t="shared" ref="J13" si="27">J14+J25</f>
        <v>-18224.900475513125</v>
      </c>
      <c r="K13" s="360">
        <f t="shared" ref="K13" si="28">K14+K25</f>
        <v>-18284.347312124242</v>
      </c>
      <c r="L13" s="360">
        <f t="shared" ref="L13" si="29">L14+L25</f>
        <v>-18345.787027276299</v>
      </c>
      <c r="M13" s="360">
        <f t="shared" ref="M13" si="30">M14+M25</f>
        <v>-18408.928146915234</v>
      </c>
      <c r="N13" s="360">
        <f t="shared" ref="N13" si="31">N14+N25</f>
        <v>-18474.111000290304</v>
      </c>
      <c r="O13" s="360">
        <f t="shared" ref="O13" si="32">O14+O25</f>
        <v>-18541.255303516045</v>
      </c>
      <c r="P13" s="360">
        <f t="shared" ref="P13" si="33">P14+P25</f>
        <v>-18610.491618576209</v>
      </c>
      <c r="Q13" s="360">
        <f t="shared" ref="Q13:R13" si="34">Q14+Q25</f>
        <v>-18681.529905922216</v>
      </c>
      <c r="R13" s="360">
        <f t="shared" si="34"/>
        <v>-18192.211952517308</v>
      </c>
      <c r="S13" s="285"/>
      <c r="T13" s="249"/>
      <c r="U13" s="249"/>
      <c r="V13" s="249"/>
    </row>
    <row r="14" spans="1:31" x14ac:dyDescent="0.3">
      <c r="A14" s="249"/>
      <c r="B14" s="239" t="s">
        <v>378</v>
      </c>
      <c r="C14" s="361">
        <f>SUM(C15:C24)</f>
        <v>-212451.72474098662</v>
      </c>
      <c r="D14" s="361">
        <f>SUM(D15:D24)</f>
        <v>-4140.496302808413</v>
      </c>
      <c r="E14" s="361">
        <f t="shared" ref="E14:H14" si="35">SUM(E15:E24)</f>
        <v>-10420.397654512477</v>
      </c>
      <c r="F14" s="361">
        <f t="shared" si="35"/>
        <v>-12150.792452628823</v>
      </c>
      <c r="G14" s="361">
        <f t="shared" si="35"/>
        <v>-13940.650342075587</v>
      </c>
      <c r="H14" s="361">
        <f t="shared" si="35"/>
        <v>-14798.908753981123</v>
      </c>
      <c r="I14" s="361">
        <f t="shared" ref="I14:Q14" si="36">SUM(I15:I24)</f>
        <v>-14957.087453116937</v>
      </c>
      <c r="J14" s="361">
        <f t="shared" si="36"/>
        <v>-15117.106311472029</v>
      </c>
      <c r="K14" s="361">
        <f t="shared" si="36"/>
        <v>-15278.988898083146</v>
      </c>
      <c r="L14" s="361">
        <f t="shared" si="36"/>
        <v>-15442.7591210263</v>
      </c>
      <c r="M14" s="361">
        <f t="shared" si="36"/>
        <v>-15608.44123287414</v>
      </c>
      <c r="N14" s="361">
        <f t="shared" si="36"/>
        <v>-15776.059836249207</v>
      </c>
      <c r="O14" s="361">
        <f t="shared" si="36"/>
        <v>-15945.639889474949</v>
      </c>
      <c r="P14" s="361">
        <f t="shared" si="36"/>
        <v>-16117.20671232621</v>
      </c>
      <c r="Q14" s="361">
        <f t="shared" si="36"/>
        <v>-16290.785991881119</v>
      </c>
      <c r="R14" s="361">
        <f t="shared" ref="R14" si="37">SUM(R15:R24)</f>
        <v>-16466.403788476211</v>
      </c>
      <c r="S14" s="241"/>
      <c r="T14" s="249"/>
      <c r="U14" s="249"/>
      <c r="V14" s="249"/>
    </row>
    <row r="15" spans="1:31" x14ac:dyDescent="0.3">
      <c r="A15" s="249"/>
      <c r="B15" s="287" t="s">
        <v>310</v>
      </c>
      <c r="C15" s="362">
        <f>SUM(D15:R15)</f>
        <v>-3841.8354400000017</v>
      </c>
      <c r="D15" s="446">
        <f>개발기간!AL13*2</f>
        <v>-21.235720000000001</v>
      </c>
      <c r="E15" s="362">
        <f>-index!C92</f>
        <v>-272.89998000000003</v>
      </c>
      <c r="F15" s="362">
        <f t="shared" ref="F15:H15" si="38">E15</f>
        <v>-272.89998000000003</v>
      </c>
      <c r="G15" s="362">
        <f t="shared" si="38"/>
        <v>-272.89998000000003</v>
      </c>
      <c r="H15" s="362">
        <f t="shared" si="38"/>
        <v>-272.89998000000003</v>
      </c>
      <c r="I15" s="362">
        <f t="shared" ref="I15" si="39">H15</f>
        <v>-272.89998000000003</v>
      </c>
      <c r="J15" s="362">
        <f t="shared" ref="J15" si="40">I15</f>
        <v>-272.89998000000003</v>
      </c>
      <c r="K15" s="362">
        <f t="shared" ref="K15" si="41">J15</f>
        <v>-272.89998000000003</v>
      </c>
      <c r="L15" s="362">
        <f t="shared" ref="L15" si="42">K15</f>
        <v>-272.89998000000003</v>
      </c>
      <c r="M15" s="362">
        <f t="shared" ref="M15" si="43">L15</f>
        <v>-272.89998000000003</v>
      </c>
      <c r="N15" s="362">
        <f t="shared" ref="N15" si="44">M15</f>
        <v>-272.89998000000003</v>
      </c>
      <c r="O15" s="362">
        <f t="shared" ref="O15" si="45">N15</f>
        <v>-272.89998000000003</v>
      </c>
      <c r="P15" s="362">
        <f t="shared" ref="P15" si="46">O15</f>
        <v>-272.89998000000003</v>
      </c>
      <c r="Q15" s="362">
        <f t="shared" ref="Q15" si="47">P15</f>
        <v>-272.89998000000003</v>
      </c>
      <c r="R15" s="362">
        <f t="shared" ref="R15" si="48">Q15</f>
        <v>-272.89998000000003</v>
      </c>
      <c r="S15" s="282"/>
      <c r="T15" s="249"/>
      <c r="U15" s="249"/>
      <c r="V15" s="249"/>
      <c r="W15" s="249">
        <f>-D15</f>
        <v>21.235720000000001</v>
      </c>
      <c r="X15" s="315">
        <v>0.04</v>
      </c>
      <c r="Y15" s="249">
        <f>W15/X15</f>
        <v>530.89300000000003</v>
      </c>
      <c r="Z15" s="249">
        <f>index!D8</f>
        <v>40466.786249999997</v>
      </c>
      <c r="AA15" s="316">
        <f>Y15/Z15*100</f>
        <v>1.3119228117602248</v>
      </c>
    </row>
    <row r="16" spans="1:31" x14ac:dyDescent="0.3">
      <c r="A16" s="249">
        <f>index!J86*12</f>
        <v>16185.339130434782</v>
      </c>
      <c r="B16" s="288" t="s">
        <v>311</v>
      </c>
      <c r="C16" s="364">
        <f t="shared" ref="C16:C24" si="49">SUM(D16:R16)</f>
        <v>-174475.96923590678</v>
      </c>
      <c r="D16" s="364">
        <f>-$A$16*D6*($D$3/12)</f>
        <v>-3237.0678260869568</v>
      </c>
      <c r="E16" s="364">
        <f>-$A$16*(1+index!$C$120)*E6</f>
        <v>-8173.5962608695654</v>
      </c>
      <c r="F16" s="364">
        <f>-$A$16*(1+index!$C$120)*F6</f>
        <v>-9808.3155130434789</v>
      </c>
      <c r="G16" s="364">
        <f>-$A$16*(1+index!$C$120)*G6</f>
        <v>-11443.034765217391</v>
      </c>
      <c r="H16" s="364">
        <f>-$A$16*(1+index!$C$120)*H6</f>
        <v>-12260.394391304348</v>
      </c>
      <c r="I16" s="365">
        <f>H16*(1+index!$C$120)</f>
        <v>-12382.998335217391</v>
      </c>
      <c r="J16" s="365">
        <f>I16*(1+index!$C$120)</f>
        <v>-12506.828318569565</v>
      </c>
      <c r="K16" s="365">
        <f>J16*(1+index!$C$120)</f>
        <v>-12631.896601755261</v>
      </c>
      <c r="L16" s="365">
        <f>K16*(1+index!$C$120)</f>
        <v>-12758.215567772813</v>
      </c>
      <c r="M16" s="365">
        <f>L16*(1+index!$C$120)</f>
        <v>-12885.797723450542</v>
      </c>
      <c r="N16" s="365">
        <f>M16*(1+index!$C$120)</f>
        <v>-13014.655700685047</v>
      </c>
      <c r="O16" s="365">
        <f>N16*(1+index!$C$120)</f>
        <v>-13144.802257691897</v>
      </c>
      <c r="P16" s="365">
        <f>O16*(1+index!$C$120)</f>
        <v>-13276.250280268816</v>
      </c>
      <c r="Q16" s="365">
        <f>P16*(1+index!$C$120)</f>
        <v>-13409.012783071505</v>
      </c>
      <c r="R16" s="365">
        <f>Q16*(1+index!$C$120)</f>
        <v>-13543.10291090222</v>
      </c>
      <c r="S16" s="278"/>
      <c r="T16" s="249"/>
      <c r="U16" s="249"/>
      <c r="V16" s="249"/>
      <c r="X16" s="249">
        <v>50</v>
      </c>
      <c r="Y16" s="249">
        <f>W15*X16</f>
        <v>1061.7860000000001</v>
      </c>
      <c r="Z16" s="249">
        <f>Z15</f>
        <v>40466.786249999997</v>
      </c>
      <c r="AA16" s="316">
        <f>Y16/Z16*100</f>
        <v>2.6238456235204497</v>
      </c>
    </row>
    <row r="17" spans="1:26" x14ac:dyDescent="0.3">
      <c r="A17" s="249"/>
      <c r="B17" s="288" t="s">
        <v>312</v>
      </c>
      <c r="C17" s="364">
        <f t="shared" si="49"/>
        <v>-896.84527942573391</v>
      </c>
      <c r="D17" s="442" t="s">
        <v>120</v>
      </c>
      <c r="E17" s="365">
        <f>-index!C93</f>
        <v>-60</v>
      </c>
      <c r="F17" s="365">
        <f>E17*(1+index!$C$120)</f>
        <v>-60.6</v>
      </c>
      <c r="G17" s="365">
        <f>F17*(1+index!$C$120)</f>
        <v>-61.206000000000003</v>
      </c>
      <c r="H17" s="365">
        <f>G17*(1+index!$C$120)</f>
        <v>-61.818060000000003</v>
      </c>
      <c r="I17" s="365">
        <f>H17*(1+index!$C$120)</f>
        <v>-62.436240600000005</v>
      </c>
      <c r="J17" s="365">
        <f>I17*(1+index!$C$120)</f>
        <v>-63.060603006000008</v>
      </c>
      <c r="K17" s="365">
        <f>J17*(1+index!$C$120)</f>
        <v>-63.691209036060009</v>
      </c>
      <c r="L17" s="365">
        <f>K17*(1+index!$C$120)</f>
        <v>-64.328121126420612</v>
      </c>
      <c r="M17" s="365">
        <f>L17*(1+index!$C$120)</f>
        <v>-64.971402337684822</v>
      </c>
      <c r="N17" s="365">
        <f>M17*(1+index!$C$120)</f>
        <v>-65.621116361061667</v>
      </c>
      <c r="O17" s="365">
        <f>N17*(1+index!$C$120)</f>
        <v>-66.277327524672287</v>
      </c>
      <c r="P17" s="365">
        <f>O17*(1+index!$C$120)</f>
        <v>-66.940100799919009</v>
      </c>
      <c r="Q17" s="365">
        <f>P17*(1+index!$C$120)</f>
        <v>-67.609501807918193</v>
      </c>
      <c r="R17" s="365">
        <f>Q17*(1+index!$C$120)</f>
        <v>-68.285596825997374</v>
      </c>
      <c r="S17" s="278"/>
      <c r="T17" s="249"/>
      <c r="U17" s="249"/>
      <c r="V17" s="249"/>
      <c r="W17" t="s">
        <v>563</v>
      </c>
      <c r="X17" s="423">
        <v>161500</v>
      </c>
      <c r="Y17" s="423">
        <f>(X17*Z17+X18*Z18)/10^6</f>
        <v>21103.935870000001</v>
      </c>
      <c r="Z17" s="423">
        <v>128702.1</v>
      </c>
    </row>
    <row r="18" spans="1:26" x14ac:dyDescent="0.3">
      <c r="A18" s="249"/>
      <c r="B18" s="288" t="str">
        <f>index!B98</f>
        <v>인건비</v>
      </c>
      <c r="C18" s="364">
        <f t="shared" si="49"/>
        <v>-19564.325760903863</v>
      </c>
      <c r="D18" s="364">
        <f>-index!C98*$D$3/12</f>
        <v>-439.63510460000003</v>
      </c>
      <c r="E18" s="364">
        <f>-index!D98</f>
        <v>-1028.7861094</v>
      </c>
      <c r="F18" s="364">
        <f>-index!E98</f>
        <v>-1115.0105023000001</v>
      </c>
      <c r="G18" s="364">
        <f>-index!F98</f>
        <v>-1260.6034750000001</v>
      </c>
      <c r="H18" s="364">
        <f>-index!G98</f>
        <v>-1291.8611395999999</v>
      </c>
      <c r="I18" s="365">
        <f>H18*(1+index!$C$121)</f>
        <v>-1317.6983623919998</v>
      </c>
      <c r="J18" s="365">
        <f>I18*(1+index!$C$121)</f>
        <v>-1344.0523296398399</v>
      </c>
      <c r="K18" s="365">
        <f>J18*(1+index!$C$121)</f>
        <v>-1370.9333762326366</v>
      </c>
      <c r="L18" s="365">
        <f>K18*(1+index!$C$121)</f>
        <v>-1398.3520437572895</v>
      </c>
      <c r="M18" s="365">
        <f>L18*(1+index!$C$121)</f>
        <v>-1426.3190846324353</v>
      </c>
      <c r="N18" s="365">
        <f>M18*(1+index!$C$121)</f>
        <v>-1454.8454663250841</v>
      </c>
      <c r="O18" s="365">
        <f>N18*(1+index!$C$121)</f>
        <v>-1483.9423756515857</v>
      </c>
      <c r="P18" s="365">
        <f>O18*(1+index!$C$121)</f>
        <v>-1513.6212231646175</v>
      </c>
      <c r="Q18" s="365">
        <f>P18*(1+index!$C$121)</f>
        <v>-1543.8936476279098</v>
      </c>
      <c r="R18" s="365">
        <f>Q18*(1+index!$C$121)</f>
        <v>-1574.7715205804679</v>
      </c>
      <c r="S18" s="278"/>
      <c r="T18" s="249"/>
      <c r="U18" s="249"/>
      <c r="V18" s="249"/>
      <c r="X18" s="423">
        <v>62800</v>
      </c>
      <c r="Z18" s="423">
        <v>5072.3999999999996</v>
      </c>
    </row>
    <row r="19" spans="1:26" x14ac:dyDescent="0.3">
      <c r="A19" s="249"/>
      <c r="B19" s="288" t="str">
        <f>index!B99</f>
        <v>보험료</v>
      </c>
      <c r="C19" s="364">
        <f t="shared" si="49"/>
        <v>-926.84527942573391</v>
      </c>
      <c r="D19" s="364">
        <f>-index!C99*$D$3/12</f>
        <v>-30</v>
      </c>
      <c r="E19" s="365">
        <f>-index!C99</f>
        <v>-60</v>
      </c>
      <c r="F19" s="365">
        <f>E19*(1+index!$C$120)</f>
        <v>-60.6</v>
      </c>
      <c r="G19" s="365">
        <f>F19*(1+index!$C$120)</f>
        <v>-61.206000000000003</v>
      </c>
      <c r="H19" s="365">
        <f>G19*(1+index!$C$120)</f>
        <v>-61.818060000000003</v>
      </c>
      <c r="I19" s="365">
        <f>H19*(1+index!$C$120)</f>
        <v>-62.436240600000005</v>
      </c>
      <c r="J19" s="365">
        <f>I19*(1+index!$C$120)</f>
        <v>-63.060603006000008</v>
      </c>
      <c r="K19" s="365">
        <f>J19*(1+index!$C$120)</f>
        <v>-63.691209036060009</v>
      </c>
      <c r="L19" s="365">
        <f>K19*(1+index!$C$120)</f>
        <v>-64.328121126420612</v>
      </c>
      <c r="M19" s="365">
        <f>L19*(1+index!$C$120)</f>
        <v>-64.971402337684822</v>
      </c>
      <c r="N19" s="365">
        <f>M19*(1+index!$C$120)</f>
        <v>-65.621116361061667</v>
      </c>
      <c r="O19" s="365">
        <f>N19*(1+index!$C$120)</f>
        <v>-66.277327524672287</v>
      </c>
      <c r="P19" s="365">
        <f>O19*(1+index!$C$120)</f>
        <v>-66.940100799919009</v>
      </c>
      <c r="Q19" s="365">
        <f>P19*(1+index!$C$120)</f>
        <v>-67.609501807918193</v>
      </c>
      <c r="R19" s="365">
        <f>Q19*(1+index!$C$120)</f>
        <v>-68.285596825997374</v>
      </c>
      <c r="S19" s="278"/>
      <c r="T19" s="249"/>
      <c r="U19" s="249"/>
      <c r="V19" s="249"/>
      <c r="Y19" s="424"/>
    </row>
    <row r="20" spans="1:26" x14ac:dyDescent="0.3">
      <c r="A20" s="249"/>
      <c r="B20" s="288" t="str">
        <f>index!B100</f>
        <v>수도광열비</v>
      </c>
      <c r="C20" s="364">
        <f t="shared" si="49"/>
        <v>-926.84527942573391</v>
      </c>
      <c r="D20" s="364">
        <f>-index!C100*$D$3/12</f>
        <v>-30</v>
      </c>
      <c r="E20" s="365">
        <f>-index!C100</f>
        <v>-60</v>
      </c>
      <c r="F20" s="365">
        <f>E20*(1+index!$C$120)</f>
        <v>-60.6</v>
      </c>
      <c r="G20" s="365">
        <f>F20*(1+index!$C$120)</f>
        <v>-61.206000000000003</v>
      </c>
      <c r="H20" s="365">
        <f>G20*(1+index!$C$120)</f>
        <v>-61.818060000000003</v>
      </c>
      <c r="I20" s="365">
        <f>H20*(1+index!$C$120)</f>
        <v>-62.436240600000005</v>
      </c>
      <c r="J20" s="365">
        <f>I20*(1+index!$C$120)</f>
        <v>-63.060603006000008</v>
      </c>
      <c r="K20" s="365">
        <f>J20*(1+index!$C$120)</f>
        <v>-63.691209036060009</v>
      </c>
      <c r="L20" s="365">
        <f>K20*(1+index!$C$120)</f>
        <v>-64.328121126420612</v>
      </c>
      <c r="M20" s="365">
        <f>L20*(1+index!$C$120)</f>
        <v>-64.971402337684822</v>
      </c>
      <c r="N20" s="365">
        <f>M20*(1+index!$C$120)</f>
        <v>-65.621116361061667</v>
      </c>
      <c r="O20" s="365">
        <f>N20*(1+index!$C$120)</f>
        <v>-66.277327524672287</v>
      </c>
      <c r="P20" s="365">
        <f>O20*(1+index!$C$120)</f>
        <v>-66.940100799919009</v>
      </c>
      <c r="Q20" s="365">
        <f>P20*(1+index!$C$120)</f>
        <v>-67.609501807918193</v>
      </c>
      <c r="R20" s="365">
        <f>Q20*(1+index!$C$120)</f>
        <v>-68.285596825997374</v>
      </c>
      <c r="S20" s="278"/>
      <c r="T20" s="249"/>
      <c r="U20" s="249"/>
      <c r="V20" s="249"/>
    </row>
    <row r="21" spans="1:26" x14ac:dyDescent="0.3">
      <c r="A21" s="249"/>
      <c r="B21" s="288" t="str">
        <f>index!B101</f>
        <v>전산비</v>
      </c>
      <c r="C21" s="364">
        <f t="shared" si="49"/>
        <v>-926.84527942573391</v>
      </c>
      <c r="D21" s="364">
        <f>-index!C101*$D$3/12</f>
        <v>-30</v>
      </c>
      <c r="E21" s="365">
        <f>-index!C101</f>
        <v>-60</v>
      </c>
      <c r="F21" s="365">
        <f>E21*(1+index!$C$120)</f>
        <v>-60.6</v>
      </c>
      <c r="G21" s="365">
        <f>F21*(1+index!$C$120)</f>
        <v>-61.206000000000003</v>
      </c>
      <c r="H21" s="365">
        <f>G21*(1+index!$C$120)</f>
        <v>-61.818060000000003</v>
      </c>
      <c r="I21" s="365">
        <f>H21*(1+index!$C$120)</f>
        <v>-62.436240600000005</v>
      </c>
      <c r="J21" s="365">
        <f>I21*(1+index!$C$120)</f>
        <v>-63.060603006000008</v>
      </c>
      <c r="K21" s="365">
        <f>J21*(1+index!$C$120)</f>
        <v>-63.691209036060009</v>
      </c>
      <c r="L21" s="365">
        <f>K21*(1+index!$C$120)</f>
        <v>-64.328121126420612</v>
      </c>
      <c r="M21" s="365">
        <f>L21*(1+index!$C$120)</f>
        <v>-64.971402337684822</v>
      </c>
      <c r="N21" s="365">
        <f>M21*(1+index!$C$120)</f>
        <v>-65.621116361061667</v>
      </c>
      <c r="O21" s="365">
        <f>N21*(1+index!$C$120)</f>
        <v>-66.277327524672287</v>
      </c>
      <c r="P21" s="365">
        <f>O21*(1+index!$C$120)</f>
        <v>-66.940100799919009</v>
      </c>
      <c r="Q21" s="365">
        <f>P21*(1+index!$C$120)</f>
        <v>-67.609501807918193</v>
      </c>
      <c r="R21" s="365">
        <f>Q21*(1+index!$C$120)</f>
        <v>-68.285596825997374</v>
      </c>
      <c r="S21" s="278"/>
      <c r="T21" s="249"/>
      <c r="U21" s="249"/>
      <c r="V21" s="249"/>
    </row>
    <row r="22" spans="1:26" x14ac:dyDescent="0.3">
      <c r="A22" s="249"/>
      <c r="B22" s="288" t="str">
        <f>index!B102</f>
        <v>지급수수료</v>
      </c>
      <c r="C22" s="364">
        <f t="shared" si="49"/>
        <v>-871.66709045725509</v>
      </c>
      <c r="D22" s="364">
        <f>-index!C102*$D$3/12</f>
        <v>-28.213999999999999</v>
      </c>
      <c r="E22" s="365">
        <f>-index!C102</f>
        <v>-56.427999999999997</v>
      </c>
      <c r="F22" s="365">
        <f>E22*(1+index!$C$120)</f>
        <v>-56.992280000000001</v>
      </c>
      <c r="G22" s="365">
        <f>F22*(1+index!$C$120)</f>
        <v>-57.562202800000001</v>
      </c>
      <c r="H22" s="365">
        <f>G22*(1+index!$C$120)</f>
        <v>-58.137824827999999</v>
      </c>
      <c r="I22" s="365">
        <f>H22*(1+index!$C$120)</f>
        <v>-58.719203076280003</v>
      </c>
      <c r="J22" s="365">
        <f>I22*(1+index!$C$120)</f>
        <v>-59.306395107042803</v>
      </c>
      <c r="K22" s="365">
        <f>J22*(1+index!$C$120)</f>
        <v>-59.89945905811323</v>
      </c>
      <c r="L22" s="365">
        <f>K22*(1+index!$C$120)</f>
        <v>-60.498453648694365</v>
      </c>
      <c r="M22" s="365">
        <f>L22*(1+index!$C$120)</f>
        <v>-61.103438185181311</v>
      </c>
      <c r="N22" s="365">
        <f>M22*(1+index!$C$120)</f>
        <v>-61.714472567033127</v>
      </c>
      <c r="O22" s="365">
        <f>N22*(1+index!$C$120)</f>
        <v>-62.331617292703456</v>
      </c>
      <c r="P22" s="365">
        <f>O22*(1+index!$C$120)</f>
        <v>-62.954933465630489</v>
      </c>
      <c r="Q22" s="365">
        <f>P22*(1+index!$C$120)</f>
        <v>-63.584482800286793</v>
      </c>
      <c r="R22" s="365">
        <f>Q22*(1+index!$C$120)</f>
        <v>-64.220327628289667</v>
      </c>
      <c r="S22" s="278"/>
      <c r="T22" s="249"/>
      <c r="U22" s="249"/>
      <c r="V22" s="249"/>
    </row>
    <row r="23" spans="1:26" x14ac:dyDescent="0.3">
      <c r="A23" s="249"/>
      <c r="B23" s="288" t="str">
        <f>index!B103</f>
        <v>수선비</v>
      </c>
      <c r="C23" s="364">
        <f t="shared" si="49"/>
        <v>-8074.1710092217645</v>
      </c>
      <c r="D23" s="364">
        <f>-index!C103*$D$3/12</f>
        <v>-261.34365212145627</v>
      </c>
      <c r="E23" s="365">
        <f>-index!C103</f>
        <v>-522.68730424291255</v>
      </c>
      <c r="F23" s="365">
        <f>E23*(1+index!$C$120)</f>
        <v>-527.91417728534168</v>
      </c>
      <c r="G23" s="365">
        <f>F23*(1+index!$C$120)</f>
        <v>-533.19331905819513</v>
      </c>
      <c r="H23" s="365">
        <f>G23*(1+index!$C$120)</f>
        <v>-538.52525224877706</v>
      </c>
      <c r="I23" s="365">
        <f>H23*(1+index!$C$120)</f>
        <v>-543.91050477126487</v>
      </c>
      <c r="J23" s="365">
        <f>I23*(1+index!$C$120)</f>
        <v>-549.34960981897757</v>
      </c>
      <c r="K23" s="365">
        <f>J23*(1+index!$C$120)</f>
        <v>-554.84310591716735</v>
      </c>
      <c r="L23" s="365">
        <f>K23*(1+index!$C$120)</f>
        <v>-560.39153697633901</v>
      </c>
      <c r="M23" s="365">
        <f>L23*(1+index!$C$120)</f>
        <v>-565.99545234610241</v>
      </c>
      <c r="N23" s="365">
        <f>M23*(1+index!$C$120)</f>
        <v>-571.65540686956342</v>
      </c>
      <c r="O23" s="365">
        <f>N23*(1+index!$C$120)</f>
        <v>-577.37196093825901</v>
      </c>
      <c r="P23" s="365">
        <f>O23*(1+index!$C$120)</f>
        <v>-583.14568054764163</v>
      </c>
      <c r="Q23" s="365">
        <f>P23*(1+index!$C$120)</f>
        <v>-588.97713735311811</v>
      </c>
      <c r="R23" s="365">
        <f>Q23*(1+index!$C$120)</f>
        <v>-594.86690872664929</v>
      </c>
      <c r="S23" s="278"/>
      <c r="T23" s="249"/>
      <c r="U23" s="249"/>
      <c r="V23" s="249"/>
    </row>
    <row r="24" spans="1:26" x14ac:dyDescent="0.3">
      <c r="A24" s="249"/>
      <c r="B24" s="286" t="str">
        <f>index!B104</f>
        <v>기타항목</v>
      </c>
      <c r="C24" s="366">
        <f t="shared" si="49"/>
        <v>-1946.3750867940414</v>
      </c>
      <c r="D24" s="366">
        <f>-index!C104*$D$3/12</f>
        <v>-63</v>
      </c>
      <c r="E24" s="366">
        <f>-index!C104</f>
        <v>-126</v>
      </c>
      <c r="F24" s="366">
        <f>E24*(1+index!$C$120)</f>
        <v>-127.26</v>
      </c>
      <c r="G24" s="366">
        <f>F24*(1+index!$C$120)</f>
        <v>-128.5326</v>
      </c>
      <c r="H24" s="366">
        <f>G24*(1+index!$C$120)</f>
        <v>-129.817926</v>
      </c>
      <c r="I24" s="367">
        <f>H24*(1+index!$C$120)</f>
        <v>-131.11610526000001</v>
      </c>
      <c r="J24" s="367">
        <f>I24*(1+index!$C$120)</f>
        <v>-132.42726631260001</v>
      </c>
      <c r="K24" s="367">
        <f>J24*(1+index!$C$120)</f>
        <v>-133.75153897572602</v>
      </c>
      <c r="L24" s="367">
        <f>K24*(1+index!$C$120)</f>
        <v>-135.08905436548329</v>
      </c>
      <c r="M24" s="367">
        <f>L24*(1+index!$C$120)</f>
        <v>-136.43994490913812</v>
      </c>
      <c r="N24" s="367">
        <f>M24*(1+index!$C$120)</f>
        <v>-137.80434435822951</v>
      </c>
      <c r="O24" s="367">
        <f>N24*(1+index!$C$120)</f>
        <v>-139.18238780181181</v>
      </c>
      <c r="P24" s="367">
        <f>O24*(1+index!$C$120)</f>
        <v>-140.57421167982994</v>
      </c>
      <c r="Q24" s="367">
        <f>P24*(1+index!$C$120)</f>
        <v>-141.97995379662825</v>
      </c>
      <c r="R24" s="367">
        <f>Q24*(1+index!$C$120)</f>
        <v>-143.39975333459452</v>
      </c>
      <c r="S24" s="248"/>
      <c r="T24" s="249"/>
      <c r="U24" s="249"/>
      <c r="V24" s="249"/>
    </row>
    <row r="25" spans="1:26" x14ac:dyDescent="0.3">
      <c r="A25" s="249"/>
      <c r="B25" s="239" t="s">
        <v>318</v>
      </c>
      <c r="C25" s="361">
        <f>SUM(C26:C27)</f>
        <v>-37293.348132278334</v>
      </c>
      <c r="D25" s="361">
        <f>SUM(D26:D27)</f>
        <v>-614.11693715846991</v>
      </c>
      <c r="E25" s="361">
        <f t="shared" ref="E25:Q25" si="50">SUM(E26:E27)</f>
        <v>-1229.229</v>
      </c>
      <c r="F25" s="361">
        <f t="shared" si="50"/>
        <v>-1791.729</v>
      </c>
      <c r="G25" s="361">
        <f t="shared" si="50"/>
        <v>-3415.1014140410957</v>
      </c>
      <c r="H25" s="361">
        <f t="shared" si="50"/>
        <v>-3312.7709062499998</v>
      </c>
      <c r="I25" s="361">
        <f t="shared" si="50"/>
        <v>-3210.229914041096</v>
      </c>
      <c r="J25" s="361">
        <f t="shared" si="50"/>
        <v>-3107.7941640410959</v>
      </c>
      <c r="K25" s="361">
        <f t="shared" si="50"/>
        <v>-3005.3584140410958</v>
      </c>
      <c r="L25" s="361">
        <f t="shared" si="50"/>
        <v>-2903.0279062499999</v>
      </c>
      <c r="M25" s="361">
        <f t="shared" si="50"/>
        <v>-2800.4869140410956</v>
      </c>
      <c r="N25" s="361">
        <f t="shared" si="50"/>
        <v>-2698.0511640410959</v>
      </c>
      <c r="O25" s="361">
        <f t="shared" si="50"/>
        <v>-2595.6154140410958</v>
      </c>
      <c r="P25" s="361">
        <f t="shared" si="50"/>
        <v>-2493.2849062499999</v>
      </c>
      <c r="Q25" s="361">
        <f t="shared" si="50"/>
        <v>-2390.7439140410961</v>
      </c>
      <c r="R25" s="361">
        <f t="shared" ref="R25" si="51">SUM(R26:R27)</f>
        <v>-1725.808164041096</v>
      </c>
      <c r="S25" s="241"/>
      <c r="T25" s="249"/>
      <c r="U25" s="249"/>
      <c r="V25" s="249"/>
    </row>
    <row r="26" spans="1:26" x14ac:dyDescent="0.3">
      <c r="B26" s="287" t="s">
        <v>115</v>
      </c>
      <c r="C26" s="362">
        <f t="shared" ref="C26:C27" si="52">SUM(D26:R26)</f>
        <v>-10293.348132278332</v>
      </c>
      <c r="D26" s="362">
        <f>-D56</f>
        <v>-614.11693715846991</v>
      </c>
      <c r="E26" s="362">
        <f t="shared" ref="E26:H26" si="53">-E56</f>
        <v>-1229.229</v>
      </c>
      <c r="F26" s="362">
        <f t="shared" si="53"/>
        <v>-1229.229</v>
      </c>
      <c r="G26" s="362">
        <f t="shared" si="53"/>
        <v>-1165.1014140410957</v>
      </c>
      <c r="H26" s="362">
        <f t="shared" si="53"/>
        <v>-1062.7709062500001</v>
      </c>
      <c r="I26" s="362">
        <f t="shared" ref="I26:Q26" si="54">-I56</f>
        <v>-960.22991404109587</v>
      </c>
      <c r="J26" s="362">
        <f t="shared" si="54"/>
        <v>-857.79416404109588</v>
      </c>
      <c r="K26" s="362">
        <f t="shared" si="54"/>
        <v>-755.35841404109578</v>
      </c>
      <c r="L26" s="362">
        <f t="shared" si="54"/>
        <v>-653.02790624999989</v>
      </c>
      <c r="M26" s="362">
        <f t="shared" si="54"/>
        <v>-550.48691404109582</v>
      </c>
      <c r="N26" s="362">
        <f t="shared" si="54"/>
        <v>-448.05116404109583</v>
      </c>
      <c r="O26" s="362">
        <f t="shared" si="54"/>
        <v>-345.61541404109585</v>
      </c>
      <c r="P26" s="362">
        <f t="shared" si="54"/>
        <v>-243.28490624999998</v>
      </c>
      <c r="Q26" s="362">
        <f t="shared" si="54"/>
        <v>-140.74391404109588</v>
      </c>
      <c r="R26" s="362">
        <f t="shared" ref="R26" si="55">-R56</f>
        <v>-38.308164041095893</v>
      </c>
      <c r="S26" s="282"/>
      <c r="T26" s="249"/>
      <c r="U26" s="249"/>
      <c r="V26" s="249"/>
    </row>
    <row r="27" spans="1:26" x14ac:dyDescent="0.3">
      <c r="B27" s="286" t="s">
        <v>319</v>
      </c>
      <c r="C27" s="366">
        <f t="shared" si="52"/>
        <v>-27000</v>
      </c>
      <c r="D27" s="366">
        <f>-D52</f>
        <v>0</v>
      </c>
      <c r="E27" s="366">
        <f t="shared" ref="E27:H27" si="56">-E52</f>
        <v>0</v>
      </c>
      <c r="F27" s="366">
        <f t="shared" si="56"/>
        <v>-562.5</v>
      </c>
      <c r="G27" s="366">
        <f t="shared" si="56"/>
        <v>-2250</v>
      </c>
      <c r="H27" s="366">
        <f t="shared" si="56"/>
        <v>-2250</v>
      </c>
      <c r="I27" s="366">
        <f t="shared" ref="I27:Q27" si="57">-I52</f>
        <v>-2250</v>
      </c>
      <c r="J27" s="366">
        <f t="shared" si="57"/>
        <v>-2250</v>
      </c>
      <c r="K27" s="366">
        <f t="shared" si="57"/>
        <v>-2250</v>
      </c>
      <c r="L27" s="366">
        <f t="shared" si="57"/>
        <v>-2250</v>
      </c>
      <c r="M27" s="366">
        <f t="shared" si="57"/>
        <v>-2250</v>
      </c>
      <c r="N27" s="366">
        <f t="shared" si="57"/>
        <v>-2250</v>
      </c>
      <c r="O27" s="366">
        <f t="shared" si="57"/>
        <v>-2250</v>
      </c>
      <c r="P27" s="366">
        <f t="shared" si="57"/>
        <v>-2250</v>
      </c>
      <c r="Q27" s="366">
        <f t="shared" si="57"/>
        <v>-2250</v>
      </c>
      <c r="R27" s="366">
        <f t="shared" ref="R27" si="58">-R52</f>
        <v>-1687.5</v>
      </c>
      <c r="S27" s="248"/>
      <c r="T27" s="249"/>
      <c r="U27" s="249"/>
      <c r="V27" s="249"/>
    </row>
    <row r="28" spans="1:26" x14ac:dyDescent="0.3">
      <c r="B28" s="283" t="s">
        <v>99</v>
      </c>
      <c r="C28" s="360">
        <f t="shared" ref="C28:H28" si="59">C7+C13</f>
        <v>29712.586735990539</v>
      </c>
      <c r="D28" s="360">
        <f t="shared" si="59"/>
        <v>275.98877742442164</v>
      </c>
      <c r="E28" s="360">
        <f t="shared" si="59"/>
        <v>1665.843439400569</v>
      </c>
      <c r="F28" s="360">
        <f t="shared" si="59"/>
        <v>1910.3366600668305</v>
      </c>
      <c r="G28" s="360">
        <f t="shared" si="59"/>
        <v>1034.5097053615791</v>
      </c>
      <c r="H28" s="360">
        <f t="shared" si="59"/>
        <v>1545.7733939884456</v>
      </c>
      <c r="I28" s="360">
        <f t="shared" ref="I28:R28" si="60">I7+I13</f>
        <v>1677.6494989034763</v>
      </c>
      <c r="J28" s="360">
        <f t="shared" si="60"/>
        <v>1809.5006441022524</v>
      </c>
      <c r="K28" s="360">
        <f t="shared" si="60"/>
        <v>1941.4274806560716</v>
      </c>
      <c r="L28" s="360">
        <f t="shared" si="60"/>
        <v>2073.3200270907619</v>
      </c>
      <c r="M28" s="360">
        <f t="shared" si="60"/>
        <v>2205.4891190861417</v>
      </c>
      <c r="N28" s="360">
        <f t="shared" si="60"/>
        <v>2337.6139837562769</v>
      </c>
      <c r="O28" s="360">
        <f t="shared" si="60"/>
        <v>2469.7946580292701</v>
      </c>
      <c r="P28" s="360">
        <f t="shared" si="60"/>
        <v>2601.9205316045372</v>
      </c>
      <c r="Q28" s="360">
        <f t="shared" si="60"/>
        <v>2734.3017963352104</v>
      </c>
      <c r="R28" s="360">
        <f t="shared" si="60"/>
        <v>3429.117020184698</v>
      </c>
      <c r="S28" s="285"/>
      <c r="T28" s="249"/>
      <c r="U28" s="249"/>
      <c r="V28" s="249"/>
      <c r="W28" s="249">
        <f>AVERAGE(H28:R28)</f>
        <v>2256.9007412488313</v>
      </c>
      <c r="X28" s="249">
        <f>개발기간!K6</f>
        <v>26000</v>
      </c>
      <c r="Y28" s="268">
        <f>W28/X28</f>
        <v>8.6803874663416589E-2</v>
      </c>
    </row>
    <row r="29" spans="1:26" x14ac:dyDescent="0.3">
      <c r="B29" s="56" t="s">
        <v>100</v>
      </c>
      <c r="C29" s="368">
        <f>D29</f>
        <v>731.26957570873492</v>
      </c>
      <c r="D29" s="368">
        <f>개발기간!F27</f>
        <v>731.26957570873492</v>
      </c>
      <c r="E29" s="368">
        <f>D30</f>
        <v>1007.2583531331566</v>
      </c>
      <c r="F29" s="368">
        <f t="shared" ref="F29:H29" si="61">E30</f>
        <v>2673.1017925337255</v>
      </c>
      <c r="G29" s="368">
        <f t="shared" si="61"/>
        <v>4583.438452600556</v>
      </c>
      <c r="H29" s="368">
        <f t="shared" si="61"/>
        <v>5617.9481579621352</v>
      </c>
      <c r="I29" s="368">
        <f t="shared" ref="I29" si="62">H30</f>
        <v>7163.7215519505808</v>
      </c>
      <c r="J29" s="368">
        <f t="shared" ref="J29" si="63">I30</f>
        <v>8841.3710508540571</v>
      </c>
      <c r="K29" s="368">
        <f t="shared" ref="K29" si="64">J30</f>
        <v>10650.87169495631</v>
      </c>
      <c r="L29" s="368">
        <f t="shared" ref="L29" si="65">K30</f>
        <v>12592.299175612381</v>
      </c>
      <c r="M29" s="368">
        <f t="shared" ref="M29" si="66">L30</f>
        <v>14665.619202703143</v>
      </c>
      <c r="N29" s="368">
        <f t="shared" ref="N29" si="67">M30</f>
        <v>16871.108321789285</v>
      </c>
      <c r="O29" s="368">
        <f t="shared" ref="O29" si="68">N30</f>
        <v>19208.722305545562</v>
      </c>
      <c r="P29" s="368">
        <f t="shared" ref="P29" si="69">O30</f>
        <v>21678.516963574832</v>
      </c>
      <c r="Q29" s="368">
        <f t="shared" ref="Q29:R29" si="70">P30</f>
        <v>24280.437495179369</v>
      </c>
      <c r="R29" s="368">
        <f t="shared" si="70"/>
        <v>27014.739291514579</v>
      </c>
      <c r="S29" s="238"/>
      <c r="T29" s="249"/>
      <c r="U29" s="249"/>
      <c r="V29" s="249"/>
    </row>
    <row r="30" spans="1:26" x14ac:dyDescent="0.3">
      <c r="B30" s="91" t="s">
        <v>101</v>
      </c>
      <c r="C30" s="369">
        <f>C28+C29</f>
        <v>30443.856311699274</v>
      </c>
      <c r="D30" s="369">
        <f>D28+D29</f>
        <v>1007.2583531331566</v>
      </c>
      <c r="E30" s="369">
        <f>E28+E29</f>
        <v>2673.1017925337255</v>
      </c>
      <c r="F30" s="369">
        <f t="shared" ref="F30:H30" si="71">F28+F29</f>
        <v>4583.438452600556</v>
      </c>
      <c r="G30" s="369">
        <f t="shared" si="71"/>
        <v>5617.9481579621352</v>
      </c>
      <c r="H30" s="369">
        <f t="shared" si="71"/>
        <v>7163.7215519505808</v>
      </c>
      <c r="I30" s="369">
        <f t="shared" ref="I30:Q30" si="72">I28+I29</f>
        <v>8841.3710508540571</v>
      </c>
      <c r="J30" s="369">
        <f t="shared" si="72"/>
        <v>10650.87169495631</v>
      </c>
      <c r="K30" s="369">
        <f t="shared" si="72"/>
        <v>12592.299175612381</v>
      </c>
      <c r="L30" s="369">
        <f t="shared" si="72"/>
        <v>14665.619202703143</v>
      </c>
      <c r="M30" s="369">
        <f t="shared" si="72"/>
        <v>16871.108321789285</v>
      </c>
      <c r="N30" s="369">
        <f t="shared" si="72"/>
        <v>19208.722305545562</v>
      </c>
      <c r="O30" s="369">
        <f t="shared" si="72"/>
        <v>21678.516963574832</v>
      </c>
      <c r="P30" s="369">
        <f t="shared" si="72"/>
        <v>24280.437495179369</v>
      </c>
      <c r="Q30" s="369">
        <f t="shared" si="72"/>
        <v>27014.739291514579</v>
      </c>
      <c r="R30" s="369">
        <f t="shared" ref="R30" si="73">R28+R29</f>
        <v>30443.856311699277</v>
      </c>
      <c r="S30" s="238"/>
      <c r="T30" s="249"/>
      <c r="U30" s="249"/>
      <c r="V30" s="249"/>
    </row>
    <row r="31" spans="1:26" x14ac:dyDescent="0.3">
      <c r="B31" s="239" t="s">
        <v>380</v>
      </c>
      <c r="C31" s="370"/>
      <c r="D31" s="370">
        <f>D32/D33</f>
        <v>1.4494075325481608</v>
      </c>
      <c r="E31" s="370">
        <f t="shared" ref="E31:Q31" si="74">E32/E33</f>
        <v>2.355193734772421</v>
      </c>
      <c r="F31" s="370">
        <f t="shared" si="74"/>
        <v>2.0661973211723592</v>
      </c>
      <c r="G31" s="370">
        <f t="shared" si="74"/>
        <v>1.302922103896599</v>
      </c>
      <c r="H31" s="370">
        <f t="shared" si="74"/>
        <v>1.466610410962053</v>
      </c>
      <c r="I31" s="370">
        <f t="shared" si="74"/>
        <v>1.5225948121552517</v>
      </c>
      <c r="J31" s="370">
        <f t="shared" si="74"/>
        <v>1.5822459753091691</v>
      </c>
      <c r="K31" s="370">
        <f t="shared" si="74"/>
        <v>1.6459886686345575</v>
      </c>
      <c r="L31" s="370">
        <f t="shared" si="74"/>
        <v>1.7141922482477898</v>
      </c>
      <c r="M31" s="370">
        <f t="shared" si="74"/>
        <v>1.787537734251943</v>
      </c>
      <c r="N31" s="370">
        <f t="shared" si="74"/>
        <v>1.8664083227595427</v>
      </c>
      <c r="O31" s="370">
        <f t="shared" si="74"/>
        <v>1.9515256554067324</v>
      </c>
      <c r="P31" s="370">
        <f t="shared" si="74"/>
        <v>2.0435712842452203</v>
      </c>
      <c r="Q31" s="370">
        <f t="shared" si="74"/>
        <v>2.1437033386454996</v>
      </c>
      <c r="R31" s="370">
        <f t="shared" ref="R31" si="75">R32/R33</f>
        <v>2.9869630307896968</v>
      </c>
      <c r="S31" s="241"/>
    </row>
    <row r="32" spans="1:26" x14ac:dyDescent="0.3">
      <c r="B32" s="287" t="s">
        <v>338</v>
      </c>
      <c r="C32" s="362"/>
      <c r="D32" s="362">
        <f t="shared" ref="D32:Q32" si="76">D8+D14</f>
        <v>890.10571458289178</v>
      </c>
      <c r="E32" s="362">
        <f t="shared" si="76"/>
        <v>2895.0724394005683</v>
      </c>
      <c r="F32" s="362">
        <f t="shared" si="76"/>
        <v>3702.0656600668299</v>
      </c>
      <c r="G32" s="362">
        <f t="shared" si="76"/>
        <v>4449.6111194026744</v>
      </c>
      <c r="H32" s="362">
        <f t="shared" si="76"/>
        <v>4858.5443002384454</v>
      </c>
      <c r="I32" s="362">
        <f t="shared" si="76"/>
        <v>4887.8794129445723</v>
      </c>
      <c r="J32" s="362">
        <f t="shared" si="76"/>
        <v>4917.2948081433478</v>
      </c>
      <c r="K32" s="362">
        <f t="shared" si="76"/>
        <v>4946.7858946971683</v>
      </c>
      <c r="L32" s="362">
        <f t="shared" si="76"/>
        <v>4976.3479333407613</v>
      </c>
      <c r="M32" s="362">
        <f t="shared" si="76"/>
        <v>5005.9760331272355</v>
      </c>
      <c r="N32" s="362">
        <f t="shared" si="76"/>
        <v>5035.6651477973737</v>
      </c>
      <c r="O32" s="362">
        <f t="shared" si="76"/>
        <v>5065.4100720703664</v>
      </c>
      <c r="P32" s="362">
        <f t="shared" si="76"/>
        <v>5095.2054378545363</v>
      </c>
      <c r="Q32" s="362">
        <f t="shared" si="76"/>
        <v>5125.0457103763074</v>
      </c>
      <c r="R32" s="362">
        <f t="shared" ref="R32" si="77">R8+R14</f>
        <v>5154.9251842257945</v>
      </c>
      <c r="S32" s="290" t="s">
        <v>381</v>
      </c>
    </row>
    <row r="33" spans="2:23" x14ac:dyDescent="0.3">
      <c r="B33" s="286" t="s">
        <v>339</v>
      </c>
      <c r="C33" s="366"/>
      <c r="D33" s="366">
        <f>-D25</f>
        <v>614.11693715846991</v>
      </c>
      <c r="E33" s="366">
        <f t="shared" ref="E33:Q33" si="78">-E25</f>
        <v>1229.229</v>
      </c>
      <c r="F33" s="366">
        <f t="shared" si="78"/>
        <v>1791.729</v>
      </c>
      <c r="G33" s="366">
        <f t="shared" si="78"/>
        <v>3415.1014140410957</v>
      </c>
      <c r="H33" s="366">
        <f t="shared" si="78"/>
        <v>3312.7709062499998</v>
      </c>
      <c r="I33" s="366">
        <f t="shared" si="78"/>
        <v>3210.229914041096</v>
      </c>
      <c r="J33" s="366">
        <f t="shared" si="78"/>
        <v>3107.7941640410959</v>
      </c>
      <c r="K33" s="366">
        <f t="shared" si="78"/>
        <v>3005.3584140410958</v>
      </c>
      <c r="L33" s="366">
        <f t="shared" si="78"/>
        <v>2903.0279062499999</v>
      </c>
      <c r="M33" s="366">
        <f t="shared" si="78"/>
        <v>2800.4869140410956</v>
      </c>
      <c r="N33" s="366">
        <f t="shared" si="78"/>
        <v>2698.0511640410959</v>
      </c>
      <c r="O33" s="366">
        <f t="shared" si="78"/>
        <v>2595.6154140410958</v>
      </c>
      <c r="P33" s="366">
        <f t="shared" si="78"/>
        <v>2493.2849062499999</v>
      </c>
      <c r="Q33" s="366">
        <f t="shared" si="78"/>
        <v>2390.7439140410961</v>
      </c>
      <c r="R33" s="366">
        <f t="shared" ref="R33" si="79">-R25</f>
        <v>1725.808164041096</v>
      </c>
      <c r="S33" s="289"/>
    </row>
    <row r="34" spans="2:23" x14ac:dyDescent="0.3">
      <c r="B34" s="239" t="s">
        <v>587</v>
      </c>
      <c r="C34" s="370"/>
      <c r="D34" s="370">
        <f>D35/D36</f>
        <v>2.6401735438103358</v>
      </c>
      <c r="E34" s="370">
        <f t="shared" ref="E34:H34" si="80">E35/E36</f>
        <v>3.1746166031990173</v>
      </c>
      <c r="F34" s="370">
        <f t="shared" si="80"/>
        <v>3.5581092076985721</v>
      </c>
      <c r="G34" s="370">
        <f t="shared" si="80"/>
        <v>2.6450311357853371</v>
      </c>
      <c r="H34" s="370">
        <f t="shared" si="80"/>
        <v>3.1624560691580665</v>
      </c>
      <c r="I34" s="370">
        <f t="shared" ref="I34" si="81">I35/I36</f>
        <v>3.7541239374111925</v>
      </c>
      <c r="J34" s="370">
        <f t="shared" ref="J34" si="82">J35/J36</f>
        <v>4.4271483672222596</v>
      </c>
      <c r="K34" s="370">
        <f t="shared" ref="K34" si="83">K35/K36</f>
        <v>5.1899492309406101</v>
      </c>
      <c r="L34" s="370">
        <f t="shared" ref="L34" si="84">L35/L36</f>
        <v>6.0518354202276763</v>
      </c>
      <c r="M34" s="370">
        <f t="shared" ref="M34" si="85">M35/M36</f>
        <v>7.0243482078780062</v>
      </c>
      <c r="N34" s="370">
        <f t="shared" ref="N34" si="86">N35/N36</f>
        <v>8.1194803721865156</v>
      </c>
      <c r="O34" s="370">
        <f t="shared" ref="O34" si="87">O35/O36</f>
        <v>9.3519757381251232</v>
      </c>
      <c r="P34" s="370">
        <f t="shared" ref="P34" si="88">P35/P36</f>
        <v>10.738332524419809</v>
      </c>
      <c r="Q34" s="370">
        <f t="shared" ref="Q34:R34" si="89">Q35/Q36</f>
        <v>12.299721033630625</v>
      </c>
      <c r="R34" s="370">
        <f t="shared" si="89"/>
        <v>18.640347835887471</v>
      </c>
      <c r="S34" s="241"/>
      <c r="T34" s="371">
        <f>AVERAGE(D34:R34)</f>
        <v>6.7185099485053739</v>
      </c>
      <c r="U34" s="371">
        <v>1.1499999999999999</v>
      </c>
      <c r="V34" s="371">
        <f>MIN(D34:R34)</f>
        <v>2.6401735438103358</v>
      </c>
      <c r="W34" s="371">
        <f>MAX(D34:R34)</f>
        <v>18.640347835887471</v>
      </c>
    </row>
    <row r="35" spans="2:23" x14ac:dyDescent="0.3">
      <c r="B35" s="287" t="s">
        <v>338</v>
      </c>
      <c r="C35" s="362">
        <f>C8+C14+C29</f>
        <v>67737.204443977607</v>
      </c>
      <c r="D35" s="362">
        <f>D8+D14+D29</f>
        <v>1621.3752902916267</v>
      </c>
      <c r="E35" s="362">
        <f t="shared" ref="E35:H35" si="90">E8+E14+E29</f>
        <v>3902.3307925337249</v>
      </c>
      <c r="F35" s="362">
        <f t="shared" si="90"/>
        <v>6375.1674526005554</v>
      </c>
      <c r="G35" s="362">
        <f t="shared" si="90"/>
        <v>9033.0495720032304</v>
      </c>
      <c r="H35" s="362">
        <f t="shared" si="90"/>
        <v>10476.492458200581</v>
      </c>
      <c r="I35" s="362">
        <f t="shared" ref="I35:Q35" si="91">I8+I14+I29</f>
        <v>12051.600964895153</v>
      </c>
      <c r="J35" s="362">
        <f t="shared" si="91"/>
        <v>13758.665858997405</v>
      </c>
      <c r="K35" s="362">
        <f t="shared" si="91"/>
        <v>15597.657589653478</v>
      </c>
      <c r="L35" s="362">
        <f t="shared" si="91"/>
        <v>17568.647108953141</v>
      </c>
      <c r="M35" s="362">
        <f t="shared" si="91"/>
        <v>19671.595235830377</v>
      </c>
      <c r="N35" s="362">
        <f t="shared" si="91"/>
        <v>21906.77346958666</v>
      </c>
      <c r="O35" s="362">
        <f t="shared" si="91"/>
        <v>24274.132377615926</v>
      </c>
      <c r="P35" s="362">
        <f t="shared" si="91"/>
        <v>26773.722401429368</v>
      </c>
      <c r="Q35" s="362">
        <f t="shared" si="91"/>
        <v>29405.483205555676</v>
      </c>
      <c r="R35" s="362">
        <f t="shared" ref="R35" si="92">R8+R14+R29</f>
        <v>32169.664475740374</v>
      </c>
      <c r="S35" s="290" t="s">
        <v>340</v>
      </c>
    </row>
    <row r="36" spans="2:23" x14ac:dyDescent="0.3">
      <c r="B36" s="286" t="s">
        <v>339</v>
      </c>
      <c r="C36" s="366">
        <f>-C25</f>
        <v>37293.348132278334</v>
      </c>
      <c r="D36" s="366">
        <f>-D25</f>
        <v>614.11693715846991</v>
      </c>
      <c r="E36" s="366">
        <f t="shared" ref="E36:H36" si="93">-E25</f>
        <v>1229.229</v>
      </c>
      <c r="F36" s="366">
        <f t="shared" si="93"/>
        <v>1791.729</v>
      </c>
      <c r="G36" s="366">
        <f t="shared" si="93"/>
        <v>3415.1014140410957</v>
      </c>
      <c r="H36" s="366">
        <f t="shared" si="93"/>
        <v>3312.7709062499998</v>
      </c>
      <c r="I36" s="366">
        <f t="shared" ref="I36:Q36" si="94">-I25</f>
        <v>3210.229914041096</v>
      </c>
      <c r="J36" s="366">
        <f t="shared" si="94"/>
        <v>3107.7941640410959</v>
      </c>
      <c r="K36" s="366">
        <f t="shared" si="94"/>
        <v>3005.3584140410958</v>
      </c>
      <c r="L36" s="366">
        <f t="shared" si="94"/>
        <v>2903.0279062499999</v>
      </c>
      <c r="M36" s="366">
        <f t="shared" si="94"/>
        <v>2800.4869140410956</v>
      </c>
      <c r="N36" s="366">
        <f t="shared" si="94"/>
        <v>2698.0511640410959</v>
      </c>
      <c r="O36" s="366">
        <f t="shared" si="94"/>
        <v>2595.6154140410958</v>
      </c>
      <c r="P36" s="366">
        <f t="shared" si="94"/>
        <v>2493.2849062499999</v>
      </c>
      <c r="Q36" s="366">
        <f t="shared" si="94"/>
        <v>2390.7439140410961</v>
      </c>
      <c r="R36" s="366">
        <f t="shared" ref="R36" si="95">-R25</f>
        <v>1725.808164041096</v>
      </c>
      <c r="S36" s="289"/>
    </row>
    <row r="37" spans="2:23" x14ac:dyDescent="0.3">
      <c r="B37" s="239" t="s">
        <v>588</v>
      </c>
      <c r="C37" s="370"/>
      <c r="D37" s="370">
        <f>D38/D39</f>
        <v>2.6401735438103358</v>
      </c>
      <c r="E37" s="370">
        <f t="shared" ref="E37:R37" si="96">E38/E39</f>
        <v>3.1746166031990173</v>
      </c>
      <c r="F37" s="370">
        <f t="shared" si="96"/>
        <v>5.1863139029428655</v>
      </c>
      <c r="G37" s="370">
        <f t="shared" si="96"/>
        <v>7.7530157144626166</v>
      </c>
      <c r="H37" s="370">
        <f t="shared" si="96"/>
        <v>9.8577147686202764</v>
      </c>
      <c r="I37" s="370">
        <f t="shared" si="96"/>
        <v>12.550745179533502</v>
      </c>
      <c r="J37" s="370">
        <f t="shared" si="96"/>
        <v>16.039589024690827</v>
      </c>
      <c r="K37" s="370">
        <f t="shared" si="96"/>
        <v>20.649346455555438</v>
      </c>
      <c r="L37" s="370">
        <f t="shared" si="96"/>
        <v>26.903363456304273</v>
      </c>
      <c r="M37" s="370">
        <f t="shared" si="96"/>
        <v>35.734900747089917</v>
      </c>
      <c r="N37" s="370">
        <f t="shared" si="96"/>
        <v>48.893464023178709</v>
      </c>
      <c r="O37" s="370">
        <f t="shared" si="96"/>
        <v>70.234519038926834</v>
      </c>
      <c r="P37" s="370">
        <f t="shared" si="96"/>
        <v>110.05089799494854</v>
      </c>
      <c r="Q37" s="370">
        <f t="shared" si="96"/>
        <v>208.92898571066851</v>
      </c>
      <c r="R37" s="370">
        <f t="shared" si="96"/>
        <v>839.76001672201483</v>
      </c>
      <c r="S37" s="241"/>
    </row>
    <row r="38" spans="2:23" x14ac:dyDescent="0.3">
      <c r="B38" s="287" t="s">
        <v>585</v>
      </c>
      <c r="C38" s="362"/>
      <c r="D38" s="362">
        <f t="shared" ref="D38:Q38" si="97">D35</f>
        <v>1621.3752902916267</v>
      </c>
      <c r="E38" s="362">
        <f t="shared" si="97"/>
        <v>3902.3307925337249</v>
      </c>
      <c r="F38" s="362">
        <f t="shared" si="97"/>
        <v>6375.1674526005554</v>
      </c>
      <c r="G38" s="362">
        <f t="shared" si="97"/>
        <v>9033.0495720032304</v>
      </c>
      <c r="H38" s="362">
        <f t="shared" si="97"/>
        <v>10476.492458200581</v>
      </c>
      <c r="I38" s="362">
        <f t="shared" si="97"/>
        <v>12051.600964895153</v>
      </c>
      <c r="J38" s="362">
        <f t="shared" si="97"/>
        <v>13758.665858997405</v>
      </c>
      <c r="K38" s="362">
        <f t="shared" si="97"/>
        <v>15597.657589653478</v>
      </c>
      <c r="L38" s="362">
        <f t="shared" si="97"/>
        <v>17568.647108953141</v>
      </c>
      <c r="M38" s="362">
        <f t="shared" si="97"/>
        <v>19671.595235830377</v>
      </c>
      <c r="N38" s="362">
        <f t="shared" si="97"/>
        <v>21906.77346958666</v>
      </c>
      <c r="O38" s="362">
        <f t="shared" si="97"/>
        <v>24274.132377615926</v>
      </c>
      <c r="P38" s="362">
        <f t="shared" si="97"/>
        <v>26773.722401429368</v>
      </c>
      <c r="Q38" s="362">
        <f t="shared" si="97"/>
        <v>29405.483205555676</v>
      </c>
      <c r="R38" s="362">
        <f t="shared" ref="R38" si="98">R35</f>
        <v>32169.664475740374</v>
      </c>
      <c r="S38" s="290" t="s">
        <v>340</v>
      </c>
    </row>
    <row r="39" spans="2:23" x14ac:dyDescent="0.3">
      <c r="B39" s="286" t="s">
        <v>586</v>
      </c>
      <c r="C39" s="366"/>
      <c r="D39" s="366">
        <f>-D26</f>
        <v>614.11693715846991</v>
      </c>
      <c r="E39" s="366">
        <f t="shared" ref="E39:Q39" si="99">-E26</f>
        <v>1229.229</v>
      </c>
      <c r="F39" s="366">
        <f t="shared" si="99"/>
        <v>1229.229</v>
      </c>
      <c r="G39" s="366">
        <f t="shared" si="99"/>
        <v>1165.1014140410957</v>
      </c>
      <c r="H39" s="366">
        <f t="shared" si="99"/>
        <v>1062.7709062500001</v>
      </c>
      <c r="I39" s="366">
        <f t="shared" si="99"/>
        <v>960.22991404109587</v>
      </c>
      <c r="J39" s="366">
        <f t="shared" si="99"/>
        <v>857.79416404109588</v>
      </c>
      <c r="K39" s="366">
        <f t="shared" si="99"/>
        <v>755.35841404109578</v>
      </c>
      <c r="L39" s="366">
        <f t="shared" si="99"/>
        <v>653.02790624999989</v>
      </c>
      <c r="M39" s="366">
        <f t="shared" si="99"/>
        <v>550.48691404109582</v>
      </c>
      <c r="N39" s="366">
        <f t="shared" si="99"/>
        <v>448.05116404109583</v>
      </c>
      <c r="O39" s="366">
        <f t="shared" si="99"/>
        <v>345.61541404109585</v>
      </c>
      <c r="P39" s="366">
        <f t="shared" si="99"/>
        <v>243.28490624999998</v>
      </c>
      <c r="Q39" s="366">
        <f t="shared" si="99"/>
        <v>140.74391404109588</v>
      </c>
      <c r="R39" s="366">
        <f t="shared" ref="R39" si="100">-R26</f>
        <v>38.308164041095893</v>
      </c>
      <c r="S39" s="289"/>
    </row>
    <row r="40" spans="2:23" x14ac:dyDescent="0.3">
      <c r="B40" t="s">
        <v>583</v>
      </c>
    </row>
    <row r="41" spans="2:23" x14ac:dyDescent="0.3">
      <c r="B41" t="s">
        <v>584</v>
      </c>
    </row>
    <row r="42" spans="2:23" x14ac:dyDescent="0.3">
      <c r="B42" t="s">
        <v>337</v>
      </c>
      <c r="G42" s="271">
        <v>12</v>
      </c>
    </row>
    <row r="44" spans="2:23" x14ac:dyDescent="0.3">
      <c r="D44" s="371"/>
      <c r="E44" s="371"/>
      <c r="F44" s="371"/>
      <c r="G44" s="371"/>
      <c r="H44" s="371"/>
      <c r="I44" s="371"/>
      <c r="J44" s="371"/>
      <c r="K44" s="371"/>
      <c r="L44" s="371"/>
      <c r="M44" s="371"/>
      <c r="N44" s="371"/>
      <c r="O44" s="371"/>
      <c r="P44" s="371"/>
      <c r="Q44" s="371"/>
      <c r="R44" s="371"/>
    </row>
    <row r="46" spans="2:23" x14ac:dyDescent="0.3">
      <c r="I46" s="114"/>
      <c r="J46" s="114"/>
      <c r="K46" s="114"/>
      <c r="L46" s="114"/>
      <c r="M46" s="114"/>
      <c r="N46" s="114"/>
      <c r="O46" s="114"/>
      <c r="P46" s="114"/>
      <c r="Q46" s="114" t="s">
        <v>128</v>
      </c>
      <c r="R46" s="114"/>
    </row>
    <row r="47" spans="2:23" x14ac:dyDescent="0.3">
      <c r="B47" s="597" t="s">
        <v>102</v>
      </c>
      <c r="C47" s="598" t="s">
        <v>107</v>
      </c>
      <c r="D47" s="231" t="str">
        <f>D4</f>
        <v>1년차</v>
      </c>
      <c r="E47" s="231" t="str">
        <f t="shared" ref="E47:Q47" si="101">E4</f>
        <v>2년차</v>
      </c>
      <c r="F47" s="231" t="str">
        <f t="shared" si="101"/>
        <v>3년차</v>
      </c>
      <c r="G47" s="231" t="str">
        <f t="shared" si="101"/>
        <v>4년차</v>
      </c>
      <c r="H47" s="295" t="str">
        <f t="shared" si="101"/>
        <v>5년차</v>
      </c>
      <c r="I47" s="231" t="str">
        <f t="shared" si="101"/>
        <v>6년차</v>
      </c>
      <c r="J47" s="231" t="str">
        <f t="shared" si="101"/>
        <v>7년차</v>
      </c>
      <c r="K47" s="231" t="str">
        <f t="shared" si="101"/>
        <v>8년차</v>
      </c>
      <c r="L47" s="231" t="str">
        <f t="shared" si="101"/>
        <v>9년차</v>
      </c>
      <c r="M47" s="231" t="str">
        <f t="shared" si="101"/>
        <v>10년차</v>
      </c>
      <c r="N47" s="231" t="str">
        <f t="shared" si="101"/>
        <v>11년차</v>
      </c>
      <c r="O47" s="231" t="str">
        <f t="shared" si="101"/>
        <v>12년차</v>
      </c>
      <c r="P47" s="231" t="str">
        <f t="shared" si="101"/>
        <v>13년차</v>
      </c>
      <c r="Q47" s="295" t="str">
        <f t="shared" si="101"/>
        <v>14년차</v>
      </c>
      <c r="R47" s="295" t="str">
        <f t="shared" ref="R47" si="102">R4</f>
        <v>15년차</v>
      </c>
    </row>
    <row r="48" spans="2:23" x14ac:dyDescent="0.3">
      <c r="B48" s="597"/>
      <c r="C48" s="598"/>
      <c r="D48" s="291" t="str">
        <f t="shared" ref="D48:Q48" si="103">D5</f>
        <v>2024</v>
      </c>
      <c r="E48" s="291" t="str">
        <f t="shared" si="103"/>
        <v>2025</v>
      </c>
      <c r="F48" s="291" t="str">
        <f t="shared" si="103"/>
        <v>2026</v>
      </c>
      <c r="G48" s="291" t="str">
        <f t="shared" si="103"/>
        <v>2027</v>
      </c>
      <c r="H48" s="296" t="str">
        <f t="shared" si="103"/>
        <v>2028</v>
      </c>
      <c r="I48" s="291" t="str">
        <f t="shared" si="103"/>
        <v>2029</v>
      </c>
      <c r="J48" s="291" t="str">
        <f t="shared" si="103"/>
        <v>2030</v>
      </c>
      <c r="K48" s="291" t="str">
        <f t="shared" si="103"/>
        <v>2031</v>
      </c>
      <c r="L48" s="291" t="str">
        <f t="shared" si="103"/>
        <v>2032</v>
      </c>
      <c r="M48" s="291" t="str">
        <f t="shared" si="103"/>
        <v>2033</v>
      </c>
      <c r="N48" s="291" t="str">
        <f t="shared" si="103"/>
        <v>2034</v>
      </c>
      <c r="O48" s="291" t="str">
        <f t="shared" si="103"/>
        <v>2035</v>
      </c>
      <c r="P48" s="291" t="str">
        <f t="shared" si="103"/>
        <v>2036</v>
      </c>
      <c r="Q48" s="296" t="str">
        <f t="shared" si="103"/>
        <v>2037</v>
      </c>
      <c r="R48" s="296" t="str">
        <f t="shared" ref="R48" si="104">R5</f>
        <v>2038</v>
      </c>
    </row>
    <row r="49" spans="1:21" x14ac:dyDescent="0.3">
      <c r="B49" s="65" t="s">
        <v>108</v>
      </c>
      <c r="C49" s="274"/>
      <c r="D49" s="236"/>
      <c r="E49" s="236"/>
      <c r="F49" s="236"/>
      <c r="G49" s="236"/>
      <c r="H49" s="236"/>
      <c r="I49" s="236"/>
      <c r="J49" s="236"/>
      <c r="K49" s="236"/>
      <c r="L49" s="236"/>
      <c r="M49" s="236"/>
      <c r="N49" s="236"/>
      <c r="O49" s="236"/>
      <c r="P49" s="236"/>
      <c r="Q49" s="249"/>
      <c r="R49" s="249"/>
      <c r="S49" s="249"/>
      <c r="T49" s="249"/>
      <c r="U49" s="249"/>
    </row>
    <row r="50" spans="1:21" x14ac:dyDescent="0.3">
      <c r="B50" s="95" t="s">
        <v>109</v>
      </c>
      <c r="C50" s="276">
        <f>D50</f>
        <v>27000</v>
      </c>
      <c r="D50" s="276">
        <f>개발기간!AT38</f>
        <v>27000</v>
      </c>
      <c r="E50" s="276">
        <f>D53</f>
        <v>27000</v>
      </c>
      <c r="F50" s="276">
        <f t="shared" ref="F50:H50" si="105">E53</f>
        <v>27000</v>
      </c>
      <c r="G50" s="276">
        <f t="shared" si="105"/>
        <v>26437.5</v>
      </c>
      <c r="H50" s="241">
        <f t="shared" si="105"/>
        <v>24187.5</v>
      </c>
      <c r="I50" s="241">
        <f t="shared" ref="I50:R50" si="106">H53</f>
        <v>21937.5</v>
      </c>
      <c r="J50" s="241">
        <f t="shared" si="106"/>
        <v>19687.5</v>
      </c>
      <c r="K50" s="241">
        <f t="shared" si="106"/>
        <v>17437.5</v>
      </c>
      <c r="L50" s="241">
        <f t="shared" si="106"/>
        <v>15187.5</v>
      </c>
      <c r="M50" s="241">
        <f t="shared" si="106"/>
        <v>12937.5</v>
      </c>
      <c r="N50" s="241">
        <f t="shared" si="106"/>
        <v>10687.5</v>
      </c>
      <c r="O50" s="241">
        <f t="shared" si="106"/>
        <v>8437.5</v>
      </c>
      <c r="P50" s="241">
        <f t="shared" si="106"/>
        <v>6187.5</v>
      </c>
      <c r="Q50" s="241">
        <f t="shared" si="106"/>
        <v>3937.5</v>
      </c>
      <c r="R50" s="241">
        <f t="shared" si="106"/>
        <v>1687.5</v>
      </c>
      <c r="S50" s="249"/>
      <c r="T50" s="249"/>
      <c r="U50" s="249"/>
    </row>
    <row r="51" spans="1:21" x14ac:dyDescent="0.3">
      <c r="B51" s="99" t="s">
        <v>110</v>
      </c>
      <c r="C51" s="277">
        <f>SUM(D51:R51)</f>
        <v>0</v>
      </c>
      <c r="D51" s="277">
        <v>0</v>
      </c>
      <c r="E51" s="277">
        <v>0</v>
      </c>
      <c r="F51" s="277">
        <v>0</v>
      </c>
      <c r="G51" s="277">
        <v>0</v>
      </c>
      <c r="H51" s="278">
        <v>0</v>
      </c>
      <c r="I51" s="278">
        <v>0</v>
      </c>
      <c r="J51" s="278">
        <v>0</v>
      </c>
      <c r="K51" s="278">
        <v>0</v>
      </c>
      <c r="L51" s="278">
        <v>0</v>
      </c>
      <c r="M51" s="278">
        <v>0</v>
      </c>
      <c r="N51" s="278">
        <v>0</v>
      </c>
      <c r="O51" s="278">
        <v>0</v>
      </c>
      <c r="P51" s="278">
        <v>0</v>
      </c>
      <c r="Q51" s="278">
        <v>0</v>
      </c>
      <c r="R51" s="278">
        <v>0</v>
      </c>
      <c r="S51" s="249"/>
      <c r="T51" s="249"/>
      <c r="U51" s="249"/>
    </row>
    <row r="52" spans="1:21" x14ac:dyDescent="0.3">
      <c r="B52" s="481" t="s">
        <v>111</v>
      </c>
      <c r="C52" s="277">
        <f>SUM(D52:R52)</f>
        <v>27000</v>
      </c>
      <c r="D52" s="279">
        <f>SUMIF(현금흐름!$E$8:$GF$8,운영기간!D48,현금흐름!$E$14:$GF$14)</f>
        <v>0</v>
      </c>
      <c r="E52" s="279">
        <f>SUMIF(현금흐름!$E$8:$GF$8,운영기간!E48,현금흐름!$E$14:$GF$14)</f>
        <v>0</v>
      </c>
      <c r="F52" s="279">
        <f>SUMIF(현금흐름!$E$8:$GF$8,운영기간!F48,현금흐름!$E$14:$GF$14)</f>
        <v>562.5</v>
      </c>
      <c r="G52" s="279">
        <f>SUMIF(현금흐름!$E$8:$GF$8,운영기간!G48,현금흐름!$E$14:$GF$14)</f>
        <v>2250</v>
      </c>
      <c r="H52" s="279">
        <f>SUMIF(현금흐름!$E$8:$GF$8,운영기간!H48,현금흐름!$E$14:$GF$14)</f>
        <v>2250</v>
      </c>
      <c r="I52" s="279">
        <f>SUMIF(현금흐름!$E$8:$GF$8,운영기간!I48,현금흐름!$E$14:$GF$14)</f>
        <v>2250</v>
      </c>
      <c r="J52" s="279">
        <f>SUMIF(현금흐름!$E$8:$GF$8,운영기간!J48,현금흐름!$E$14:$GF$14)</f>
        <v>2250</v>
      </c>
      <c r="K52" s="279">
        <f>SUMIF(현금흐름!$E$8:$GF$8,운영기간!K48,현금흐름!$E$14:$GF$14)</f>
        <v>2250</v>
      </c>
      <c r="L52" s="279">
        <f>SUMIF(현금흐름!$E$8:$GF$8,운영기간!L48,현금흐름!$E$14:$GF$14)</f>
        <v>2250</v>
      </c>
      <c r="M52" s="279">
        <f>SUMIF(현금흐름!$E$8:$GF$8,운영기간!M48,현금흐름!$E$14:$GF$14)</f>
        <v>2250</v>
      </c>
      <c r="N52" s="279">
        <f>SUMIF(현금흐름!$E$8:$GF$8,운영기간!N48,현금흐름!$E$14:$GF$14)</f>
        <v>2250</v>
      </c>
      <c r="O52" s="279">
        <f>SUMIF(현금흐름!$E$8:$GF$8,운영기간!O48,현금흐름!$E$14:$GF$14)</f>
        <v>2250</v>
      </c>
      <c r="P52" s="279">
        <f>SUMIF(현금흐름!$E$8:$GF$8,운영기간!P48,현금흐름!$E$14:$GF$14)</f>
        <v>2250</v>
      </c>
      <c r="Q52" s="279">
        <f>SUMIF(현금흐름!$E$8:$GF$8,운영기간!Q48,현금흐름!$E$14:$GF$14)</f>
        <v>2250</v>
      </c>
      <c r="R52" s="279">
        <f>SUMIF(현금흐름!$E$8:$GF$8,운영기간!R48,현금흐름!$E$14:$GF$14)</f>
        <v>1687.5</v>
      </c>
      <c r="S52" s="249"/>
      <c r="T52" s="249"/>
      <c r="U52" s="249"/>
    </row>
    <row r="53" spans="1:21" x14ac:dyDescent="0.3">
      <c r="B53" s="97" t="s">
        <v>112</v>
      </c>
      <c r="C53" s="246">
        <f>C50+C51-C52</f>
        <v>0</v>
      </c>
      <c r="D53" s="246">
        <f>D50+D51-D52</f>
        <v>27000</v>
      </c>
      <c r="E53" s="246">
        <f t="shared" ref="E53:R53" si="107">E50+E51-E52</f>
        <v>27000</v>
      </c>
      <c r="F53" s="246">
        <f t="shared" si="107"/>
        <v>26437.5</v>
      </c>
      <c r="G53" s="246">
        <f t="shared" si="107"/>
        <v>24187.5</v>
      </c>
      <c r="H53" s="246">
        <f t="shared" si="107"/>
        <v>21937.5</v>
      </c>
      <c r="I53" s="246">
        <f t="shared" si="107"/>
        <v>19687.5</v>
      </c>
      <c r="J53" s="246">
        <f t="shared" si="107"/>
        <v>17437.5</v>
      </c>
      <c r="K53" s="246">
        <f t="shared" si="107"/>
        <v>15187.5</v>
      </c>
      <c r="L53" s="246">
        <f t="shared" si="107"/>
        <v>12937.5</v>
      </c>
      <c r="M53" s="246">
        <f t="shared" si="107"/>
        <v>10687.5</v>
      </c>
      <c r="N53" s="246">
        <f t="shared" si="107"/>
        <v>8437.5</v>
      </c>
      <c r="O53" s="246">
        <f t="shared" si="107"/>
        <v>6187.5</v>
      </c>
      <c r="P53" s="246">
        <f t="shared" si="107"/>
        <v>3937.5</v>
      </c>
      <c r="Q53" s="246">
        <f t="shared" si="107"/>
        <v>1687.5</v>
      </c>
      <c r="R53" s="246">
        <f t="shared" si="107"/>
        <v>0</v>
      </c>
      <c r="S53" s="249"/>
      <c r="T53" s="249"/>
      <c r="U53" s="249"/>
    </row>
    <row r="54" spans="1:21" x14ac:dyDescent="0.3">
      <c r="B54" s="95" t="s">
        <v>113</v>
      </c>
      <c r="C54" s="275"/>
      <c r="D54" s="276"/>
      <c r="E54" s="276"/>
      <c r="F54" s="276"/>
      <c r="G54" s="276"/>
      <c r="H54" s="241"/>
      <c r="I54" s="241"/>
      <c r="J54" s="241"/>
      <c r="K54" s="241"/>
      <c r="L54" s="241"/>
      <c r="M54" s="241"/>
      <c r="N54" s="241"/>
      <c r="O54" s="241"/>
      <c r="P54" s="241"/>
      <c r="Q54" s="241"/>
      <c r="R54" s="241"/>
      <c r="S54" s="249"/>
      <c r="T54" s="249"/>
      <c r="U54" s="249"/>
    </row>
    <row r="55" spans="1:21" x14ac:dyDescent="0.3">
      <c r="B55" s="101" t="s">
        <v>114</v>
      </c>
      <c r="C55" s="281">
        <f>SUM(D55:R55)</f>
        <v>0</v>
      </c>
      <c r="D55" s="281"/>
      <c r="E55" s="281"/>
      <c r="F55" s="281"/>
      <c r="G55" s="281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/>
      <c r="S55" s="249"/>
      <c r="T55" s="249"/>
      <c r="U55" s="249"/>
    </row>
    <row r="56" spans="1:21" x14ac:dyDescent="0.3">
      <c r="A56" s="447"/>
      <c r="B56" s="280" t="s">
        <v>115</v>
      </c>
      <c r="C56" s="246">
        <f>SUM(D56:R56)</f>
        <v>10293.348132278332</v>
      </c>
      <c r="D56" s="246">
        <f>SUMIF(현금흐름!$E$8:$GF$8,운영기간!D48,현금흐름!$E$18:$GF$18)-SUM(개발기간!AI43:AN43)</f>
        <v>614.11693715846991</v>
      </c>
      <c r="E56" s="246">
        <f>SUMIF(현금흐름!$E$8:$GF$8,운영기간!E48,현금흐름!$E$18:$GF$18)</f>
        <v>1229.229</v>
      </c>
      <c r="F56" s="246">
        <f>SUMIF(현금흐름!$E$8:$GF$8,운영기간!F48,현금흐름!$E$18:$GF$18)</f>
        <v>1229.229</v>
      </c>
      <c r="G56" s="246">
        <f>SUMIF(현금흐름!$E$8:$GF$8,운영기간!G48,현금흐름!$E$18:$GF$18)</f>
        <v>1165.1014140410957</v>
      </c>
      <c r="H56" s="246">
        <f>SUMIF(현금흐름!$E$8:$GF$8,운영기간!H48,현금흐름!$E$18:$GF$18)</f>
        <v>1062.7709062500001</v>
      </c>
      <c r="I56" s="246">
        <f>SUMIF(현금흐름!$E$8:$GF$8,운영기간!I48,현금흐름!$E$18:$GF$18)</f>
        <v>960.22991404109587</v>
      </c>
      <c r="J56" s="246">
        <f>SUMIF(현금흐름!$E$8:$GF$8,운영기간!J48,현금흐름!$E$18:$GF$18)</f>
        <v>857.79416404109588</v>
      </c>
      <c r="K56" s="246">
        <f>SUMIF(현금흐름!$E$8:$GF$8,운영기간!K48,현금흐름!$E$18:$GF$18)</f>
        <v>755.35841404109578</v>
      </c>
      <c r="L56" s="246">
        <f>SUMIF(현금흐름!$E$8:$GF$8,운영기간!L48,현금흐름!$E$18:$GF$18)</f>
        <v>653.02790624999989</v>
      </c>
      <c r="M56" s="246">
        <f>SUMIF(현금흐름!$E$8:$GF$8,운영기간!M48,현금흐름!$E$18:$GF$18)</f>
        <v>550.48691404109582</v>
      </c>
      <c r="N56" s="246">
        <f>SUMIF(현금흐름!$E$8:$GF$8,운영기간!N48,현금흐름!$E$18:$GF$18)</f>
        <v>448.05116404109583</v>
      </c>
      <c r="O56" s="246">
        <f>SUMIF(현금흐름!$E$8:$GF$8,운영기간!O48,현금흐름!$E$18:$GF$18)</f>
        <v>345.61541404109585</v>
      </c>
      <c r="P56" s="246">
        <f>SUMIF(현금흐름!$E$8:$GF$8,운영기간!P48,현금흐름!$E$18:$GF$18)</f>
        <v>243.28490624999998</v>
      </c>
      <c r="Q56" s="246">
        <f>SUMIF(현금흐름!$E$8:$GF$8,운영기간!Q48,현금흐름!$E$18:$GF$18)</f>
        <v>140.74391404109588</v>
      </c>
      <c r="R56" s="248">
        <f>SUMIF(현금흐름!$E$8:$GF$8,운영기간!R48,현금흐름!$E$18:$GF$18)</f>
        <v>38.308164041095893</v>
      </c>
      <c r="S56" s="249"/>
      <c r="T56" s="249"/>
      <c r="U56" s="249"/>
    </row>
    <row r="57" spans="1:21" x14ac:dyDescent="0.3">
      <c r="D57" s="249"/>
      <c r="E57" s="249"/>
      <c r="F57" s="249"/>
      <c r="G57" s="249"/>
      <c r="H57" s="249"/>
      <c r="I57" s="249"/>
      <c r="J57" s="249"/>
      <c r="K57" s="249"/>
      <c r="L57" s="249"/>
      <c r="M57" s="249"/>
      <c r="N57" s="249"/>
      <c r="O57" s="249"/>
      <c r="P57" s="249"/>
      <c r="Q57" s="249"/>
      <c r="R57" s="249"/>
      <c r="S57" s="249"/>
      <c r="T57" s="249"/>
      <c r="U57" s="249"/>
    </row>
    <row r="58" spans="1:21" x14ac:dyDescent="0.3">
      <c r="D58" s="249"/>
      <c r="E58" s="249"/>
      <c r="F58" s="249"/>
      <c r="G58" s="249"/>
      <c r="I58" s="114"/>
      <c r="J58" s="114"/>
      <c r="K58" s="114"/>
      <c r="L58" s="114"/>
      <c r="M58" s="114"/>
      <c r="N58" s="114"/>
      <c r="O58" s="114"/>
      <c r="P58" s="114"/>
      <c r="Q58" s="114" t="s">
        <v>128</v>
      </c>
      <c r="R58" s="114"/>
      <c r="S58" s="249"/>
      <c r="T58" s="249"/>
      <c r="U58" s="249"/>
    </row>
    <row r="59" spans="1:21" x14ac:dyDescent="0.3">
      <c r="B59" s="597" t="s">
        <v>102</v>
      </c>
      <c r="C59" s="598" t="s">
        <v>107</v>
      </c>
      <c r="D59" s="231" t="str">
        <f t="shared" ref="D59:R59" si="108">D47</f>
        <v>1년차</v>
      </c>
      <c r="E59" s="231" t="str">
        <f t="shared" si="108"/>
        <v>2년차</v>
      </c>
      <c r="F59" s="231" t="str">
        <f t="shared" si="108"/>
        <v>3년차</v>
      </c>
      <c r="G59" s="231" t="str">
        <f t="shared" si="108"/>
        <v>4년차</v>
      </c>
      <c r="H59" s="295" t="str">
        <f t="shared" si="108"/>
        <v>5년차</v>
      </c>
      <c r="I59" s="231" t="str">
        <f t="shared" si="108"/>
        <v>6년차</v>
      </c>
      <c r="J59" s="231" t="str">
        <f t="shared" si="108"/>
        <v>7년차</v>
      </c>
      <c r="K59" s="231" t="str">
        <f t="shared" si="108"/>
        <v>8년차</v>
      </c>
      <c r="L59" s="231" t="str">
        <f t="shared" si="108"/>
        <v>9년차</v>
      </c>
      <c r="M59" s="231" t="str">
        <f t="shared" si="108"/>
        <v>10년차</v>
      </c>
      <c r="N59" s="231" t="str">
        <f t="shared" si="108"/>
        <v>11년차</v>
      </c>
      <c r="O59" s="231" t="str">
        <f t="shared" si="108"/>
        <v>12년차</v>
      </c>
      <c r="P59" s="231" t="str">
        <f t="shared" si="108"/>
        <v>13년차</v>
      </c>
      <c r="Q59" s="295" t="str">
        <f t="shared" si="108"/>
        <v>14년차</v>
      </c>
      <c r="R59" s="295" t="str">
        <f t="shared" si="108"/>
        <v>15년차</v>
      </c>
    </row>
    <row r="60" spans="1:21" x14ac:dyDescent="0.3">
      <c r="B60" s="597"/>
      <c r="C60" s="598"/>
      <c r="D60" s="291" t="str">
        <f t="shared" ref="D60:R60" si="109">D48</f>
        <v>2024</v>
      </c>
      <c r="E60" s="291" t="str">
        <f t="shared" si="109"/>
        <v>2025</v>
      </c>
      <c r="F60" s="291" t="str">
        <f t="shared" si="109"/>
        <v>2026</v>
      </c>
      <c r="G60" s="291" t="str">
        <f t="shared" si="109"/>
        <v>2027</v>
      </c>
      <c r="H60" s="296" t="str">
        <f t="shared" si="109"/>
        <v>2028</v>
      </c>
      <c r="I60" s="291" t="str">
        <f t="shared" si="109"/>
        <v>2029</v>
      </c>
      <c r="J60" s="291" t="str">
        <f t="shared" si="109"/>
        <v>2030</v>
      </c>
      <c r="K60" s="291" t="str">
        <f t="shared" si="109"/>
        <v>2031</v>
      </c>
      <c r="L60" s="291" t="str">
        <f t="shared" si="109"/>
        <v>2032</v>
      </c>
      <c r="M60" s="291" t="str">
        <f t="shared" si="109"/>
        <v>2033</v>
      </c>
      <c r="N60" s="291" t="str">
        <f t="shared" si="109"/>
        <v>2034</v>
      </c>
      <c r="O60" s="291" t="str">
        <f t="shared" si="109"/>
        <v>2035</v>
      </c>
      <c r="P60" s="291" t="str">
        <f t="shared" si="109"/>
        <v>2036</v>
      </c>
      <c r="Q60" s="296" t="str">
        <f t="shared" si="109"/>
        <v>2037</v>
      </c>
      <c r="R60" s="296" t="str">
        <f t="shared" si="109"/>
        <v>2038</v>
      </c>
    </row>
    <row r="61" spans="1:21" x14ac:dyDescent="0.3">
      <c r="B61" s="56" t="s">
        <v>341</v>
      </c>
      <c r="C61" s="236">
        <f>SUM(D61:R61)</f>
        <v>279457.65960925556</v>
      </c>
      <c r="D61" s="236">
        <f t="shared" ref="D61:R61" si="110">D8</f>
        <v>5030.6020173913048</v>
      </c>
      <c r="E61" s="236">
        <f t="shared" si="110"/>
        <v>13315.470093913045</v>
      </c>
      <c r="F61" s="236">
        <f t="shared" si="110"/>
        <v>15852.858112695652</v>
      </c>
      <c r="G61" s="236">
        <f t="shared" si="110"/>
        <v>18390.261461478261</v>
      </c>
      <c r="H61" s="238">
        <f t="shared" si="110"/>
        <v>19657.453054219568</v>
      </c>
      <c r="I61" s="238">
        <f t="shared" si="110"/>
        <v>19844.96686606151</v>
      </c>
      <c r="J61" s="238">
        <f t="shared" si="110"/>
        <v>20034.401119615377</v>
      </c>
      <c r="K61" s="238">
        <f t="shared" si="110"/>
        <v>20225.774792780314</v>
      </c>
      <c r="L61" s="238">
        <f t="shared" si="110"/>
        <v>20419.107054367061</v>
      </c>
      <c r="M61" s="238">
        <f t="shared" si="110"/>
        <v>20614.417266001376</v>
      </c>
      <c r="N61" s="238">
        <f t="shared" si="110"/>
        <v>20811.724984046581</v>
      </c>
      <c r="O61" s="238">
        <f t="shared" si="110"/>
        <v>21011.049961545315</v>
      </c>
      <c r="P61" s="238">
        <f t="shared" si="110"/>
        <v>21212.412150180746</v>
      </c>
      <c r="Q61" s="238">
        <f t="shared" si="110"/>
        <v>21415.831702257427</v>
      </c>
      <c r="R61" s="238">
        <f t="shared" si="110"/>
        <v>21621.328972702006</v>
      </c>
    </row>
    <row r="62" spans="1:21" x14ac:dyDescent="0.3">
      <c r="B62" s="56" t="s">
        <v>342</v>
      </c>
      <c r="C62" s="236">
        <f>SUM(D62:R62)</f>
        <v>179214.64995533251</v>
      </c>
      <c r="D62" s="236">
        <f t="shared" ref="D62:R62" si="111">-SUM(D15:D17)</f>
        <v>3258.3035460869569</v>
      </c>
      <c r="E62" s="236">
        <f t="shared" si="111"/>
        <v>8506.4962408695646</v>
      </c>
      <c r="F62" s="236">
        <f t="shared" si="111"/>
        <v>10141.815493043479</v>
      </c>
      <c r="G62" s="236">
        <f t="shared" si="111"/>
        <v>11777.140745217392</v>
      </c>
      <c r="H62" s="238">
        <f t="shared" si="111"/>
        <v>12595.112431304347</v>
      </c>
      <c r="I62" s="238">
        <f t="shared" si="111"/>
        <v>12718.334555817391</v>
      </c>
      <c r="J62" s="238">
        <f t="shared" si="111"/>
        <v>12842.788901575566</v>
      </c>
      <c r="K62" s="238">
        <f t="shared" si="111"/>
        <v>12968.487790791321</v>
      </c>
      <c r="L62" s="238">
        <f t="shared" si="111"/>
        <v>13095.443668899234</v>
      </c>
      <c r="M62" s="238">
        <f t="shared" si="111"/>
        <v>13223.669105788227</v>
      </c>
      <c r="N62" s="238">
        <f t="shared" si="111"/>
        <v>13353.17679704611</v>
      </c>
      <c r="O62" s="238">
        <f t="shared" si="111"/>
        <v>13483.97956521657</v>
      </c>
      <c r="P62" s="238">
        <f t="shared" si="111"/>
        <v>13616.090361068735</v>
      </c>
      <c r="Q62" s="238">
        <f t="shared" si="111"/>
        <v>13749.522264879422</v>
      </c>
      <c r="R62" s="238">
        <f t="shared" si="111"/>
        <v>13884.288487728218</v>
      </c>
    </row>
    <row r="63" spans="1:21" x14ac:dyDescent="0.3">
      <c r="B63" s="239" t="s">
        <v>346</v>
      </c>
      <c r="C63" s="276">
        <f>C61-C62</f>
        <v>100243.00965392304</v>
      </c>
      <c r="D63" s="276">
        <f>D61-D62</f>
        <v>1772.2984713043479</v>
      </c>
      <c r="E63" s="276">
        <f t="shared" ref="E63:H63" si="112">E61-E62</f>
        <v>4808.9738530434806</v>
      </c>
      <c r="F63" s="276">
        <f t="shared" si="112"/>
        <v>5711.042619652173</v>
      </c>
      <c r="G63" s="276">
        <f t="shared" si="112"/>
        <v>6613.1207162608698</v>
      </c>
      <c r="H63" s="241">
        <f t="shared" si="112"/>
        <v>7062.3406229152206</v>
      </c>
      <c r="I63" s="241">
        <f t="shared" ref="I63" si="113">I61-I62</f>
        <v>7126.6323102441183</v>
      </c>
      <c r="J63" s="241">
        <f t="shared" ref="J63" si="114">J61-J62</f>
        <v>7191.6122180398106</v>
      </c>
      <c r="K63" s="241">
        <f t="shared" ref="K63" si="115">K61-K62</f>
        <v>7257.2870019889924</v>
      </c>
      <c r="L63" s="241">
        <f t="shared" ref="L63" si="116">L61-L62</f>
        <v>7323.6633854678275</v>
      </c>
      <c r="M63" s="241">
        <f t="shared" ref="M63" si="117">M61-M62</f>
        <v>7390.7481602131484</v>
      </c>
      <c r="N63" s="241">
        <f t="shared" ref="N63" si="118">N61-N62</f>
        <v>7458.5481870004714</v>
      </c>
      <c r="O63" s="241">
        <f t="shared" ref="O63" si="119">O61-O62</f>
        <v>7527.0703963287451</v>
      </c>
      <c r="P63" s="241">
        <f t="shared" ref="P63" si="120">P61-P62</f>
        <v>7596.3217891120112</v>
      </c>
      <c r="Q63" s="241">
        <f t="shared" ref="Q63:R63" si="121">Q61-Q62</f>
        <v>7666.3094373780041</v>
      </c>
      <c r="R63" s="241">
        <f t="shared" si="121"/>
        <v>7737.0404849737879</v>
      </c>
    </row>
    <row r="64" spans="1:21" x14ac:dyDescent="0.3">
      <c r="B64" s="292" t="s">
        <v>349</v>
      </c>
      <c r="C64" s="293">
        <f>C63/C61</f>
        <v>0.35870553626651436</v>
      </c>
      <c r="D64" s="293">
        <f>D63/D61</f>
        <v>0.35230345496966986</v>
      </c>
      <c r="E64" s="293">
        <f t="shared" ref="E64:H64" si="122">E63/E61</f>
        <v>0.36115689638639392</v>
      </c>
      <c r="F64" s="293">
        <f t="shared" si="122"/>
        <v>0.36025318457108524</v>
      </c>
      <c r="G64" s="293">
        <f t="shared" si="122"/>
        <v>0.35959905899724431</v>
      </c>
      <c r="H64" s="294">
        <f t="shared" si="122"/>
        <v>0.35927037970970788</v>
      </c>
      <c r="I64" s="294">
        <f t="shared" ref="I64" si="123">I63/I61</f>
        <v>0.3591153544545318</v>
      </c>
      <c r="J64" s="294">
        <f t="shared" ref="J64" si="124">J63/J61</f>
        <v>0.35896317414742251</v>
      </c>
      <c r="K64" s="294">
        <f t="shared" ref="K64" si="125">K63/K61</f>
        <v>0.35881379459339752</v>
      </c>
      <c r="L64" s="294">
        <f t="shared" ref="L64" si="126">L63/L61</f>
        <v>0.3586671721720322</v>
      </c>
      <c r="M64" s="294">
        <f t="shared" ref="M64" si="127">M63/M61</f>
        <v>0.35852326383256278</v>
      </c>
      <c r="N64" s="294">
        <f t="shared" ref="N64" si="128">N63/N61</f>
        <v>0.35838202708895539</v>
      </c>
      <c r="O64" s="294">
        <f t="shared" ref="O64" si="129">O63/O61</f>
        <v>0.35824342001493892</v>
      </c>
      <c r="P64" s="294">
        <f t="shared" ref="P64" si="130">P63/P61</f>
        <v>0.35810740123900925</v>
      </c>
      <c r="Q64" s="294">
        <f t="shared" ref="Q64:R64" si="131">Q63/Q61</f>
        <v>0.35797392993940574</v>
      </c>
      <c r="R64" s="294">
        <f t="shared" si="131"/>
        <v>0.35784296583906489</v>
      </c>
    </row>
    <row r="65" spans="2:19" x14ac:dyDescent="0.3">
      <c r="B65" s="56" t="s">
        <v>343</v>
      </c>
      <c r="C65" s="236">
        <f>SUM(D65:R65)</f>
        <v>52662.205785654129</v>
      </c>
      <c r="D65" s="236">
        <f>-SUM(D18:D24)+'첨부1 추정손익(태양광 포함)'!B21/1000</f>
        <v>2141.2567567214564</v>
      </c>
      <c r="E65" s="236">
        <f>-SUM(E18:E24)+'첨부1 추정손익(태양광 포함)'!C21/1000</f>
        <v>3224.5464136429123</v>
      </c>
      <c r="F65" s="236">
        <f>-SUM(F18:F24)+'첨부1 추정손익(태양광 포함)'!D21/1000</f>
        <v>3312.0959595853415</v>
      </c>
      <c r="G65" s="236">
        <f>-SUM(G18:G24)+'첨부1 추정손익(태양광 포함)'!E21/1000</f>
        <v>3462.067596858195</v>
      </c>
      <c r="H65" s="238">
        <f>-SUM(H18:H24)+'첨부1 추정손익(태양광 포함)'!$F$21/1000</f>
        <v>3499.5913226767775</v>
      </c>
      <c r="I65" s="238">
        <f>-SUM(I18:I24)+'첨부1 추정손익(태양광 포함)'!$F$21/1000</f>
        <v>3534.5478972995452</v>
      </c>
      <c r="J65" s="238">
        <f>-SUM(J18:J24)+'첨부1 추정손익(태양광 포함)'!$F$21/1000</f>
        <v>3570.1124098964606</v>
      </c>
      <c r="K65" s="238">
        <f>-SUM(K18:K24)+'첨부1 추정손익(태양광 포함)'!$F$21/1000</f>
        <v>3606.2961072918229</v>
      </c>
      <c r="L65" s="238">
        <f>-SUM(L18:L24)+'첨부1 추정손익(태양광 포함)'!$F$21/1000</f>
        <v>3643.1104521270681</v>
      </c>
      <c r="M65" s="238">
        <f>-SUM(M18:M24)+'첨부1 추정손익(태양광 포함)'!$F$21/1000</f>
        <v>3680.5671270859116</v>
      </c>
      <c r="N65" s="238">
        <f>-SUM(N18:N24)+'첨부1 추정손익(태양광 포함)'!$F$21/1000</f>
        <v>3718.6780392030955</v>
      </c>
      <c r="O65" s="238">
        <f>-SUM(O18:O24)+'첨부1 추정손익(태양광 포함)'!$F$21/1000</f>
        <v>3757.4553242583765</v>
      </c>
      <c r="P65" s="238">
        <f>-SUM(P18:P24)+'첨부1 추정손익(태양광 포함)'!$F$21/1000</f>
        <v>3796.9113512574768</v>
      </c>
      <c r="Q65" s="238">
        <f>-SUM(Q18:Q24)+'첨부1 추정손익(태양광 포함)'!$F$21/1000</f>
        <v>3837.0587270016977</v>
      </c>
      <c r="R65" s="238">
        <f>-SUM(R18:R24)+'첨부1 추정손익(태양광 포함)'!$F$21/1000</f>
        <v>3877.9103007479935</v>
      </c>
      <c r="S65" t="s">
        <v>344</v>
      </c>
    </row>
    <row r="66" spans="2:19" x14ac:dyDescent="0.3">
      <c r="B66" s="239" t="s">
        <v>345</v>
      </c>
      <c r="C66" s="276">
        <f>C63-C65</f>
        <v>47580.803868268915</v>
      </c>
      <c r="D66" s="276">
        <f>D63-D65</f>
        <v>-368.95828541710853</v>
      </c>
      <c r="E66" s="276">
        <f t="shared" ref="E66:H66" si="132">E63-E65</f>
        <v>1584.4274394005683</v>
      </c>
      <c r="F66" s="276">
        <f t="shared" si="132"/>
        <v>2398.9466600668316</v>
      </c>
      <c r="G66" s="276">
        <f t="shared" si="132"/>
        <v>3151.0531194026748</v>
      </c>
      <c r="H66" s="241">
        <f t="shared" si="132"/>
        <v>3562.7493002384431</v>
      </c>
      <c r="I66" s="241">
        <f t="shared" ref="I66" si="133">I63-I65</f>
        <v>3592.0844129445732</v>
      </c>
      <c r="J66" s="241">
        <f t="shared" ref="J66" si="134">J63-J65</f>
        <v>3621.49980814335</v>
      </c>
      <c r="K66" s="241">
        <f t="shared" ref="K66" si="135">K63-K65</f>
        <v>3650.9908946971696</v>
      </c>
      <c r="L66" s="241">
        <f t="shared" ref="L66" si="136">L63-L65</f>
        <v>3680.5529333407594</v>
      </c>
      <c r="M66" s="241">
        <f t="shared" ref="M66" si="137">M63-M65</f>
        <v>3710.1810331272368</v>
      </c>
      <c r="N66" s="241">
        <f t="shared" ref="N66" si="138">N63-N65</f>
        <v>3739.8701477973759</v>
      </c>
      <c r="O66" s="241">
        <f t="shared" ref="O66" si="139">O63-O65</f>
        <v>3769.6150720703686</v>
      </c>
      <c r="P66" s="241">
        <f t="shared" ref="P66" si="140">P63-P65</f>
        <v>3799.4104378545344</v>
      </c>
      <c r="Q66" s="241">
        <f t="shared" ref="Q66:R66" si="141">Q63-Q65</f>
        <v>3829.2507103763064</v>
      </c>
      <c r="R66" s="241">
        <f t="shared" si="141"/>
        <v>3859.1301842257944</v>
      </c>
    </row>
    <row r="67" spans="2:19" x14ac:dyDescent="0.3">
      <c r="B67" s="292" t="s">
        <v>350</v>
      </c>
      <c r="C67" s="293">
        <f>C66/C61</f>
        <v>0.17026122645841071</v>
      </c>
      <c r="D67" s="293">
        <f>D66/D61</f>
        <v>-7.3342769740397287E-2</v>
      </c>
      <c r="E67" s="293">
        <f t="shared" ref="E67:H67" si="142">E66/E61</f>
        <v>0.1189914759468285</v>
      </c>
      <c r="F67" s="293">
        <f t="shared" si="142"/>
        <v>0.15132581412216461</v>
      </c>
      <c r="G67" s="293">
        <f t="shared" si="142"/>
        <v>0.17134357366278491</v>
      </c>
      <c r="H67" s="294">
        <f t="shared" si="142"/>
        <v>0.18124165375909071</v>
      </c>
      <c r="I67" s="294">
        <f t="shared" ref="I67" si="143">I66/I61</f>
        <v>0.18100732730814928</v>
      </c>
      <c r="J67" s="294">
        <f t="shared" ref="J67" si="144">J66/J61</f>
        <v>0.18076406609417411</v>
      </c>
      <c r="K67" s="294">
        <f t="shared" ref="K67" si="145">K66/K61</f>
        <v>0.18051179408960927</v>
      </c>
      <c r="L67" s="294">
        <f t="shared" ref="L67" si="146">L66/L61</f>
        <v>0.18025043521937922</v>
      </c>
      <c r="M67" s="294">
        <f t="shared" ref="M67" si="147">M66/M61</f>
        <v>0.17997991334182928</v>
      </c>
      <c r="N67" s="294">
        <f t="shared" ref="N67" si="148">N66/N61</f>
        <v>0.1797001522297747</v>
      </c>
      <c r="O67" s="294">
        <f t="shared" ref="O67" si="149">O66/O61</f>
        <v>0.17941107555165328</v>
      </c>
      <c r="P67" s="294">
        <f t="shared" ref="P67" si="150">P66/P61</f>
        <v>0.17911260685278363</v>
      </c>
      <c r="Q67" s="294">
        <f t="shared" ref="Q67:R67" si="151">Q66/Q61</f>
        <v>0.17880466953672727</v>
      </c>
      <c r="R67" s="294">
        <f t="shared" si="151"/>
        <v>0.1784871868467538</v>
      </c>
    </row>
    <row r="68" spans="2:19" x14ac:dyDescent="0.3">
      <c r="B68" s="56" t="s">
        <v>347</v>
      </c>
      <c r="C68" s="236">
        <f>SUM(D68:R68)</f>
        <v>10293.348132278332</v>
      </c>
      <c r="D68" s="236">
        <f t="shared" ref="D68:R68" si="152">-D26</f>
        <v>614.11693715846991</v>
      </c>
      <c r="E68" s="236">
        <f t="shared" si="152"/>
        <v>1229.229</v>
      </c>
      <c r="F68" s="236">
        <f t="shared" si="152"/>
        <v>1229.229</v>
      </c>
      <c r="G68" s="236">
        <f t="shared" si="152"/>
        <v>1165.1014140410957</v>
      </c>
      <c r="H68" s="238">
        <f t="shared" si="152"/>
        <v>1062.7709062500001</v>
      </c>
      <c r="I68" s="238">
        <f t="shared" si="152"/>
        <v>960.22991404109587</v>
      </c>
      <c r="J68" s="238">
        <f t="shared" si="152"/>
        <v>857.79416404109588</v>
      </c>
      <c r="K68" s="238">
        <f t="shared" si="152"/>
        <v>755.35841404109578</v>
      </c>
      <c r="L68" s="238">
        <f t="shared" si="152"/>
        <v>653.02790624999989</v>
      </c>
      <c r="M68" s="238">
        <f t="shared" si="152"/>
        <v>550.48691404109582</v>
      </c>
      <c r="N68" s="238">
        <f t="shared" si="152"/>
        <v>448.05116404109583</v>
      </c>
      <c r="O68" s="238">
        <f t="shared" si="152"/>
        <v>345.61541404109585</v>
      </c>
      <c r="P68" s="238">
        <f t="shared" si="152"/>
        <v>243.28490624999998</v>
      </c>
      <c r="Q68" s="238">
        <f t="shared" si="152"/>
        <v>140.74391404109588</v>
      </c>
      <c r="R68" s="238">
        <f t="shared" si="152"/>
        <v>38.308164041095893</v>
      </c>
      <c r="S68" t="s">
        <v>115</v>
      </c>
    </row>
    <row r="69" spans="2:19" x14ac:dyDescent="0.3">
      <c r="B69" s="239" t="s">
        <v>348</v>
      </c>
      <c r="C69" s="276">
        <f>C66-C68</f>
        <v>37287.455735990581</v>
      </c>
      <c r="D69" s="276">
        <f>D66-D68</f>
        <v>-983.07522257557844</v>
      </c>
      <c r="E69" s="276">
        <f t="shared" ref="E69:H69" si="153">E66-E68</f>
        <v>355.1984394005683</v>
      </c>
      <c r="F69" s="276">
        <f t="shared" si="153"/>
        <v>1169.7176600668315</v>
      </c>
      <c r="G69" s="276">
        <f t="shared" si="153"/>
        <v>1985.9517053615791</v>
      </c>
      <c r="H69" s="241">
        <f t="shared" si="153"/>
        <v>2499.9783939884428</v>
      </c>
      <c r="I69" s="241">
        <f t="shared" ref="I69" si="154">I66-I68</f>
        <v>2631.8544989034772</v>
      </c>
      <c r="J69" s="241">
        <f t="shared" ref="J69" si="155">J66-J68</f>
        <v>2763.7056441022542</v>
      </c>
      <c r="K69" s="241">
        <f t="shared" ref="K69" si="156">K66-K68</f>
        <v>2895.6324806560738</v>
      </c>
      <c r="L69" s="241">
        <f t="shared" ref="L69" si="157">L66-L68</f>
        <v>3027.5250270907595</v>
      </c>
      <c r="M69" s="241">
        <f t="shared" ref="M69" si="158">M66-M68</f>
        <v>3159.6941190861407</v>
      </c>
      <c r="N69" s="241">
        <f t="shared" ref="N69" si="159">N66-N68</f>
        <v>3291.81898375628</v>
      </c>
      <c r="O69" s="241">
        <f t="shared" ref="O69" si="160">O66-O68</f>
        <v>3423.9996580292727</v>
      </c>
      <c r="P69" s="241">
        <f t="shared" ref="P69" si="161">P66-P68</f>
        <v>3556.1255316045344</v>
      </c>
      <c r="Q69" s="241">
        <f t="shared" ref="Q69:R69" si="162">Q66-Q68</f>
        <v>3688.5067963352103</v>
      </c>
      <c r="R69" s="241">
        <f t="shared" si="162"/>
        <v>3820.8220201846984</v>
      </c>
    </row>
    <row r="70" spans="2:19" x14ac:dyDescent="0.3">
      <c r="B70" s="292" t="s">
        <v>351</v>
      </c>
      <c r="C70" s="293">
        <f>C69/C61</f>
        <v>0.1334279253183713</v>
      </c>
      <c r="D70" s="293">
        <f>D69/D61</f>
        <v>-0.19541900137935519</v>
      </c>
      <c r="E70" s="293">
        <f t="shared" ref="E70:H70" si="163">E69/E61</f>
        <v>2.6675621430965597E-2</v>
      </c>
      <c r="F70" s="293">
        <f t="shared" si="163"/>
        <v>7.3785916189464354E-2</v>
      </c>
      <c r="G70" s="293">
        <f t="shared" si="163"/>
        <v>0.10798931323089207</v>
      </c>
      <c r="H70" s="294">
        <f t="shared" si="163"/>
        <v>0.12717712651242019</v>
      </c>
      <c r="I70" s="294">
        <f t="shared" ref="I70" si="164">I69/I61</f>
        <v>0.13262075551279581</v>
      </c>
      <c r="J70" s="294">
        <f t="shared" ref="J70" si="165">J69/J61</f>
        <v>0.13794800391594197</v>
      </c>
      <c r="K70" s="294">
        <f t="shared" ref="K70" si="166">K69/K61</f>
        <v>0.14316546635779231</v>
      </c>
      <c r="L70" s="294">
        <f t="shared" ref="L70" si="167">L69/L61</f>
        <v>0.14826921760240533</v>
      </c>
      <c r="M70" s="294">
        <f t="shared" ref="M70" si="168">M69/M61</f>
        <v>0.15327593685111399</v>
      </c>
      <c r="N70" s="294">
        <f t="shared" ref="N70" si="169">N69/N61</f>
        <v>0.15817136668294696</v>
      </c>
      <c r="O70" s="294">
        <f t="shared" ref="O70" si="170">O69/O61</f>
        <v>0.162961854086108</v>
      </c>
      <c r="P70" s="294">
        <f t="shared" ref="P70" si="171">P69/P61</f>
        <v>0.16764361857707133</v>
      </c>
      <c r="Q70" s="294">
        <f t="shared" ref="Q70:R70" si="172">Q69/Q61</f>
        <v>0.17223271305155091</v>
      </c>
      <c r="R70" s="294">
        <f t="shared" si="172"/>
        <v>0.17671541027883506</v>
      </c>
    </row>
  </sheetData>
  <mergeCells count="7">
    <mergeCell ref="B59:B60"/>
    <mergeCell ref="C59:C60"/>
    <mergeCell ref="B4:B5"/>
    <mergeCell ref="C4:C5"/>
    <mergeCell ref="S4:S5"/>
    <mergeCell ref="B47:B48"/>
    <mergeCell ref="C47:C48"/>
  </mergeCells>
  <phoneticPr fontId="5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FE47-21B1-4D60-A148-A5D8E0D563B8}">
  <dimension ref="A2:AY208"/>
  <sheetViews>
    <sheetView showGridLines="0" topLeftCell="A10" zoomScaleNormal="100" workbookViewId="0">
      <selection activeCell="E43" sqref="E43"/>
    </sheetView>
  </sheetViews>
  <sheetFormatPr defaultRowHeight="13.2" outlineLevelRow="1" x14ac:dyDescent="0.3"/>
  <cols>
    <col min="2" max="2" width="13.625" customWidth="1"/>
    <col min="3" max="3" width="15" bestFit="1" customWidth="1"/>
    <col min="4" max="4" width="12.875" customWidth="1"/>
    <col min="5" max="5" width="21.25" bestFit="1" customWidth="1"/>
    <col min="6" max="7" width="15" bestFit="1" customWidth="1"/>
    <col min="8" max="51" width="12.875" customWidth="1"/>
  </cols>
  <sheetData>
    <row r="2" spans="2:19" x14ac:dyDescent="0.3">
      <c r="B2" s="2" t="s">
        <v>374</v>
      </c>
    </row>
    <row r="3" spans="2:19" x14ac:dyDescent="0.3">
      <c r="Q3" s="114" t="s">
        <v>128</v>
      </c>
    </row>
    <row r="4" spans="2:19" x14ac:dyDescent="0.3">
      <c r="B4" s="597" t="s">
        <v>102</v>
      </c>
      <c r="C4" s="231" t="str">
        <f>운영기간!D4</f>
        <v>1년차</v>
      </c>
      <c r="D4" s="231" t="str">
        <f>운영기간!E4</f>
        <v>2년차</v>
      </c>
      <c r="E4" s="231" t="str">
        <f>운영기간!F4</f>
        <v>3년차</v>
      </c>
      <c r="F4" s="231" t="str">
        <f>운영기간!G4</f>
        <v>4년차</v>
      </c>
      <c r="G4" s="231" t="str">
        <f>운영기간!H4</f>
        <v>5년차</v>
      </c>
      <c r="H4" s="231" t="str">
        <f>운영기간!I4</f>
        <v>6년차</v>
      </c>
      <c r="I4" s="231" t="str">
        <f>운영기간!J4</f>
        <v>7년차</v>
      </c>
      <c r="J4" s="231" t="str">
        <f>운영기간!K4</f>
        <v>8년차</v>
      </c>
      <c r="K4" s="231" t="str">
        <f>운영기간!L4</f>
        <v>9년차</v>
      </c>
      <c r="L4" s="231" t="str">
        <f>운영기간!M4</f>
        <v>10년차</v>
      </c>
      <c r="M4" s="231" t="str">
        <f>운영기간!N4</f>
        <v>11년차</v>
      </c>
      <c r="N4" s="231" t="str">
        <f>운영기간!O4</f>
        <v>12년차</v>
      </c>
      <c r="O4" s="231" t="str">
        <f>운영기간!P4</f>
        <v>13년차</v>
      </c>
      <c r="P4" s="295" t="str">
        <f>운영기간!Q4</f>
        <v>14년차</v>
      </c>
      <c r="Q4" s="295" t="str">
        <f>운영기간!R4</f>
        <v>15년차</v>
      </c>
      <c r="S4" s="598" t="s">
        <v>107</v>
      </c>
    </row>
    <row r="5" spans="2:19" x14ac:dyDescent="0.3">
      <c r="B5" s="597"/>
      <c r="C5" s="291" t="str">
        <f>운영기간!D5</f>
        <v>2024</v>
      </c>
      <c r="D5" s="291" t="str">
        <f>운영기간!E5</f>
        <v>2025</v>
      </c>
      <c r="E5" s="291" t="str">
        <f>운영기간!F5</f>
        <v>2026</v>
      </c>
      <c r="F5" s="291" t="str">
        <f>운영기간!G5</f>
        <v>2027</v>
      </c>
      <c r="G5" s="291" t="str">
        <f>운영기간!H5</f>
        <v>2028</v>
      </c>
      <c r="H5" s="291" t="str">
        <f>운영기간!I5</f>
        <v>2029</v>
      </c>
      <c r="I5" s="291" t="str">
        <f>운영기간!J5</f>
        <v>2030</v>
      </c>
      <c r="J5" s="291" t="str">
        <f>운영기간!K5</f>
        <v>2031</v>
      </c>
      <c r="K5" s="291" t="str">
        <f>운영기간!L5</f>
        <v>2032</v>
      </c>
      <c r="L5" s="291" t="str">
        <f>운영기간!M5</f>
        <v>2033</v>
      </c>
      <c r="M5" s="291" t="str">
        <f>운영기간!N5</f>
        <v>2034</v>
      </c>
      <c r="N5" s="291" t="str">
        <f>운영기간!O5</f>
        <v>2035</v>
      </c>
      <c r="O5" s="291" t="str">
        <f>운영기간!P5</f>
        <v>2036</v>
      </c>
      <c r="P5" s="296" t="str">
        <f>운영기간!Q5</f>
        <v>2037</v>
      </c>
      <c r="Q5" s="296" t="str">
        <f>운영기간!R5</f>
        <v>2038</v>
      </c>
      <c r="S5" s="598"/>
    </row>
    <row r="6" spans="2:19" x14ac:dyDescent="0.3">
      <c r="B6" s="283" t="s">
        <v>375</v>
      </c>
      <c r="C6" s="284"/>
      <c r="D6" s="284"/>
      <c r="E6" s="284"/>
      <c r="F6" s="284"/>
      <c r="G6" s="284"/>
      <c r="H6" s="284"/>
      <c r="I6" s="284"/>
      <c r="J6" s="284"/>
      <c r="K6" s="284"/>
      <c r="L6" s="284"/>
      <c r="M6" s="284"/>
      <c r="N6" s="284"/>
      <c r="O6" s="284"/>
      <c r="P6" s="285"/>
      <c r="Q6" s="285"/>
      <c r="S6" s="297"/>
    </row>
    <row r="7" spans="2:19" x14ac:dyDescent="0.3">
      <c r="B7" s="239" t="s">
        <v>376</v>
      </c>
      <c r="C7" s="276">
        <f>C8+C9+C10</f>
        <v>1621.3752902916267</v>
      </c>
      <c r="D7" s="276">
        <f t="shared" ref="D7:P7" si="0">D8+D9+D10</f>
        <v>3902.3307925337249</v>
      </c>
      <c r="E7" s="276">
        <f t="shared" si="0"/>
        <v>6375.1674526005554</v>
      </c>
      <c r="F7" s="276">
        <f t="shared" si="0"/>
        <v>9033.0495720032304</v>
      </c>
      <c r="G7" s="276">
        <f t="shared" si="0"/>
        <v>10476.492458200581</v>
      </c>
      <c r="H7" s="276">
        <f t="shared" si="0"/>
        <v>12051.600964895153</v>
      </c>
      <c r="I7" s="276">
        <f t="shared" si="0"/>
        <v>13758.665858997405</v>
      </c>
      <c r="J7" s="276">
        <f t="shared" si="0"/>
        <v>15597.657589653478</v>
      </c>
      <c r="K7" s="276">
        <f t="shared" si="0"/>
        <v>17568.647108953141</v>
      </c>
      <c r="L7" s="276">
        <f t="shared" si="0"/>
        <v>19671.595235830377</v>
      </c>
      <c r="M7" s="276">
        <f t="shared" si="0"/>
        <v>21906.77346958666</v>
      </c>
      <c r="N7" s="276">
        <f t="shared" si="0"/>
        <v>24274.132377615926</v>
      </c>
      <c r="O7" s="276">
        <f t="shared" si="0"/>
        <v>26773.722401429368</v>
      </c>
      <c r="P7" s="241">
        <f t="shared" si="0"/>
        <v>29405.483205555676</v>
      </c>
      <c r="Q7" s="241">
        <f t="shared" ref="Q7" si="1">Q8+Q9+Q10</f>
        <v>32169.664475740374</v>
      </c>
      <c r="S7" s="276">
        <f>S8+S9</f>
        <v>67005.934868268843</v>
      </c>
    </row>
    <row r="8" spans="2:19" x14ac:dyDescent="0.3">
      <c r="B8" s="287" t="s">
        <v>377</v>
      </c>
      <c r="C8" s="281">
        <f>운영기간!D8</f>
        <v>5030.6020173913048</v>
      </c>
      <c r="D8" s="281">
        <f>운영기간!E8</f>
        <v>13315.470093913045</v>
      </c>
      <c r="E8" s="281">
        <f>운영기간!F8</f>
        <v>15852.858112695652</v>
      </c>
      <c r="F8" s="281">
        <f>운영기간!G8</f>
        <v>18390.261461478261</v>
      </c>
      <c r="G8" s="281">
        <f>운영기간!H8</f>
        <v>19657.453054219568</v>
      </c>
      <c r="H8" s="281">
        <f>운영기간!I8</f>
        <v>19844.96686606151</v>
      </c>
      <c r="I8" s="281">
        <f>운영기간!J8</f>
        <v>20034.401119615377</v>
      </c>
      <c r="J8" s="281">
        <f>운영기간!K8</f>
        <v>20225.774792780314</v>
      </c>
      <c r="K8" s="281">
        <f>운영기간!L8</f>
        <v>20419.107054367061</v>
      </c>
      <c r="L8" s="281">
        <f>운영기간!M8</f>
        <v>20614.417266001376</v>
      </c>
      <c r="M8" s="281">
        <f>운영기간!N8</f>
        <v>20811.724984046581</v>
      </c>
      <c r="N8" s="281">
        <f>운영기간!O8</f>
        <v>21011.049961545315</v>
      </c>
      <c r="O8" s="281">
        <f>운영기간!P8</f>
        <v>21212.412150180746</v>
      </c>
      <c r="P8" s="282">
        <f>운영기간!Q8</f>
        <v>21415.831702257427</v>
      </c>
      <c r="Q8" s="282">
        <f>운영기간!R8</f>
        <v>21621.328972702006</v>
      </c>
      <c r="S8" s="281">
        <f>SUM(C8:Q8)</f>
        <v>279457.65960925556</v>
      </c>
    </row>
    <row r="9" spans="2:19" x14ac:dyDescent="0.3">
      <c r="B9" s="288" t="s">
        <v>378</v>
      </c>
      <c r="C9" s="277">
        <f>운영기간!D14</f>
        <v>-4140.496302808413</v>
      </c>
      <c r="D9" s="277">
        <f>운영기간!E14</f>
        <v>-10420.397654512477</v>
      </c>
      <c r="E9" s="277">
        <f>운영기간!F14</f>
        <v>-12150.792452628823</v>
      </c>
      <c r="F9" s="277">
        <f>운영기간!G14</f>
        <v>-13940.650342075587</v>
      </c>
      <c r="G9" s="277">
        <f>운영기간!H14</f>
        <v>-14798.908753981123</v>
      </c>
      <c r="H9" s="277">
        <f>운영기간!I14</f>
        <v>-14957.087453116937</v>
      </c>
      <c r="I9" s="277">
        <f>운영기간!J14</f>
        <v>-15117.106311472029</v>
      </c>
      <c r="J9" s="277">
        <f>운영기간!K14</f>
        <v>-15278.988898083146</v>
      </c>
      <c r="K9" s="277">
        <f>운영기간!L14</f>
        <v>-15442.7591210263</v>
      </c>
      <c r="L9" s="277">
        <f>운영기간!M14</f>
        <v>-15608.44123287414</v>
      </c>
      <c r="M9" s="277">
        <f>운영기간!N14</f>
        <v>-15776.059836249207</v>
      </c>
      <c r="N9" s="277">
        <f>운영기간!O14</f>
        <v>-15945.639889474949</v>
      </c>
      <c r="O9" s="277">
        <f>운영기간!P14</f>
        <v>-16117.20671232621</v>
      </c>
      <c r="P9" s="278">
        <f>운영기간!Q14</f>
        <v>-16290.785991881119</v>
      </c>
      <c r="Q9" s="278">
        <f>운영기간!R14</f>
        <v>-16466.403788476211</v>
      </c>
      <c r="S9" s="277">
        <f>SUM(C9:Q9)</f>
        <v>-212451.72474098671</v>
      </c>
    </row>
    <row r="10" spans="2:19" x14ac:dyDescent="0.3">
      <c r="B10" s="286" t="s">
        <v>100</v>
      </c>
      <c r="C10" s="246">
        <f>운영기간!D29</f>
        <v>731.26957570873492</v>
      </c>
      <c r="D10" s="246">
        <f>운영기간!E29</f>
        <v>1007.2583531331566</v>
      </c>
      <c r="E10" s="246">
        <f>운영기간!F29</f>
        <v>2673.1017925337255</v>
      </c>
      <c r="F10" s="246">
        <f>운영기간!G29</f>
        <v>4583.438452600556</v>
      </c>
      <c r="G10" s="246">
        <f>운영기간!H29</f>
        <v>5617.9481579621352</v>
      </c>
      <c r="H10" s="246">
        <f>운영기간!I29</f>
        <v>7163.7215519505808</v>
      </c>
      <c r="I10" s="246">
        <f>운영기간!J29</f>
        <v>8841.3710508540571</v>
      </c>
      <c r="J10" s="246">
        <f>운영기간!K29</f>
        <v>10650.87169495631</v>
      </c>
      <c r="K10" s="246">
        <f>운영기간!L29</f>
        <v>12592.299175612381</v>
      </c>
      <c r="L10" s="246">
        <f>운영기간!M29</f>
        <v>14665.619202703143</v>
      </c>
      <c r="M10" s="246">
        <f>운영기간!N29</f>
        <v>16871.108321789285</v>
      </c>
      <c r="N10" s="246">
        <f>운영기간!O29</f>
        <v>19208.722305545562</v>
      </c>
      <c r="O10" s="246">
        <f>운영기간!P29</f>
        <v>21678.516963574832</v>
      </c>
      <c r="P10" s="248">
        <f>운영기간!Q29</f>
        <v>24280.437495179369</v>
      </c>
      <c r="Q10" s="248">
        <f>운영기간!R29</f>
        <v>27014.739291514579</v>
      </c>
      <c r="S10" s="428" t="s">
        <v>120</v>
      </c>
    </row>
    <row r="11" spans="2:19" x14ac:dyDescent="0.3">
      <c r="B11" s="239" t="s">
        <v>379</v>
      </c>
      <c r="C11" s="276">
        <f>C12+C13</f>
        <v>1210.6698618216324</v>
      </c>
      <c r="D11" s="276">
        <f t="shared" ref="D11:P11" si="2">D12+D13</f>
        <v>2477.3486630451953</v>
      </c>
      <c r="E11" s="276">
        <f t="shared" si="2"/>
        <v>2350.0724117926293</v>
      </c>
      <c r="F11" s="276">
        <f t="shared" si="2"/>
        <v>2350.0724117926293</v>
      </c>
      <c r="G11" s="276">
        <f t="shared" si="2"/>
        <v>2350.0724117926293</v>
      </c>
      <c r="H11" s="276">
        <f t="shared" si="2"/>
        <v>2350.0724117926293</v>
      </c>
      <c r="I11" s="276">
        <f t="shared" si="2"/>
        <v>2350.0724117926293</v>
      </c>
      <c r="J11" s="276">
        <f t="shared" si="2"/>
        <v>2350.0724117926293</v>
      </c>
      <c r="K11" s="276">
        <f t="shared" si="2"/>
        <v>2350.0724117926293</v>
      </c>
      <c r="L11" s="276">
        <f t="shared" si="2"/>
        <v>2350.0724117926293</v>
      </c>
      <c r="M11" s="276">
        <f t="shared" si="2"/>
        <v>2350.0724117926293</v>
      </c>
      <c r="N11" s="276">
        <f t="shared" si="2"/>
        <v>2350.0724117926293</v>
      </c>
      <c r="O11" s="276">
        <f t="shared" si="2"/>
        <v>2350.0724117926293</v>
      </c>
      <c r="P11" s="241">
        <f t="shared" si="2"/>
        <v>2350.0724117926293</v>
      </c>
      <c r="Q11" s="241">
        <f t="shared" ref="Q11" si="3">Q12+Q13</f>
        <v>2350.0724117926293</v>
      </c>
      <c r="S11" s="276">
        <f>SUM(C11:Q11)</f>
        <v>34238.959878171008</v>
      </c>
    </row>
    <row r="12" spans="2:19" x14ac:dyDescent="0.3">
      <c r="B12" s="287" t="s">
        <v>345</v>
      </c>
      <c r="C12" s="443">
        <f>J103*운영기간!D3/12</f>
        <v>1210.6698618216324</v>
      </c>
      <c r="D12" s="281">
        <f>K103</f>
        <v>2477.3486630451953</v>
      </c>
      <c r="E12" s="281">
        <f t="shared" ref="E12:Q12" si="4">L103</f>
        <v>2350.0724117926293</v>
      </c>
      <c r="F12" s="281">
        <f t="shared" si="4"/>
        <v>2350.0724117926293</v>
      </c>
      <c r="G12" s="281">
        <f t="shared" si="4"/>
        <v>2350.0724117926293</v>
      </c>
      <c r="H12" s="281">
        <f t="shared" si="4"/>
        <v>2350.0724117926293</v>
      </c>
      <c r="I12" s="281">
        <f t="shared" si="4"/>
        <v>2350.0724117926293</v>
      </c>
      <c r="J12" s="281">
        <f t="shared" si="4"/>
        <v>2350.0724117926293</v>
      </c>
      <c r="K12" s="281">
        <f t="shared" si="4"/>
        <v>2350.0724117926293</v>
      </c>
      <c r="L12" s="281">
        <f t="shared" si="4"/>
        <v>2350.0724117926293</v>
      </c>
      <c r="M12" s="281">
        <f t="shared" si="4"/>
        <v>2350.0724117926293</v>
      </c>
      <c r="N12" s="281">
        <f t="shared" si="4"/>
        <v>2350.0724117926293</v>
      </c>
      <c r="O12" s="281">
        <f t="shared" si="4"/>
        <v>2350.0724117926293</v>
      </c>
      <c r="P12" s="282">
        <f t="shared" si="4"/>
        <v>2350.0724117926293</v>
      </c>
      <c r="Q12" s="282">
        <f t="shared" si="4"/>
        <v>2350.0724117926293</v>
      </c>
      <c r="S12" s="281">
        <f>SUM(C12:Q12)</f>
        <v>34238.959878171008</v>
      </c>
    </row>
    <row r="13" spans="2:19" x14ac:dyDescent="0.3">
      <c r="B13" s="288" t="s">
        <v>100</v>
      </c>
      <c r="C13" s="485">
        <v>0</v>
      </c>
      <c r="D13" s="277">
        <f>C13</f>
        <v>0</v>
      </c>
      <c r="E13" s="277">
        <f t="shared" ref="E13:Q13" si="5">D13</f>
        <v>0</v>
      </c>
      <c r="F13" s="277">
        <f t="shared" si="5"/>
        <v>0</v>
      </c>
      <c r="G13" s="277">
        <f t="shared" si="5"/>
        <v>0</v>
      </c>
      <c r="H13" s="277">
        <f t="shared" si="5"/>
        <v>0</v>
      </c>
      <c r="I13" s="277">
        <f t="shared" si="5"/>
        <v>0</v>
      </c>
      <c r="J13" s="277">
        <f t="shared" si="5"/>
        <v>0</v>
      </c>
      <c r="K13" s="277">
        <f t="shared" si="5"/>
        <v>0</v>
      </c>
      <c r="L13" s="277">
        <f t="shared" si="5"/>
        <v>0</v>
      </c>
      <c r="M13" s="277">
        <f t="shared" si="5"/>
        <v>0</v>
      </c>
      <c r="N13" s="277">
        <f t="shared" si="5"/>
        <v>0</v>
      </c>
      <c r="O13" s="277">
        <f t="shared" si="5"/>
        <v>0</v>
      </c>
      <c r="P13" s="278">
        <f t="shared" si="5"/>
        <v>0</v>
      </c>
      <c r="Q13" s="278">
        <f t="shared" si="5"/>
        <v>0</v>
      </c>
      <c r="S13" s="428" t="s">
        <v>120</v>
      </c>
    </row>
    <row r="14" spans="2:19" x14ac:dyDescent="0.3">
      <c r="B14" s="239" t="s">
        <v>382</v>
      </c>
      <c r="C14" s="276">
        <f>C7</f>
        <v>1621.3752902916267</v>
      </c>
      <c r="D14" s="276">
        <f t="shared" ref="D14:P14" si="6">D7</f>
        <v>3902.3307925337249</v>
      </c>
      <c r="E14" s="276">
        <f t="shared" si="6"/>
        <v>6375.1674526005554</v>
      </c>
      <c r="F14" s="276">
        <f t="shared" si="6"/>
        <v>9033.0495720032304</v>
      </c>
      <c r="G14" s="276">
        <f t="shared" si="6"/>
        <v>10476.492458200581</v>
      </c>
      <c r="H14" s="276">
        <f t="shared" si="6"/>
        <v>12051.600964895153</v>
      </c>
      <c r="I14" s="276">
        <f t="shared" si="6"/>
        <v>13758.665858997405</v>
      </c>
      <c r="J14" s="276">
        <f t="shared" si="6"/>
        <v>15597.657589653478</v>
      </c>
      <c r="K14" s="276">
        <f t="shared" si="6"/>
        <v>17568.647108953141</v>
      </c>
      <c r="L14" s="276">
        <f t="shared" si="6"/>
        <v>19671.595235830377</v>
      </c>
      <c r="M14" s="276">
        <f t="shared" si="6"/>
        <v>21906.77346958666</v>
      </c>
      <c r="N14" s="276">
        <f t="shared" si="6"/>
        <v>24274.132377615926</v>
      </c>
      <c r="O14" s="276">
        <f t="shared" si="6"/>
        <v>26773.722401429368</v>
      </c>
      <c r="P14" s="241">
        <f t="shared" si="6"/>
        <v>29405.483205555676</v>
      </c>
      <c r="Q14" s="241">
        <f t="shared" ref="Q14" si="7">Q7</f>
        <v>32169.664475740374</v>
      </c>
      <c r="S14" s="276">
        <f>S7+C10</f>
        <v>67737.204443977578</v>
      </c>
    </row>
    <row r="15" spans="2:19" x14ac:dyDescent="0.3">
      <c r="B15" s="298" t="s">
        <v>383</v>
      </c>
      <c r="C15" s="246">
        <f>C14+C11</f>
        <v>2832.0451521132591</v>
      </c>
      <c r="D15" s="246">
        <f t="shared" ref="D15:Q15" si="8">D14+D11</f>
        <v>6379.6794555789202</v>
      </c>
      <c r="E15" s="246">
        <f t="shared" si="8"/>
        <v>8725.2398643931847</v>
      </c>
      <c r="F15" s="246">
        <f t="shared" si="8"/>
        <v>11383.12198379586</v>
      </c>
      <c r="G15" s="246">
        <f t="shared" si="8"/>
        <v>12826.56486999321</v>
      </c>
      <c r="H15" s="246">
        <f t="shared" si="8"/>
        <v>14401.673376687782</v>
      </c>
      <c r="I15" s="246">
        <f t="shared" si="8"/>
        <v>16108.738270790034</v>
      </c>
      <c r="J15" s="246">
        <f t="shared" si="8"/>
        <v>17947.730001446107</v>
      </c>
      <c r="K15" s="246">
        <f t="shared" si="8"/>
        <v>19918.71952074577</v>
      </c>
      <c r="L15" s="246">
        <f t="shared" si="8"/>
        <v>22021.667647623006</v>
      </c>
      <c r="M15" s="246">
        <f t="shared" si="8"/>
        <v>24256.845881379289</v>
      </c>
      <c r="N15" s="246">
        <f t="shared" si="8"/>
        <v>26624.204789408555</v>
      </c>
      <c r="O15" s="246">
        <f t="shared" si="8"/>
        <v>29123.794813221997</v>
      </c>
      <c r="P15" s="248">
        <f t="shared" si="8"/>
        <v>31755.555617348306</v>
      </c>
      <c r="Q15" s="248">
        <f t="shared" si="8"/>
        <v>34519.736887532999</v>
      </c>
      <c r="S15" s="246">
        <f>S14+S11</f>
        <v>101976.16432214859</v>
      </c>
    </row>
    <row r="16" spans="2:19" x14ac:dyDescent="0.3">
      <c r="B16" s="283" t="s">
        <v>339</v>
      </c>
      <c r="C16" s="284">
        <f>C17+C18</f>
        <v>614.11693715846991</v>
      </c>
      <c r="D16" s="284">
        <f t="shared" ref="D16:P16" si="9">D17+D18</f>
        <v>1229.229</v>
      </c>
      <c r="E16" s="284">
        <f t="shared" si="9"/>
        <v>1791.729</v>
      </c>
      <c r="F16" s="284">
        <f t="shared" si="9"/>
        <v>3415.1014140410957</v>
      </c>
      <c r="G16" s="284">
        <f t="shared" si="9"/>
        <v>3312.7709062499998</v>
      </c>
      <c r="H16" s="284">
        <f t="shared" si="9"/>
        <v>3210.229914041096</v>
      </c>
      <c r="I16" s="284">
        <f t="shared" si="9"/>
        <v>3107.7941640410959</v>
      </c>
      <c r="J16" s="284">
        <f t="shared" si="9"/>
        <v>3005.3584140410958</v>
      </c>
      <c r="K16" s="284">
        <f t="shared" si="9"/>
        <v>2903.0279062499999</v>
      </c>
      <c r="L16" s="284">
        <f t="shared" si="9"/>
        <v>2800.4869140410956</v>
      </c>
      <c r="M16" s="284">
        <f t="shared" si="9"/>
        <v>2698.0511640410959</v>
      </c>
      <c r="N16" s="284">
        <f t="shared" si="9"/>
        <v>2595.6154140410958</v>
      </c>
      <c r="O16" s="284">
        <f t="shared" si="9"/>
        <v>2493.2849062499999</v>
      </c>
      <c r="P16" s="285">
        <f t="shared" si="9"/>
        <v>2390.7439140410961</v>
      </c>
      <c r="Q16" s="285">
        <f t="shared" ref="Q16" si="10">Q17+Q18</f>
        <v>1725.808164041096</v>
      </c>
      <c r="S16" s="284">
        <f>S17+S18</f>
        <v>37293.348132278334</v>
      </c>
    </row>
    <row r="17" spans="2:21" x14ac:dyDescent="0.3">
      <c r="B17" s="308" t="s">
        <v>115</v>
      </c>
      <c r="C17" s="277">
        <f>-운영기간!D26</f>
        <v>614.11693715846991</v>
      </c>
      <c r="D17" s="277">
        <f>-운영기간!E26</f>
        <v>1229.229</v>
      </c>
      <c r="E17" s="277">
        <f>-운영기간!F26</f>
        <v>1229.229</v>
      </c>
      <c r="F17" s="277">
        <f>-운영기간!G26</f>
        <v>1165.1014140410957</v>
      </c>
      <c r="G17" s="277">
        <f>-운영기간!H26</f>
        <v>1062.7709062500001</v>
      </c>
      <c r="H17" s="277">
        <f>-운영기간!I26</f>
        <v>960.22991404109587</v>
      </c>
      <c r="I17" s="277">
        <f>-운영기간!J26</f>
        <v>857.79416404109588</v>
      </c>
      <c r="J17" s="277">
        <f>-운영기간!K26</f>
        <v>755.35841404109578</v>
      </c>
      <c r="K17" s="277">
        <f>-운영기간!L26</f>
        <v>653.02790624999989</v>
      </c>
      <c r="L17" s="277">
        <f>-운영기간!M26</f>
        <v>550.48691404109582</v>
      </c>
      <c r="M17" s="277">
        <f>-운영기간!N26</f>
        <v>448.05116404109583</v>
      </c>
      <c r="N17" s="277">
        <f>-운영기간!O26</f>
        <v>345.61541404109585</v>
      </c>
      <c r="O17" s="277">
        <f>-운영기간!P26</f>
        <v>243.28490624999998</v>
      </c>
      <c r="P17" s="278">
        <f>-운영기간!Q26</f>
        <v>140.74391404109588</v>
      </c>
      <c r="Q17" s="278">
        <f>-운영기간!R26</f>
        <v>38.308164041095893</v>
      </c>
      <c r="S17" s="277">
        <f>SUM(C17:Q17)</f>
        <v>10293.348132278332</v>
      </c>
    </row>
    <row r="18" spans="2:21" ht="13.8" thickBot="1" x14ac:dyDescent="0.35">
      <c r="B18" s="308" t="s">
        <v>319</v>
      </c>
      <c r="C18" s="277">
        <f>-운영기간!D27</f>
        <v>0</v>
      </c>
      <c r="D18" s="277">
        <f>-운영기간!E27</f>
        <v>0</v>
      </c>
      <c r="E18" s="277">
        <f>-운영기간!F27</f>
        <v>562.5</v>
      </c>
      <c r="F18" s="277">
        <f>-운영기간!G27</f>
        <v>2250</v>
      </c>
      <c r="G18" s="277">
        <f>-운영기간!H27</f>
        <v>2250</v>
      </c>
      <c r="H18" s="277">
        <f>-운영기간!I27</f>
        <v>2250</v>
      </c>
      <c r="I18" s="277">
        <f>-운영기간!J27</f>
        <v>2250</v>
      </c>
      <c r="J18" s="277">
        <f>-운영기간!K27</f>
        <v>2250</v>
      </c>
      <c r="K18" s="277">
        <f>-운영기간!L27</f>
        <v>2250</v>
      </c>
      <c r="L18" s="277">
        <f>-운영기간!M27</f>
        <v>2250</v>
      </c>
      <c r="M18" s="277">
        <f>-운영기간!N27</f>
        <v>2250</v>
      </c>
      <c r="N18" s="277">
        <f>-운영기간!O27</f>
        <v>2250</v>
      </c>
      <c r="O18" s="277">
        <f>-운영기간!P27</f>
        <v>2250</v>
      </c>
      <c r="P18" s="278">
        <f>-운영기간!Q27</f>
        <v>2250</v>
      </c>
      <c r="Q18" s="278">
        <f>-운영기간!R27</f>
        <v>1687.5</v>
      </c>
      <c r="S18" s="246">
        <f>SUM(C18:Q18)</f>
        <v>27000</v>
      </c>
    </row>
    <row r="19" spans="2:21" ht="13.8" thickTop="1" x14ac:dyDescent="0.3">
      <c r="B19" s="301" t="s">
        <v>731</v>
      </c>
      <c r="C19" s="302">
        <f>(C8+C9)/C16</f>
        <v>1.4494075325481608</v>
      </c>
      <c r="D19" s="302">
        <f>(D8+D9)/D16</f>
        <v>2.355193734772421</v>
      </c>
      <c r="E19" s="302">
        <f t="shared" ref="E19:Q19" si="11">(E8+E9)/E16</f>
        <v>2.0661973211723592</v>
      </c>
      <c r="F19" s="302">
        <f t="shared" si="11"/>
        <v>1.302922103896599</v>
      </c>
      <c r="G19" s="302">
        <f t="shared" si="11"/>
        <v>1.466610410962053</v>
      </c>
      <c r="H19" s="302">
        <f t="shared" si="11"/>
        <v>1.5225948121552517</v>
      </c>
      <c r="I19" s="302">
        <f t="shared" si="11"/>
        <v>1.5822459753091691</v>
      </c>
      <c r="J19" s="302">
        <f t="shared" si="11"/>
        <v>1.6459886686345575</v>
      </c>
      <c r="K19" s="302">
        <f t="shared" si="11"/>
        <v>1.7141922482477898</v>
      </c>
      <c r="L19" s="302">
        <f t="shared" si="11"/>
        <v>1.787537734251943</v>
      </c>
      <c r="M19" s="302">
        <f t="shared" si="11"/>
        <v>1.8664083227595427</v>
      </c>
      <c r="N19" s="302">
        <f t="shared" si="11"/>
        <v>1.9515256554067324</v>
      </c>
      <c r="O19" s="302">
        <f t="shared" si="11"/>
        <v>2.0435712842452203</v>
      </c>
      <c r="P19" s="302">
        <f t="shared" si="11"/>
        <v>2.1437033386454996</v>
      </c>
      <c r="Q19" s="303">
        <f t="shared" si="11"/>
        <v>2.9869630307896968</v>
      </c>
      <c r="S19" s="277"/>
      <c r="T19" s="371">
        <f>MIN(C19:Q19)</f>
        <v>1.302922103896599</v>
      </c>
      <c r="U19" s="371">
        <f>MAX(C19:Q19)</f>
        <v>2.9869630307896968</v>
      </c>
    </row>
    <row r="20" spans="2:21" ht="13.8" thickBot="1" x14ac:dyDescent="0.35">
      <c r="B20" s="298" t="s">
        <v>732</v>
      </c>
      <c r="C20" s="546">
        <f>(C8+C9+C12)/C16</f>
        <v>3.4208070959984438</v>
      </c>
      <c r="D20" s="546">
        <f t="shared" ref="D20:Q20" si="12">(D8+D9+D12)/D16</f>
        <v>4.3705616304575985</v>
      </c>
      <c r="E20" s="546">
        <f t="shared" si="12"/>
        <v>3.3778200117648702</v>
      </c>
      <c r="F20" s="546">
        <f t="shared" si="12"/>
        <v>1.9910634288160789</v>
      </c>
      <c r="G20" s="546">
        <f t="shared" si="12"/>
        <v>2.1760082166958856</v>
      </c>
      <c r="H20" s="546">
        <f t="shared" si="12"/>
        <v>2.2546521646563114</v>
      </c>
      <c r="I20" s="546">
        <f t="shared" si="12"/>
        <v>2.3384326105066582</v>
      </c>
      <c r="J20" s="546">
        <f t="shared" si="12"/>
        <v>2.4279494493564315</v>
      </c>
      <c r="K20" s="546">
        <f t="shared" si="12"/>
        <v>2.5237168162800505</v>
      </c>
      <c r="L20" s="546">
        <f t="shared" si="12"/>
        <v>2.6267033807721334</v>
      </c>
      <c r="M20" s="546">
        <f t="shared" si="12"/>
        <v>2.7374342110428214</v>
      </c>
      <c r="N20" s="546">
        <f t="shared" si="12"/>
        <v>2.8569265091232765</v>
      </c>
      <c r="O20" s="546">
        <f t="shared" si="12"/>
        <v>2.9861320023972553</v>
      </c>
      <c r="P20" s="546">
        <f t="shared" si="12"/>
        <v>3.1266912688836159</v>
      </c>
      <c r="Q20" s="547">
        <f t="shared" si="12"/>
        <v>4.3486858808484063</v>
      </c>
      <c r="S20" s="277"/>
      <c r="T20" s="371">
        <f>MIN(C20:Q20)</f>
        <v>1.9910634288160789</v>
      </c>
      <c r="U20" s="371">
        <f>MAX(C20:Q20)</f>
        <v>4.3705616304575985</v>
      </c>
    </row>
    <row r="21" spans="2:21" ht="13.8" thickTop="1" x14ac:dyDescent="0.3">
      <c r="B21" s="301" t="s">
        <v>729</v>
      </c>
      <c r="C21" s="302">
        <f>C14/C16</f>
        <v>2.6401735438103358</v>
      </c>
      <c r="D21" s="302">
        <f t="shared" ref="D21:P21" si="13">D14/D16</f>
        <v>3.1746166031990173</v>
      </c>
      <c r="E21" s="302">
        <f t="shared" si="13"/>
        <v>3.5581092076985721</v>
      </c>
      <c r="F21" s="302">
        <f t="shared" si="13"/>
        <v>2.6450311357853371</v>
      </c>
      <c r="G21" s="302">
        <f t="shared" si="13"/>
        <v>3.1624560691580665</v>
      </c>
      <c r="H21" s="302">
        <f t="shared" si="13"/>
        <v>3.7541239374111925</v>
      </c>
      <c r="I21" s="302">
        <f t="shared" si="13"/>
        <v>4.4271483672222596</v>
      </c>
      <c r="J21" s="302">
        <f t="shared" si="13"/>
        <v>5.1899492309406101</v>
      </c>
      <c r="K21" s="302">
        <f t="shared" si="13"/>
        <v>6.0518354202276763</v>
      </c>
      <c r="L21" s="302">
        <f t="shared" si="13"/>
        <v>7.0243482078780062</v>
      </c>
      <c r="M21" s="302">
        <f t="shared" si="13"/>
        <v>8.1194803721865156</v>
      </c>
      <c r="N21" s="302">
        <f t="shared" si="13"/>
        <v>9.3519757381251232</v>
      </c>
      <c r="O21" s="302">
        <f t="shared" si="13"/>
        <v>10.738332524419809</v>
      </c>
      <c r="P21" s="303">
        <f t="shared" si="13"/>
        <v>12.299721033630625</v>
      </c>
      <c r="Q21" s="303">
        <f t="shared" ref="Q21" si="14">Q14/Q16</f>
        <v>18.640347835887471</v>
      </c>
      <c r="S21" s="302"/>
      <c r="T21" s="371">
        <f>MIN(C21:Q21)</f>
        <v>2.6401735438103358</v>
      </c>
      <c r="U21" s="371">
        <f>MAX(C21:Q21)</f>
        <v>18.640347835887471</v>
      </c>
    </row>
    <row r="22" spans="2:21" x14ac:dyDescent="0.3">
      <c r="B22" s="298" t="s">
        <v>730</v>
      </c>
      <c r="C22" s="299">
        <f>C15/C16</f>
        <v>4.6115731072606181</v>
      </c>
      <c r="D22" s="299">
        <f t="shared" ref="D22:P22" si="15">D15/D16</f>
        <v>5.1899844988841952</v>
      </c>
      <c r="E22" s="299">
        <f t="shared" si="15"/>
        <v>4.8697318982910831</v>
      </c>
      <c r="F22" s="299">
        <f t="shared" si="15"/>
        <v>3.3331724607048172</v>
      </c>
      <c r="G22" s="299">
        <f t="shared" si="15"/>
        <v>3.8718538748918991</v>
      </c>
      <c r="H22" s="299">
        <f t="shared" si="15"/>
        <v>4.4861812899122517</v>
      </c>
      <c r="I22" s="299">
        <f t="shared" si="15"/>
        <v>5.1833350024197484</v>
      </c>
      <c r="J22" s="299">
        <f t="shared" si="15"/>
        <v>5.9719100116624846</v>
      </c>
      <c r="K22" s="299">
        <f t="shared" si="15"/>
        <v>6.8613599882599372</v>
      </c>
      <c r="L22" s="299">
        <f t="shared" si="15"/>
        <v>7.8635138543981959</v>
      </c>
      <c r="M22" s="299">
        <f t="shared" si="15"/>
        <v>8.990506260469795</v>
      </c>
      <c r="N22" s="299">
        <f t="shared" si="15"/>
        <v>10.257376591841668</v>
      </c>
      <c r="O22" s="299">
        <f t="shared" si="15"/>
        <v>11.680893242571843</v>
      </c>
      <c r="P22" s="300">
        <f t="shared" si="15"/>
        <v>13.282708963868741</v>
      </c>
      <c r="Q22" s="300">
        <f t="shared" ref="Q22" si="16">Q15/Q16</f>
        <v>20.00207068594618</v>
      </c>
      <c r="S22" s="299"/>
      <c r="T22" s="371">
        <f>MIN(C22:Q22)</f>
        <v>3.3331724607048172</v>
      </c>
      <c r="U22" s="371">
        <f>MAX(C22:Q22)</f>
        <v>20.00207068594618</v>
      </c>
    </row>
    <row r="23" spans="2:21" x14ac:dyDescent="0.3">
      <c r="B23" t="s">
        <v>593</v>
      </c>
    </row>
    <row r="24" spans="2:21" x14ac:dyDescent="0.3">
      <c r="B24" t="s">
        <v>565</v>
      </c>
    </row>
    <row r="25" spans="2:21" x14ac:dyDescent="0.3">
      <c r="B25" t="s">
        <v>591</v>
      </c>
    </row>
    <row r="26" spans="2:21" x14ac:dyDescent="0.3">
      <c r="C26" s="371"/>
      <c r="D26" s="371"/>
      <c r="E26" s="371"/>
      <c r="F26" s="371"/>
      <c r="G26" s="371"/>
      <c r="H26" s="371"/>
      <c r="I26" s="371"/>
      <c r="J26" s="371"/>
      <c r="K26" s="371"/>
      <c r="L26" s="371"/>
      <c r="M26" s="371"/>
      <c r="N26" s="371"/>
      <c r="O26" s="371"/>
      <c r="P26" s="371"/>
    </row>
    <row r="27" spans="2:21" x14ac:dyDescent="0.3">
      <c r="C27" s="371"/>
      <c r="D27" s="371"/>
      <c r="E27" s="371"/>
      <c r="F27" s="371"/>
      <c r="G27" s="371"/>
      <c r="H27" s="371"/>
      <c r="I27" s="371"/>
      <c r="J27" s="371"/>
      <c r="K27" s="371"/>
      <c r="L27" s="371"/>
      <c r="M27" s="371"/>
      <c r="N27" s="371"/>
      <c r="O27" s="371"/>
      <c r="P27" s="371"/>
    </row>
    <row r="28" spans="2:21" x14ac:dyDescent="0.3">
      <c r="B28" s="2" t="s">
        <v>384</v>
      </c>
    </row>
    <row r="29" spans="2:21" x14ac:dyDescent="0.3">
      <c r="D29" s="114" t="s">
        <v>128</v>
      </c>
    </row>
    <row r="30" spans="2:21" x14ac:dyDescent="0.3">
      <c r="B30" s="54" t="s">
        <v>102</v>
      </c>
      <c r="C30" s="232" t="s">
        <v>117</v>
      </c>
      <c r="D30" s="55" t="s">
        <v>137</v>
      </c>
    </row>
    <row r="31" spans="2:21" x14ac:dyDescent="0.3">
      <c r="B31" s="239" t="s">
        <v>377</v>
      </c>
      <c r="C31" s="276">
        <f>SUM(C32:C34)</f>
        <v>3979.2806473199989</v>
      </c>
      <c r="D31" s="241"/>
      <c r="E31" s="249"/>
      <c r="F31" s="249"/>
      <c r="G31" s="249"/>
      <c r="H31" s="249"/>
      <c r="I31" s="249"/>
    </row>
    <row r="32" spans="2:21" x14ac:dyDescent="0.3">
      <c r="B32" s="287" t="s">
        <v>388</v>
      </c>
      <c r="C32" s="281">
        <f>index!$D$9*상환가능성!F32*12/1000000*$G$32</f>
        <v>3533.0061821999989</v>
      </c>
      <c r="D32" s="282" t="s">
        <v>396</v>
      </c>
      <c r="E32" s="249"/>
      <c r="F32" s="255">
        <v>20000</v>
      </c>
      <c r="G32" s="273">
        <f>95%*$K$57</f>
        <v>0.95</v>
      </c>
      <c r="H32" s="249"/>
      <c r="I32" s="268"/>
    </row>
    <row r="33" spans="2:9" x14ac:dyDescent="0.3">
      <c r="B33" s="288" t="s">
        <v>389</v>
      </c>
      <c r="C33" s="277">
        <f>index!$D$9*상환가능성!F33*12/1000000*$G$32</f>
        <v>353.30061821999999</v>
      </c>
      <c r="D33" s="278" t="s">
        <v>395</v>
      </c>
      <c r="E33" s="249"/>
      <c r="F33" s="255">
        <v>2000</v>
      </c>
      <c r="G33" s="249"/>
      <c r="H33" s="249"/>
      <c r="I33" s="249"/>
    </row>
    <row r="34" spans="2:9" x14ac:dyDescent="0.3">
      <c r="B34" s="286" t="s">
        <v>391</v>
      </c>
      <c r="C34" s="246">
        <f>index!$D$9*F32*F34*G34/1000000</f>
        <v>92.97384689999997</v>
      </c>
      <c r="D34" s="248" t="s">
        <v>392</v>
      </c>
      <c r="E34" s="249"/>
      <c r="F34" s="255">
        <v>10</v>
      </c>
      <c r="G34" s="273">
        <v>0.03</v>
      </c>
      <c r="H34" s="249"/>
      <c r="I34" s="249"/>
    </row>
    <row r="35" spans="2:9" x14ac:dyDescent="0.3">
      <c r="B35" s="56" t="s">
        <v>378</v>
      </c>
      <c r="C35" s="236">
        <f>C31*G35</f>
        <v>596.89209709799979</v>
      </c>
      <c r="D35" s="238"/>
      <c r="E35" s="249"/>
      <c r="F35" s="249"/>
      <c r="G35" s="273">
        <v>0.15</v>
      </c>
      <c r="H35" s="249"/>
      <c r="I35" s="249"/>
    </row>
    <row r="36" spans="2:9" x14ac:dyDescent="0.3">
      <c r="B36" s="239" t="s">
        <v>385</v>
      </c>
      <c r="C36" s="276">
        <f>C31-C35</f>
        <v>3382.3885502219991</v>
      </c>
      <c r="D36" s="306"/>
    </row>
    <row r="37" spans="2:9" x14ac:dyDescent="0.3">
      <c r="B37" s="298" t="s">
        <v>390</v>
      </c>
      <c r="C37" s="247">
        <f>C36/C31</f>
        <v>0.85</v>
      </c>
      <c r="D37" s="289"/>
    </row>
    <row r="38" spans="2:9" ht="13.8" thickBot="1" x14ac:dyDescent="0.35">
      <c r="B38" s="239" t="s">
        <v>386</v>
      </c>
      <c r="C38" s="305">
        <f>K50</f>
        <v>5.5E-2</v>
      </c>
      <c r="D38" s="306"/>
    </row>
    <row r="39" spans="2:9" ht="13.8" thickTop="1" x14ac:dyDescent="0.3">
      <c r="B39" s="313" t="s">
        <v>387</v>
      </c>
      <c r="C39" s="314">
        <f>C36/C38</f>
        <v>61497.973640399985</v>
      </c>
      <c r="D39" s="391">
        <f>C39/index!D9*100</f>
        <v>396.87272727272722</v>
      </c>
      <c r="F39" s="249">
        <f>개발기간!N19</f>
        <v>52268.730424291258</v>
      </c>
      <c r="G39" s="268">
        <f>C39/F39</f>
        <v>1.1765729364610613</v>
      </c>
    </row>
    <row r="40" spans="2:9" x14ac:dyDescent="0.3">
      <c r="B40" s="307" t="s">
        <v>393</v>
      </c>
    </row>
    <row r="42" spans="2:9" x14ac:dyDescent="0.3">
      <c r="C42" s="114" t="s">
        <v>128</v>
      </c>
    </row>
    <row r="43" spans="2:9" x14ac:dyDescent="0.3">
      <c r="B43" s="54" t="s">
        <v>102</v>
      </c>
      <c r="C43" s="55" t="s">
        <v>117</v>
      </c>
    </row>
    <row r="44" spans="2:9" x14ac:dyDescent="0.3">
      <c r="B44" s="56" t="s">
        <v>387</v>
      </c>
      <c r="C44" s="238">
        <f>C39</f>
        <v>61497.973640399985</v>
      </c>
    </row>
    <row r="45" spans="2:9" x14ac:dyDescent="0.3">
      <c r="B45" s="56" t="s">
        <v>106</v>
      </c>
      <c r="C45" s="238">
        <f>개발기간!K7</f>
        <v>27000</v>
      </c>
      <c r="E45" s="423">
        <f>index!$D$9*F32*F34/10^6</f>
        <v>3099.1282299999993</v>
      </c>
    </row>
    <row r="46" spans="2:9" x14ac:dyDescent="0.3">
      <c r="B46" s="56" t="s">
        <v>394</v>
      </c>
      <c r="C46" s="258">
        <f>C45/C44</f>
        <v>0.43903885610733095</v>
      </c>
      <c r="E46" s="268">
        <f>(E45+C45)/C44</f>
        <v>0.48943284547878046</v>
      </c>
    </row>
    <row r="48" spans="2:9" x14ac:dyDescent="0.3">
      <c r="B48" s="392" t="s">
        <v>551</v>
      </c>
      <c r="C48" s="339"/>
      <c r="D48" s="339"/>
      <c r="E48" s="339"/>
      <c r="F48" s="339"/>
      <c r="G48" s="339"/>
      <c r="H48" s="339"/>
    </row>
    <row r="49" spans="2:51" ht="13.8" thickBot="1" x14ac:dyDescent="0.35">
      <c r="B49" s="339"/>
      <c r="C49" s="339"/>
      <c r="D49" s="339"/>
      <c r="E49" s="339"/>
      <c r="F49" s="339"/>
      <c r="G49" s="393" t="s">
        <v>552</v>
      </c>
    </row>
    <row r="50" spans="2:51" ht="13.8" thickBot="1" x14ac:dyDescent="0.35">
      <c r="B50" s="317" t="s">
        <v>144</v>
      </c>
      <c r="C50" s="394">
        <v>4.4999999999999998E-2</v>
      </c>
      <c r="D50" s="395">
        <v>0.05</v>
      </c>
      <c r="E50" s="396">
        <v>5.5E-2</v>
      </c>
      <c r="F50" s="397">
        <v>0.06</v>
      </c>
      <c r="G50" s="398">
        <v>6.5000000000000002E-2</v>
      </c>
      <c r="K50" s="411">
        <v>5.5E-2</v>
      </c>
    </row>
    <row r="51" spans="2:51" x14ac:dyDescent="0.3">
      <c r="B51" s="320" t="s">
        <v>553</v>
      </c>
      <c r="C51" s="399">
        <v>75164.19000493332</v>
      </c>
      <c r="D51" s="400">
        <v>67647.771004439972</v>
      </c>
      <c r="E51" s="401">
        <v>61497.973640399985</v>
      </c>
      <c r="F51" s="402">
        <v>56373.142503699986</v>
      </c>
      <c r="G51" s="403">
        <v>52036.746926492291</v>
      </c>
      <c r="K51" s="412">
        <f>C39</f>
        <v>61497.973640399985</v>
      </c>
    </row>
    <row r="52" spans="2:51" ht="13.8" thickBot="1" x14ac:dyDescent="0.35">
      <c r="B52" s="326" t="s">
        <v>554</v>
      </c>
      <c r="C52" s="415">
        <v>0.35921360954236164</v>
      </c>
      <c r="D52" s="416">
        <v>0.39912623282484638</v>
      </c>
      <c r="E52" s="429">
        <v>0.43903885610733095</v>
      </c>
      <c r="F52" s="417">
        <v>0.47895147938981558</v>
      </c>
      <c r="G52" s="418">
        <v>0.51886410267230021</v>
      </c>
      <c r="K52" s="413">
        <f>C46</f>
        <v>0.43903885610733095</v>
      </c>
    </row>
    <row r="53" spans="2:51" x14ac:dyDescent="0.3">
      <c r="B53" s="404" t="s">
        <v>555</v>
      </c>
      <c r="C53" s="404"/>
      <c r="D53" s="404"/>
      <c r="E53" s="339"/>
      <c r="F53" s="404"/>
      <c r="G53" s="404"/>
    </row>
    <row r="54" spans="2:51" x14ac:dyDescent="0.3">
      <c r="B54" s="339"/>
      <c r="C54" s="339"/>
      <c r="D54" s="339"/>
      <c r="E54" s="339"/>
      <c r="F54" s="339"/>
      <c r="G54" s="339"/>
      <c r="H54" s="339"/>
    </row>
    <row r="55" spans="2:51" x14ac:dyDescent="0.3">
      <c r="B55" s="392" t="s">
        <v>556</v>
      </c>
      <c r="C55" s="339"/>
      <c r="D55" s="339"/>
      <c r="E55" s="339"/>
      <c r="F55" s="339"/>
      <c r="G55" s="393" t="s">
        <v>552</v>
      </c>
      <c r="H55" s="339"/>
    </row>
    <row r="56" spans="2:51" ht="13.8" thickBot="1" x14ac:dyDescent="0.35">
      <c r="B56" s="339"/>
      <c r="C56" s="340">
        <f>C57/$D$57</f>
        <v>1.0526315789473684</v>
      </c>
      <c r="D56" s="340">
        <f>D57/$D$57</f>
        <v>1</v>
      </c>
      <c r="E56" s="340">
        <f>E57/$D$57</f>
        <v>0.89473684210526316</v>
      </c>
      <c r="F56" s="340">
        <f>F57/$D$57</f>
        <v>0.78947368421052633</v>
      </c>
      <c r="G56" s="340">
        <f>G57/$D$57</f>
        <v>0.68421052631578949</v>
      </c>
      <c r="H56" s="339"/>
    </row>
    <row r="57" spans="2:51" x14ac:dyDescent="0.3">
      <c r="B57" s="317" t="s">
        <v>144</v>
      </c>
      <c r="C57" s="405">
        <v>1</v>
      </c>
      <c r="D57" s="406">
        <v>0.95</v>
      </c>
      <c r="E57" s="419">
        <v>0.85</v>
      </c>
      <c r="F57" s="407">
        <v>0.75</v>
      </c>
      <c r="G57" s="405">
        <v>0.65</v>
      </c>
      <c r="H57" s="339"/>
      <c r="K57" s="414">
        <v>1</v>
      </c>
    </row>
    <row r="58" spans="2:51" x14ac:dyDescent="0.3">
      <c r="B58" s="320" t="s">
        <v>553</v>
      </c>
      <c r="C58" s="408">
        <v>64659.084434999982</v>
      </c>
      <c r="D58" s="409">
        <v>61497.973640399985</v>
      </c>
      <c r="E58" s="420">
        <v>55175.75205119999</v>
      </c>
      <c r="F58" s="410">
        <v>48853.530461999988</v>
      </c>
      <c r="G58" s="408">
        <v>42531.308872799993</v>
      </c>
      <c r="H58" s="339"/>
      <c r="K58" s="249">
        <f>C39</f>
        <v>61497.973640399985</v>
      </c>
    </row>
    <row r="59" spans="2:51" ht="13.8" thickBot="1" x14ac:dyDescent="0.35">
      <c r="B59" s="326" t="s">
        <v>554</v>
      </c>
      <c r="C59" s="418">
        <v>0.41757473425319475</v>
      </c>
      <c r="D59" s="429">
        <v>0.43903885610733095</v>
      </c>
      <c r="E59" s="430">
        <v>0.4893453917029626</v>
      </c>
      <c r="F59" s="416">
        <v>0.5526724423939342</v>
      </c>
      <c r="G59" s="418">
        <v>0.63482645410114058</v>
      </c>
      <c r="H59" s="339"/>
      <c r="K59" s="413">
        <f>C46</f>
        <v>0.43903885610733095</v>
      </c>
    </row>
    <row r="60" spans="2:51" x14ac:dyDescent="0.3">
      <c r="B60" s="404" t="s">
        <v>557</v>
      </c>
      <c r="C60" s="404"/>
      <c r="D60" s="339"/>
      <c r="E60" s="339"/>
      <c r="F60" s="404"/>
      <c r="G60" s="404"/>
      <c r="H60" s="339"/>
    </row>
    <row r="62" spans="2:51" hidden="1" outlineLevel="1" x14ac:dyDescent="0.3"/>
    <row r="63" spans="2:51" hidden="1" outlineLevel="1" x14ac:dyDescent="0.3">
      <c r="D63">
        <v>2</v>
      </c>
      <c r="E63">
        <f>D63+1</f>
        <v>3</v>
      </c>
      <c r="F63">
        <f t="shared" ref="F63:AY63" si="17">E63+1</f>
        <v>4</v>
      </c>
      <c r="G63">
        <f t="shared" si="17"/>
        <v>5</v>
      </c>
      <c r="H63">
        <f t="shared" si="17"/>
        <v>6</v>
      </c>
      <c r="I63">
        <f t="shared" si="17"/>
        <v>7</v>
      </c>
      <c r="J63">
        <f t="shared" si="17"/>
        <v>8</v>
      </c>
      <c r="K63">
        <f t="shared" si="17"/>
        <v>9</v>
      </c>
      <c r="L63">
        <f t="shared" si="17"/>
        <v>10</v>
      </c>
      <c r="M63">
        <f t="shared" si="17"/>
        <v>11</v>
      </c>
      <c r="N63">
        <f t="shared" si="17"/>
        <v>12</v>
      </c>
      <c r="O63">
        <f t="shared" si="17"/>
        <v>13</v>
      </c>
      <c r="P63">
        <f t="shared" si="17"/>
        <v>14</v>
      </c>
      <c r="Q63">
        <f t="shared" si="17"/>
        <v>15</v>
      </c>
      <c r="R63">
        <f t="shared" si="17"/>
        <v>16</v>
      </c>
      <c r="S63">
        <f t="shared" si="17"/>
        <v>17</v>
      </c>
      <c r="T63">
        <f t="shared" si="17"/>
        <v>18</v>
      </c>
      <c r="U63">
        <f t="shared" si="17"/>
        <v>19</v>
      </c>
      <c r="V63">
        <f t="shared" si="17"/>
        <v>20</v>
      </c>
      <c r="W63">
        <f t="shared" si="17"/>
        <v>21</v>
      </c>
      <c r="X63">
        <f t="shared" si="17"/>
        <v>22</v>
      </c>
      <c r="Y63">
        <f t="shared" si="17"/>
        <v>23</v>
      </c>
      <c r="Z63">
        <f t="shared" si="17"/>
        <v>24</v>
      </c>
      <c r="AA63">
        <f t="shared" si="17"/>
        <v>25</v>
      </c>
      <c r="AB63">
        <f t="shared" si="17"/>
        <v>26</v>
      </c>
      <c r="AC63">
        <f t="shared" si="17"/>
        <v>27</v>
      </c>
      <c r="AD63">
        <f t="shared" si="17"/>
        <v>28</v>
      </c>
      <c r="AE63">
        <f t="shared" si="17"/>
        <v>29</v>
      </c>
      <c r="AF63">
        <f t="shared" si="17"/>
        <v>30</v>
      </c>
      <c r="AG63">
        <f t="shared" si="17"/>
        <v>31</v>
      </c>
      <c r="AH63">
        <f t="shared" si="17"/>
        <v>32</v>
      </c>
      <c r="AI63">
        <f t="shared" si="17"/>
        <v>33</v>
      </c>
      <c r="AJ63">
        <f t="shared" si="17"/>
        <v>34</v>
      </c>
      <c r="AK63">
        <f t="shared" si="17"/>
        <v>35</v>
      </c>
      <c r="AL63">
        <f t="shared" si="17"/>
        <v>36</v>
      </c>
      <c r="AM63">
        <f t="shared" si="17"/>
        <v>37</v>
      </c>
      <c r="AN63">
        <f t="shared" si="17"/>
        <v>38</v>
      </c>
      <c r="AO63">
        <f t="shared" si="17"/>
        <v>39</v>
      </c>
      <c r="AP63">
        <f t="shared" si="17"/>
        <v>40</v>
      </c>
      <c r="AQ63">
        <f t="shared" si="17"/>
        <v>41</v>
      </c>
      <c r="AR63">
        <f t="shared" si="17"/>
        <v>42</v>
      </c>
      <c r="AS63">
        <f t="shared" si="17"/>
        <v>43</v>
      </c>
      <c r="AT63">
        <f t="shared" si="17"/>
        <v>44</v>
      </c>
      <c r="AU63">
        <f t="shared" si="17"/>
        <v>45</v>
      </c>
      <c r="AV63">
        <f t="shared" si="17"/>
        <v>46</v>
      </c>
      <c r="AW63">
        <f t="shared" si="17"/>
        <v>47</v>
      </c>
      <c r="AX63">
        <f t="shared" si="17"/>
        <v>48</v>
      </c>
      <c r="AY63">
        <f t="shared" si="17"/>
        <v>49</v>
      </c>
    </row>
    <row r="64" spans="2:51" hidden="1" outlineLevel="1" x14ac:dyDescent="0.3">
      <c r="B64" s="597" t="s">
        <v>102</v>
      </c>
      <c r="C64" s="598" t="s">
        <v>107</v>
      </c>
      <c r="D64" s="231" t="s">
        <v>289</v>
      </c>
      <c r="E64" s="231" t="s">
        <v>290</v>
      </c>
      <c r="F64" s="231" t="s">
        <v>291</v>
      </c>
      <c r="G64" s="231" t="s">
        <v>292</v>
      </c>
      <c r="H64" s="231" t="s">
        <v>293</v>
      </c>
      <c r="I64" s="231" t="s">
        <v>352</v>
      </c>
      <c r="J64" s="231" t="s">
        <v>353</v>
      </c>
      <c r="K64" s="231" t="s">
        <v>354</v>
      </c>
      <c r="L64" s="231" t="s">
        <v>355</v>
      </c>
      <c r="M64" s="231" t="s">
        <v>356</v>
      </c>
      <c r="N64" s="231" t="s">
        <v>357</v>
      </c>
      <c r="O64" s="231" t="s">
        <v>358</v>
      </c>
      <c r="P64" s="231" t="s">
        <v>359</v>
      </c>
      <c r="Q64" s="295" t="s">
        <v>360</v>
      </c>
      <c r="R64" s="231" t="s">
        <v>397</v>
      </c>
      <c r="S64" s="295" t="s">
        <v>398</v>
      </c>
      <c r="T64" s="231" t="s">
        <v>399</v>
      </c>
      <c r="U64" s="295" t="s">
        <v>400</v>
      </c>
      <c r="V64" s="231" t="s">
        <v>401</v>
      </c>
      <c r="W64" s="295" t="s">
        <v>402</v>
      </c>
      <c r="X64" s="231" t="s">
        <v>403</v>
      </c>
      <c r="Y64" s="295" t="s">
        <v>404</v>
      </c>
      <c r="Z64" s="231" t="s">
        <v>405</v>
      </c>
      <c r="AA64" s="295" t="s">
        <v>406</v>
      </c>
      <c r="AB64" s="231" t="s">
        <v>407</v>
      </c>
      <c r="AC64" s="295" t="s">
        <v>408</v>
      </c>
      <c r="AD64" s="231" t="s">
        <v>409</v>
      </c>
      <c r="AE64" s="295" t="s">
        <v>410</v>
      </c>
      <c r="AF64" s="231" t="s">
        <v>411</v>
      </c>
      <c r="AG64" s="295" t="s">
        <v>412</v>
      </c>
      <c r="AH64" s="231" t="s">
        <v>413</v>
      </c>
      <c r="AI64" s="295" t="s">
        <v>414</v>
      </c>
      <c r="AJ64" s="231" t="s">
        <v>415</v>
      </c>
      <c r="AK64" s="295" t="s">
        <v>416</v>
      </c>
      <c r="AL64" s="231" t="s">
        <v>417</v>
      </c>
      <c r="AM64" s="295" t="s">
        <v>418</v>
      </c>
      <c r="AN64" s="231" t="s">
        <v>419</v>
      </c>
      <c r="AO64" s="295" t="s">
        <v>420</v>
      </c>
      <c r="AP64" s="231" t="s">
        <v>421</v>
      </c>
      <c r="AQ64" s="295" t="s">
        <v>422</v>
      </c>
      <c r="AR64" s="231" t="s">
        <v>423</v>
      </c>
      <c r="AS64" s="295" t="s">
        <v>424</v>
      </c>
      <c r="AT64" s="231" t="s">
        <v>425</v>
      </c>
      <c r="AU64" s="295" t="s">
        <v>426</v>
      </c>
      <c r="AV64" s="231" t="s">
        <v>427</v>
      </c>
      <c r="AW64" s="295" t="s">
        <v>428</v>
      </c>
      <c r="AX64" s="231" t="s">
        <v>429</v>
      </c>
      <c r="AY64" s="295" t="s">
        <v>430</v>
      </c>
    </row>
    <row r="65" spans="1:51" hidden="1" outlineLevel="1" x14ac:dyDescent="0.3">
      <c r="B65" s="597"/>
      <c r="C65" s="598"/>
      <c r="D65" s="291" t="s">
        <v>332</v>
      </c>
      <c r="E65" s="291" t="s">
        <v>333</v>
      </c>
      <c r="F65" s="291" t="s">
        <v>334</v>
      </c>
      <c r="G65" s="291" t="s">
        <v>335</v>
      </c>
      <c r="H65" s="291" t="s">
        <v>336</v>
      </c>
      <c r="I65" s="291" t="s">
        <v>361</v>
      </c>
      <c r="J65" s="291" t="s">
        <v>362</v>
      </c>
      <c r="K65" s="291" t="s">
        <v>363</v>
      </c>
      <c r="L65" s="291" t="s">
        <v>364</v>
      </c>
      <c r="M65" s="291" t="s">
        <v>365</v>
      </c>
      <c r="N65" s="291" t="s">
        <v>366</v>
      </c>
      <c r="O65" s="291" t="s">
        <v>367</v>
      </c>
      <c r="P65" s="291" t="s">
        <v>368</v>
      </c>
      <c r="Q65" s="296" t="s">
        <v>369</v>
      </c>
      <c r="R65" s="291" t="s">
        <v>434</v>
      </c>
      <c r="S65" s="296" t="s">
        <v>435</v>
      </c>
      <c r="T65" s="291" t="s">
        <v>436</v>
      </c>
      <c r="U65" s="296" t="s">
        <v>437</v>
      </c>
      <c r="V65" s="291" t="s">
        <v>438</v>
      </c>
      <c r="W65" s="296" t="s">
        <v>439</v>
      </c>
      <c r="X65" s="291" t="s">
        <v>440</v>
      </c>
      <c r="Y65" s="296" t="s">
        <v>441</v>
      </c>
      <c r="Z65" s="291" t="s">
        <v>442</v>
      </c>
      <c r="AA65" s="296" t="s">
        <v>443</v>
      </c>
      <c r="AB65" s="291" t="s">
        <v>444</v>
      </c>
      <c r="AC65" s="296" t="s">
        <v>445</v>
      </c>
      <c r="AD65" s="291" t="s">
        <v>446</v>
      </c>
      <c r="AE65" s="296" t="s">
        <v>447</v>
      </c>
      <c r="AF65" s="291" t="s">
        <v>448</v>
      </c>
      <c r="AG65" s="296" t="s">
        <v>449</v>
      </c>
      <c r="AH65" s="291" t="s">
        <v>450</v>
      </c>
      <c r="AI65" s="296" t="s">
        <v>451</v>
      </c>
      <c r="AJ65" s="291" t="s">
        <v>452</v>
      </c>
      <c r="AK65" s="296" t="s">
        <v>453</v>
      </c>
      <c r="AL65" s="291" t="s">
        <v>454</v>
      </c>
      <c r="AM65" s="296" t="s">
        <v>455</v>
      </c>
      <c r="AN65" s="291" t="s">
        <v>456</v>
      </c>
      <c r="AO65" s="296" t="s">
        <v>457</v>
      </c>
      <c r="AP65" s="291" t="s">
        <v>458</v>
      </c>
      <c r="AQ65" s="296" t="s">
        <v>459</v>
      </c>
      <c r="AR65" s="291" t="s">
        <v>460</v>
      </c>
      <c r="AS65" s="296" t="s">
        <v>461</v>
      </c>
      <c r="AT65" s="291" t="s">
        <v>462</v>
      </c>
      <c r="AU65" s="296" t="s">
        <v>463</v>
      </c>
      <c r="AV65" s="291" t="s">
        <v>464</v>
      </c>
      <c r="AW65" s="296" t="s">
        <v>465</v>
      </c>
      <c r="AX65" s="291" t="s">
        <v>466</v>
      </c>
      <c r="AY65" s="296" t="s">
        <v>467</v>
      </c>
    </row>
    <row r="66" spans="1:51" hidden="1" outlineLevel="1" x14ac:dyDescent="0.3">
      <c r="B66" s="56" t="s">
        <v>431</v>
      </c>
      <c r="C66" s="236">
        <f>SUM(D66:AY66)</f>
        <v>1212203.1227670407</v>
      </c>
      <c r="D66" s="236">
        <f t="shared" ref="D66:Q66" si="18">C7</f>
        <v>1621.3752902916267</v>
      </c>
      <c r="E66" s="236">
        <f t="shared" si="18"/>
        <v>3902.3307925337249</v>
      </c>
      <c r="F66" s="236">
        <f t="shared" si="18"/>
        <v>6375.1674526005554</v>
      </c>
      <c r="G66" s="236">
        <f t="shared" si="18"/>
        <v>9033.0495720032304</v>
      </c>
      <c r="H66" s="236">
        <f t="shared" si="18"/>
        <v>10476.492458200581</v>
      </c>
      <c r="I66" s="236">
        <f t="shared" si="18"/>
        <v>12051.600964895153</v>
      </c>
      <c r="J66" s="236">
        <f t="shared" si="18"/>
        <v>13758.665858997405</v>
      </c>
      <c r="K66" s="236">
        <f t="shared" si="18"/>
        <v>15597.657589653478</v>
      </c>
      <c r="L66" s="236">
        <f t="shared" si="18"/>
        <v>17568.647108953141</v>
      </c>
      <c r="M66" s="236">
        <f t="shared" si="18"/>
        <v>19671.595235830377</v>
      </c>
      <c r="N66" s="236">
        <f t="shared" si="18"/>
        <v>21906.77346958666</v>
      </c>
      <c r="O66" s="236">
        <f t="shared" si="18"/>
        <v>24274.132377615926</v>
      </c>
      <c r="P66" s="236">
        <f t="shared" si="18"/>
        <v>26773.722401429368</v>
      </c>
      <c r="Q66" s="236">
        <f t="shared" si="18"/>
        <v>29405.483205555676</v>
      </c>
      <c r="R66" s="265">
        <f>Q66</f>
        <v>29405.483205555676</v>
      </c>
      <c r="S66" s="236">
        <f>R66</f>
        <v>29405.483205555676</v>
      </c>
      <c r="T66" s="236">
        <f t="shared" ref="T66:AY66" si="19">S66</f>
        <v>29405.483205555676</v>
      </c>
      <c r="U66" s="236">
        <f t="shared" si="19"/>
        <v>29405.483205555676</v>
      </c>
      <c r="V66" s="236">
        <f t="shared" si="19"/>
        <v>29405.483205555676</v>
      </c>
      <c r="W66" s="236">
        <f t="shared" si="19"/>
        <v>29405.483205555676</v>
      </c>
      <c r="X66" s="236">
        <f t="shared" si="19"/>
        <v>29405.483205555676</v>
      </c>
      <c r="Y66" s="236">
        <f t="shared" si="19"/>
        <v>29405.483205555676</v>
      </c>
      <c r="Z66" s="236">
        <f t="shared" si="19"/>
        <v>29405.483205555676</v>
      </c>
      <c r="AA66" s="236">
        <f t="shared" si="19"/>
        <v>29405.483205555676</v>
      </c>
      <c r="AB66" s="236">
        <f t="shared" si="19"/>
        <v>29405.483205555676</v>
      </c>
      <c r="AC66" s="236">
        <f t="shared" si="19"/>
        <v>29405.483205555676</v>
      </c>
      <c r="AD66" s="236">
        <f t="shared" si="19"/>
        <v>29405.483205555676</v>
      </c>
      <c r="AE66" s="236">
        <f t="shared" si="19"/>
        <v>29405.483205555676</v>
      </c>
      <c r="AF66" s="236">
        <f t="shared" si="19"/>
        <v>29405.483205555676</v>
      </c>
      <c r="AG66" s="236">
        <f t="shared" si="19"/>
        <v>29405.483205555676</v>
      </c>
      <c r="AH66" s="236">
        <f t="shared" si="19"/>
        <v>29405.483205555676</v>
      </c>
      <c r="AI66" s="236">
        <f t="shared" si="19"/>
        <v>29405.483205555676</v>
      </c>
      <c r="AJ66" s="236">
        <f t="shared" si="19"/>
        <v>29405.483205555676</v>
      </c>
      <c r="AK66" s="236">
        <f t="shared" si="19"/>
        <v>29405.483205555676</v>
      </c>
      <c r="AL66" s="236">
        <f t="shared" si="19"/>
        <v>29405.483205555676</v>
      </c>
      <c r="AM66" s="236">
        <f t="shared" si="19"/>
        <v>29405.483205555676</v>
      </c>
      <c r="AN66" s="236">
        <f t="shared" si="19"/>
        <v>29405.483205555676</v>
      </c>
      <c r="AO66" s="236">
        <f t="shared" si="19"/>
        <v>29405.483205555676</v>
      </c>
      <c r="AP66" s="236">
        <f t="shared" si="19"/>
        <v>29405.483205555676</v>
      </c>
      <c r="AQ66" s="236">
        <f t="shared" si="19"/>
        <v>29405.483205555676</v>
      </c>
      <c r="AR66" s="236">
        <f t="shared" si="19"/>
        <v>29405.483205555676</v>
      </c>
      <c r="AS66" s="236">
        <f t="shared" si="19"/>
        <v>29405.483205555676</v>
      </c>
      <c r="AT66" s="236">
        <f t="shared" si="19"/>
        <v>29405.483205555676</v>
      </c>
      <c r="AU66" s="236">
        <f t="shared" si="19"/>
        <v>29405.483205555676</v>
      </c>
      <c r="AV66" s="236">
        <f t="shared" si="19"/>
        <v>29405.483205555676</v>
      </c>
      <c r="AW66" s="236">
        <f t="shared" si="19"/>
        <v>29405.483205555676</v>
      </c>
      <c r="AX66" s="236">
        <f t="shared" si="19"/>
        <v>29405.483205555676</v>
      </c>
      <c r="AY66" s="238">
        <f t="shared" si="19"/>
        <v>29405.483205555676</v>
      </c>
    </row>
    <row r="67" spans="1:51" hidden="1" outlineLevel="1" x14ac:dyDescent="0.3">
      <c r="A67" s="304">
        <v>0.1</v>
      </c>
      <c r="B67" s="56" t="s">
        <v>432</v>
      </c>
      <c r="C67" s="256" t="s">
        <v>120</v>
      </c>
      <c r="D67" s="309">
        <f t="shared" ref="D67:AY67" si="20">1/(1+$A$67)^D63</f>
        <v>0.82644628099173545</v>
      </c>
      <c r="E67" s="309">
        <f t="shared" si="20"/>
        <v>0.75131480090157754</v>
      </c>
      <c r="F67" s="309">
        <f t="shared" si="20"/>
        <v>0.68301345536507052</v>
      </c>
      <c r="G67" s="309">
        <f t="shared" si="20"/>
        <v>0.62092132305915493</v>
      </c>
      <c r="H67" s="309">
        <f t="shared" si="20"/>
        <v>0.56447393005377722</v>
      </c>
      <c r="I67" s="309">
        <f t="shared" si="20"/>
        <v>0.51315811823070645</v>
      </c>
      <c r="J67" s="309">
        <f t="shared" si="20"/>
        <v>0.46650738020973315</v>
      </c>
      <c r="K67" s="309">
        <f t="shared" si="20"/>
        <v>0.42409761837248466</v>
      </c>
      <c r="L67" s="309">
        <f t="shared" si="20"/>
        <v>0.38554328942953148</v>
      </c>
      <c r="M67" s="309">
        <f t="shared" si="20"/>
        <v>0.3504938994813922</v>
      </c>
      <c r="N67" s="309">
        <f t="shared" si="20"/>
        <v>0.31863081771035656</v>
      </c>
      <c r="O67" s="309">
        <f t="shared" si="20"/>
        <v>0.28966437973668779</v>
      </c>
      <c r="P67" s="309">
        <f t="shared" si="20"/>
        <v>0.26333125430607973</v>
      </c>
      <c r="Q67" s="309">
        <f t="shared" si="20"/>
        <v>0.23939204936916339</v>
      </c>
      <c r="R67" s="309">
        <f t="shared" si="20"/>
        <v>0.21762913579014853</v>
      </c>
      <c r="S67" s="309">
        <f t="shared" si="20"/>
        <v>0.19784466890013502</v>
      </c>
      <c r="T67" s="309">
        <f t="shared" si="20"/>
        <v>0.17985878990921364</v>
      </c>
      <c r="U67" s="309">
        <f t="shared" si="20"/>
        <v>0.16350799082655781</v>
      </c>
      <c r="V67" s="309">
        <f t="shared" si="20"/>
        <v>0.14864362802414349</v>
      </c>
      <c r="W67" s="309">
        <f t="shared" si="20"/>
        <v>0.13513057093103953</v>
      </c>
      <c r="X67" s="309">
        <f t="shared" si="20"/>
        <v>0.12284597357367227</v>
      </c>
      <c r="Y67" s="309">
        <f t="shared" si="20"/>
        <v>0.11167815779424752</v>
      </c>
      <c r="Z67" s="309">
        <f t="shared" si="20"/>
        <v>0.10152559799477048</v>
      </c>
      <c r="AA67" s="309">
        <f t="shared" si="20"/>
        <v>9.2295998177064048E-2</v>
      </c>
      <c r="AB67" s="309">
        <f t="shared" si="20"/>
        <v>8.3905452888240042E-2</v>
      </c>
      <c r="AC67" s="309">
        <f t="shared" si="20"/>
        <v>7.6277684443854576E-2</v>
      </c>
      <c r="AD67" s="309">
        <f t="shared" si="20"/>
        <v>6.9343349494413245E-2</v>
      </c>
      <c r="AE67" s="309">
        <f t="shared" si="20"/>
        <v>6.3039408631284766E-2</v>
      </c>
      <c r="AF67" s="309">
        <f t="shared" si="20"/>
        <v>5.7308553301167964E-2</v>
      </c>
      <c r="AG67" s="309">
        <f t="shared" si="20"/>
        <v>5.2098684819243603E-2</v>
      </c>
      <c r="AH67" s="309">
        <f t="shared" si="20"/>
        <v>4.7362440744766907E-2</v>
      </c>
      <c r="AI67" s="309">
        <f t="shared" si="20"/>
        <v>4.3056764313424457E-2</v>
      </c>
      <c r="AJ67" s="309">
        <f t="shared" si="20"/>
        <v>3.9142513012204054E-2</v>
      </c>
      <c r="AK67" s="309">
        <f t="shared" si="20"/>
        <v>3.5584102738367311E-2</v>
      </c>
      <c r="AL67" s="309">
        <f t="shared" si="20"/>
        <v>3.2349184307606652E-2</v>
      </c>
      <c r="AM67" s="309">
        <f t="shared" si="20"/>
        <v>2.94083493705515E-2</v>
      </c>
      <c r="AN67" s="309">
        <f t="shared" si="20"/>
        <v>2.6734863064137721E-2</v>
      </c>
      <c r="AO67" s="309">
        <f t="shared" si="20"/>
        <v>2.4304420967397926E-2</v>
      </c>
      <c r="AP67" s="309">
        <f t="shared" si="20"/>
        <v>2.2094928152179935E-2</v>
      </c>
      <c r="AQ67" s="309">
        <f t="shared" si="20"/>
        <v>2.0086298320163575E-2</v>
      </c>
      <c r="AR67" s="309">
        <f t="shared" si="20"/>
        <v>1.8260271200148705E-2</v>
      </c>
      <c r="AS67" s="309">
        <f t="shared" si="20"/>
        <v>1.6600246545589729E-2</v>
      </c>
      <c r="AT67" s="309">
        <f t="shared" si="20"/>
        <v>1.5091133223263388E-2</v>
      </c>
      <c r="AU67" s="309">
        <f t="shared" si="20"/>
        <v>1.3719212021148534E-2</v>
      </c>
      <c r="AV67" s="309">
        <f t="shared" si="20"/>
        <v>1.2472010928316847E-2</v>
      </c>
      <c r="AW67" s="309">
        <f t="shared" si="20"/>
        <v>1.1338191753015316E-2</v>
      </c>
      <c r="AX67" s="309">
        <f t="shared" si="20"/>
        <v>1.0307447048195742E-2</v>
      </c>
      <c r="AY67" s="310">
        <f t="shared" si="20"/>
        <v>9.3704064074506734E-3</v>
      </c>
    </row>
    <row r="68" spans="1:51" hidden="1" outlineLevel="1" x14ac:dyDescent="0.3">
      <c r="B68" s="91" t="s">
        <v>433</v>
      </c>
      <c r="C68" s="92">
        <f>SUM(D68:AY68)</f>
        <v>148775.07419111833</v>
      </c>
      <c r="D68" s="236">
        <f>D66*D67</f>
        <v>1339.9795787534104</v>
      </c>
      <c r="E68" s="236">
        <f t="shared" ref="E68:AY68" si="21">E66*E67</f>
        <v>2931.878882444571</v>
      </c>
      <c r="F68" s="236">
        <f t="shared" si="21"/>
        <v>4354.3251503316396</v>
      </c>
      <c r="G68" s="236">
        <f t="shared" si="21"/>
        <v>5608.8130915071788</v>
      </c>
      <c r="H68" s="236">
        <f t="shared" si="21"/>
        <v>5913.7068710592393</v>
      </c>
      <c r="I68" s="236">
        <f t="shared" si="21"/>
        <v>6184.3768728129626</v>
      </c>
      <c r="J68" s="236">
        <f t="shared" si="21"/>
        <v>6418.5191650619772</v>
      </c>
      <c r="K68" s="236">
        <f t="shared" si="21"/>
        <v>6614.9294359615496</v>
      </c>
      <c r="L68" s="236">
        <f t="shared" si="21"/>
        <v>6773.4739972124225</v>
      </c>
      <c r="M68" s="236">
        <f t="shared" si="21"/>
        <v>6894.7741232257658</v>
      </c>
      <c r="N68" s="236">
        <f t="shared" si="21"/>
        <v>6980.1731440099429</v>
      </c>
      <c r="O68" s="236">
        <f t="shared" si="21"/>
        <v>7031.351498808368</v>
      </c>
      <c r="P68" s="236">
        <f t="shared" si="21"/>
        <v>7050.3579024111805</v>
      </c>
      <c r="Q68" s="236">
        <f t="shared" si="21"/>
        <v>7039.4388872684895</v>
      </c>
      <c r="R68" s="236">
        <f t="shared" si="21"/>
        <v>6399.489897516808</v>
      </c>
      <c r="S68" s="236">
        <f t="shared" si="21"/>
        <v>5817.7180886516435</v>
      </c>
      <c r="T68" s="236">
        <f t="shared" si="21"/>
        <v>5288.8346260469489</v>
      </c>
      <c r="U68" s="236">
        <f t="shared" si="21"/>
        <v>4808.0314782244977</v>
      </c>
      <c r="V68" s="236">
        <f t="shared" si="21"/>
        <v>4370.9377074768163</v>
      </c>
      <c r="W68" s="236">
        <f t="shared" si="21"/>
        <v>3973.5797340698327</v>
      </c>
      <c r="X68" s="236">
        <f t="shared" si="21"/>
        <v>3612.3452127907562</v>
      </c>
      <c r="Y68" s="236">
        <f t="shared" si="21"/>
        <v>3283.9501934461418</v>
      </c>
      <c r="Z68" s="236">
        <f t="shared" si="21"/>
        <v>2985.4092667692203</v>
      </c>
      <c r="AA68" s="236">
        <f t="shared" si="21"/>
        <v>2714.0084243356541</v>
      </c>
      <c r="AB68" s="236">
        <f t="shared" si="21"/>
        <v>2467.2803857596855</v>
      </c>
      <c r="AC68" s="236">
        <f t="shared" si="21"/>
        <v>2242.9821688724414</v>
      </c>
      <c r="AD68" s="236">
        <f t="shared" si="21"/>
        <v>2039.0746989749464</v>
      </c>
      <c r="AE68" s="236">
        <f t="shared" si="21"/>
        <v>1853.7042717954057</v>
      </c>
      <c r="AF68" s="236">
        <f t="shared" si="21"/>
        <v>1685.1857016321869</v>
      </c>
      <c r="AG68" s="236">
        <f t="shared" si="21"/>
        <v>1531.9870014838061</v>
      </c>
      <c r="AH68" s="236">
        <f t="shared" si="21"/>
        <v>1392.7154558943691</v>
      </c>
      <c r="AI68" s="236">
        <f t="shared" si="21"/>
        <v>1266.1049599039718</v>
      </c>
      <c r="AJ68" s="236">
        <f t="shared" si="21"/>
        <v>1151.0045090036108</v>
      </c>
      <c r="AK68" s="236">
        <f t="shared" si="21"/>
        <v>1046.3677354578276</v>
      </c>
      <c r="AL68" s="236">
        <f t="shared" si="21"/>
        <v>951.24339587075258</v>
      </c>
      <c r="AM68" s="236">
        <f t="shared" si="21"/>
        <v>864.766723518866</v>
      </c>
      <c r="AN68" s="236">
        <f t="shared" si="21"/>
        <v>786.15156683533246</v>
      </c>
      <c r="AO68" s="236">
        <f t="shared" si="21"/>
        <v>714.6832425775749</v>
      </c>
      <c r="AP68" s="236">
        <f t="shared" si="21"/>
        <v>649.71203870688635</v>
      </c>
      <c r="AQ68" s="236">
        <f t="shared" si="21"/>
        <v>590.64730791535123</v>
      </c>
      <c r="AR68" s="236">
        <f t="shared" si="21"/>
        <v>536.95209810486472</v>
      </c>
      <c r="AS68" s="236">
        <f t="shared" si="21"/>
        <v>488.13827100442239</v>
      </c>
      <c r="AT68" s="236">
        <f t="shared" si="21"/>
        <v>443.76206454947487</v>
      </c>
      <c r="AU68" s="236">
        <f t="shared" si="21"/>
        <v>403.42005868134078</v>
      </c>
      <c r="AV68" s="236">
        <f t="shared" si="21"/>
        <v>366.74550789212793</v>
      </c>
      <c r="AW68" s="236">
        <f t="shared" si="21"/>
        <v>333.40500717466176</v>
      </c>
      <c r="AX68" s="236">
        <f t="shared" si="21"/>
        <v>303.09546106787428</v>
      </c>
      <c r="AY68" s="238">
        <f t="shared" si="21"/>
        <v>275.54132824352206</v>
      </c>
    </row>
    <row r="69" spans="1:51" hidden="1" outlineLevel="1" x14ac:dyDescent="0.3">
      <c r="B69" s="56" t="s">
        <v>470</v>
      </c>
      <c r="C69" s="311">
        <f>SUM(D69:AY69)</f>
        <v>0.99999999999999967</v>
      </c>
      <c r="D69" s="269">
        <f>D68/$C$68</f>
        <v>9.0067478442797198E-3</v>
      </c>
      <c r="E69" s="269">
        <f t="shared" ref="E69:AY69" si="22">E68/$C$68</f>
        <v>1.9706788239797768E-2</v>
      </c>
      <c r="F69" s="269">
        <f t="shared" si="22"/>
        <v>2.9267840557337037E-2</v>
      </c>
      <c r="G69" s="269">
        <f t="shared" si="22"/>
        <v>3.7699951567841443E-2</v>
      </c>
      <c r="H69" s="269">
        <f t="shared" si="22"/>
        <v>3.9749312196359028E-2</v>
      </c>
      <c r="I69" s="269">
        <f t="shared" si="22"/>
        <v>4.1568635784166606E-2</v>
      </c>
      <c r="J69" s="269">
        <f t="shared" si="22"/>
        <v>4.3142436325164707E-2</v>
      </c>
      <c r="K69" s="269">
        <f t="shared" si="22"/>
        <v>4.4462618969787426E-2</v>
      </c>
      <c r="L69" s="269">
        <f t="shared" si="22"/>
        <v>4.55282851246381E-2</v>
      </c>
      <c r="M69" s="269">
        <f t="shared" si="22"/>
        <v>4.6343610720493762E-2</v>
      </c>
      <c r="N69" s="269">
        <f t="shared" si="22"/>
        <v>4.6917625025299094E-2</v>
      </c>
      <c r="O69" s="269">
        <f t="shared" si="22"/>
        <v>4.726162320561713E-2</v>
      </c>
      <c r="P69" s="269">
        <f t="shared" si="22"/>
        <v>4.7389375812739991E-2</v>
      </c>
      <c r="Q69" s="269">
        <f t="shared" si="22"/>
        <v>4.7315983040448956E-2</v>
      </c>
      <c r="R69" s="269">
        <f t="shared" si="22"/>
        <v>4.3014530036771768E-2</v>
      </c>
      <c r="S69" s="269">
        <f t="shared" si="22"/>
        <v>3.9104118215247063E-2</v>
      </c>
      <c r="T69" s="269">
        <f t="shared" si="22"/>
        <v>3.5549198377497329E-2</v>
      </c>
      <c r="U69" s="269">
        <f t="shared" si="22"/>
        <v>3.2317453070452112E-2</v>
      </c>
      <c r="V69" s="269">
        <f t="shared" si="22"/>
        <v>2.9379502791320102E-2</v>
      </c>
      <c r="W69" s="269">
        <f t="shared" si="22"/>
        <v>2.670863890120009E-2</v>
      </c>
      <c r="X69" s="269">
        <f t="shared" si="22"/>
        <v>2.4280580819272805E-2</v>
      </c>
      <c r="Y69" s="269">
        <f t="shared" si="22"/>
        <v>2.2073255290248003E-2</v>
      </c>
      <c r="Z69" s="269">
        <f t="shared" si="22"/>
        <v>2.0066595718407278E-2</v>
      </c>
      <c r="AA69" s="269">
        <f t="shared" si="22"/>
        <v>1.8242359744006613E-2</v>
      </c>
      <c r="AB69" s="269">
        <f t="shared" si="22"/>
        <v>1.6583963403642373E-2</v>
      </c>
      <c r="AC69" s="269">
        <f t="shared" si="22"/>
        <v>1.5076330366947614E-2</v>
      </c>
      <c r="AD69" s="269">
        <f t="shared" si="22"/>
        <v>1.3705754879043283E-2</v>
      </c>
      <c r="AE69" s="269">
        <f t="shared" si="22"/>
        <v>1.245977716276662E-2</v>
      </c>
      <c r="AF69" s="269">
        <f t="shared" si="22"/>
        <v>1.1327070147969654E-2</v>
      </c>
      <c r="AG69" s="269">
        <f t="shared" si="22"/>
        <v>1.029733649815423E-2</v>
      </c>
      <c r="AH69" s="269">
        <f t="shared" si="22"/>
        <v>9.3612149983220271E-3</v>
      </c>
      <c r="AI69" s="269">
        <f t="shared" si="22"/>
        <v>8.5101954530200224E-3</v>
      </c>
      <c r="AJ69" s="269">
        <f t="shared" si="22"/>
        <v>7.7365413209272938E-3</v>
      </c>
      <c r="AK69" s="269">
        <f t="shared" si="22"/>
        <v>7.0332193826611739E-3</v>
      </c>
      <c r="AL69" s="269">
        <f t="shared" si="22"/>
        <v>6.3938358024192505E-3</v>
      </c>
      <c r="AM69" s="269">
        <f t="shared" si="22"/>
        <v>5.8125780021993185E-3</v>
      </c>
      <c r="AN69" s="269">
        <f t="shared" si="22"/>
        <v>5.2841618201811972E-3</v>
      </c>
      <c r="AO69" s="269">
        <f t="shared" si="22"/>
        <v>4.8037834728919971E-3</v>
      </c>
      <c r="AP69" s="269">
        <f t="shared" si="22"/>
        <v>4.3670758844472704E-3</v>
      </c>
      <c r="AQ69" s="269">
        <f t="shared" si="22"/>
        <v>3.9700689858611551E-3</v>
      </c>
      <c r="AR69" s="269">
        <f t="shared" si="22"/>
        <v>3.6091536235101406E-3</v>
      </c>
      <c r="AS69" s="269">
        <f t="shared" si="22"/>
        <v>3.2810487486455817E-3</v>
      </c>
      <c r="AT69" s="269">
        <f t="shared" si="22"/>
        <v>2.9827715896778013E-3</v>
      </c>
      <c r="AU69" s="269">
        <f t="shared" si="22"/>
        <v>2.7116105360707283E-3</v>
      </c>
      <c r="AV69" s="269">
        <f t="shared" si="22"/>
        <v>2.4651004873370258E-3</v>
      </c>
      <c r="AW69" s="269">
        <f t="shared" si="22"/>
        <v>2.2410004430336596E-3</v>
      </c>
      <c r="AX69" s="269">
        <f t="shared" si="22"/>
        <v>2.0372731300305996E-3</v>
      </c>
      <c r="AY69" s="258">
        <f t="shared" si="22"/>
        <v>1.8520664818459994E-3</v>
      </c>
    </row>
    <row r="70" spans="1:51" hidden="1" outlineLevel="1" x14ac:dyDescent="0.3">
      <c r="B70" s="56" t="s">
        <v>471</v>
      </c>
      <c r="C70" s="256" t="s">
        <v>120</v>
      </c>
      <c r="D70" s="311">
        <f>D69</f>
        <v>9.0067478442797198E-3</v>
      </c>
      <c r="E70" s="311">
        <f>D70+E69</f>
        <v>2.8713536084077486E-2</v>
      </c>
      <c r="F70" s="311">
        <f t="shared" ref="F70:AY70" si="23">E70+F69</f>
        <v>5.798137664141452E-2</v>
      </c>
      <c r="G70" s="311">
        <f t="shared" si="23"/>
        <v>9.5681328209255956E-2</v>
      </c>
      <c r="H70" s="311">
        <f t="shared" si="23"/>
        <v>0.13543064040561498</v>
      </c>
      <c r="I70" s="311">
        <f t="shared" si="23"/>
        <v>0.17699927618978159</v>
      </c>
      <c r="J70" s="311">
        <f t="shared" si="23"/>
        <v>0.2201417125149463</v>
      </c>
      <c r="K70" s="311">
        <f t="shared" si="23"/>
        <v>0.26460433148473372</v>
      </c>
      <c r="L70" s="311">
        <f t="shared" si="23"/>
        <v>0.3101326166093718</v>
      </c>
      <c r="M70" s="311">
        <f t="shared" si="23"/>
        <v>0.35647622732986556</v>
      </c>
      <c r="N70" s="311">
        <f t="shared" si="23"/>
        <v>0.40339385235516467</v>
      </c>
      <c r="O70" s="311">
        <f t="shared" si="23"/>
        <v>0.45065547556078178</v>
      </c>
      <c r="P70" s="311">
        <f t="shared" si="23"/>
        <v>0.49804485137352178</v>
      </c>
      <c r="Q70" s="311">
        <f t="shared" si="23"/>
        <v>0.54536083441397076</v>
      </c>
      <c r="R70" s="311">
        <f t="shared" si="23"/>
        <v>0.58837536445074257</v>
      </c>
      <c r="S70" s="311">
        <f t="shared" si="23"/>
        <v>0.62747948266598963</v>
      </c>
      <c r="T70" s="311">
        <f t="shared" si="23"/>
        <v>0.663028681043487</v>
      </c>
      <c r="U70" s="311">
        <f t="shared" si="23"/>
        <v>0.69534613411393908</v>
      </c>
      <c r="V70" s="311">
        <f t="shared" si="23"/>
        <v>0.72472563690525915</v>
      </c>
      <c r="W70" s="311">
        <f t="shared" si="23"/>
        <v>0.75143427580645927</v>
      </c>
      <c r="X70" s="311">
        <f t="shared" si="23"/>
        <v>0.77571485662573203</v>
      </c>
      <c r="Y70" s="311">
        <f t="shared" si="23"/>
        <v>0.79778811191597998</v>
      </c>
      <c r="Z70" s="311">
        <f t="shared" si="23"/>
        <v>0.81785470763438728</v>
      </c>
      <c r="AA70" s="311">
        <f t="shared" si="23"/>
        <v>0.83609706737839384</v>
      </c>
      <c r="AB70" s="311">
        <f t="shared" si="23"/>
        <v>0.85268103078203616</v>
      </c>
      <c r="AC70" s="311">
        <f t="shared" si="23"/>
        <v>0.86775736114898383</v>
      </c>
      <c r="AD70" s="311">
        <f t="shared" si="23"/>
        <v>0.88146311602802707</v>
      </c>
      <c r="AE70" s="311">
        <f t="shared" si="23"/>
        <v>0.89392289319079365</v>
      </c>
      <c r="AF70" s="311">
        <f t="shared" si="23"/>
        <v>0.90524996333876329</v>
      </c>
      <c r="AG70" s="311">
        <f t="shared" si="23"/>
        <v>0.91554729983691752</v>
      </c>
      <c r="AH70" s="311">
        <f t="shared" si="23"/>
        <v>0.9249085148352395</v>
      </c>
      <c r="AI70" s="311">
        <f t="shared" si="23"/>
        <v>0.93341871028825951</v>
      </c>
      <c r="AJ70" s="311">
        <f t="shared" si="23"/>
        <v>0.94115525160918678</v>
      </c>
      <c r="AK70" s="311">
        <f t="shared" si="23"/>
        <v>0.948188470991848</v>
      </c>
      <c r="AL70" s="311">
        <f t="shared" si="23"/>
        <v>0.95458230679426725</v>
      </c>
      <c r="AM70" s="311">
        <f t="shared" si="23"/>
        <v>0.96039488479646662</v>
      </c>
      <c r="AN70" s="311">
        <f t="shared" si="23"/>
        <v>0.96567904661664783</v>
      </c>
      <c r="AO70" s="311">
        <f t="shared" si="23"/>
        <v>0.97048283008953984</v>
      </c>
      <c r="AP70" s="311">
        <f t="shared" si="23"/>
        <v>0.97484990597398713</v>
      </c>
      <c r="AQ70" s="311">
        <f t="shared" si="23"/>
        <v>0.97881997495984829</v>
      </c>
      <c r="AR70" s="311">
        <f t="shared" si="23"/>
        <v>0.9824291285833584</v>
      </c>
      <c r="AS70" s="311">
        <f t="shared" si="23"/>
        <v>0.98571017733200395</v>
      </c>
      <c r="AT70" s="311">
        <f t="shared" si="23"/>
        <v>0.98869294892168169</v>
      </c>
      <c r="AU70" s="311">
        <f t="shared" si="23"/>
        <v>0.99140455945775241</v>
      </c>
      <c r="AV70" s="311">
        <f t="shared" si="23"/>
        <v>0.99386965994508947</v>
      </c>
      <c r="AW70" s="311">
        <f t="shared" si="23"/>
        <v>0.99611066038812313</v>
      </c>
      <c r="AX70" s="311">
        <f t="shared" si="23"/>
        <v>0.99814793351815367</v>
      </c>
      <c r="AY70" s="312">
        <f t="shared" si="23"/>
        <v>0.99999999999999967</v>
      </c>
    </row>
    <row r="71" spans="1:51" hidden="1" outlineLevel="1" x14ac:dyDescent="0.3">
      <c r="B71" t="s">
        <v>469</v>
      </c>
    </row>
    <row r="72" spans="1:51" hidden="1" outlineLevel="1" x14ac:dyDescent="0.3">
      <c r="B72" t="s">
        <v>468</v>
      </c>
    </row>
    <row r="73" spans="1:51" hidden="1" outlineLevel="1" x14ac:dyDescent="0.3">
      <c r="B73" t="s">
        <v>472</v>
      </c>
    </row>
    <row r="74" spans="1:51" hidden="1" outlineLevel="1" x14ac:dyDescent="0.3"/>
    <row r="75" spans="1:51" hidden="1" outlineLevel="1" x14ac:dyDescent="0.3"/>
    <row r="76" spans="1:51" hidden="1" outlineLevel="1" x14ac:dyDescent="0.3">
      <c r="B76" s="54" t="s">
        <v>102</v>
      </c>
      <c r="C76" s="55" t="s">
        <v>117</v>
      </c>
      <c r="D76" t="s">
        <v>561</v>
      </c>
    </row>
    <row r="77" spans="1:51" hidden="1" outlineLevel="1" x14ac:dyDescent="0.3">
      <c r="B77" s="56" t="str">
        <f>B39</f>
        <v>예상매각가치</v>
      </c>
      <c r="C77" s="238">
        <f>C39</f>
        <v>61497.973640399985</v>
      </c>
      <c r="D77" s="315">
        <v>0.95</v>
      </c>
    </row>
    <row r="78" spans="1:51" hidden="1" outlineLevel="1" x14ac:dyDescent="0.3">
      <c r="B78" s="56" t="str">
        <f>B68</f>
        <v>Discounted FCF</v>
      </c>
      <c r="C78" s="238">
        <f>C68</f>
        <v>148775.07419111833</v>
      </c>
      <c r="D78" s="315">
        <v>0.75</v>
      </c>
    </row>
    <row r="79" spans="1:51" hidden="1" outlineLevel="1" x14ac:dyDescent="0.3">
      <c r="B79" s="56" t="s">
        <v>127</v>
      </c>
      <c r="C79" s="238">
        <f>C77-C78</f>
        <v>-87277.100550718344</v>
      </c>
      <c r="D79" s="423">
        <f>C78*D77/D78</f>
        <v>188448.42730874987</v>
      </c>
      <c r="E79" t="s">
        <v>562</v>
      </c>
    </row>
    <row r="80" spans="1:51" hidden="1" outlineLevel="1" x14ac:dyDescent="0.3">
      <c r="B80" s="56" t="s">
        <v>477</v>
      </c>
      <c r="C80" s="238">
        <f>AVERAGE(E80:F80)</f>
        <v>796.33950000000004</v>
      </c>
      <c r="D80" s="423">
        <f>C77-D79</f>
        <v>-126950.45366834989</v>
      </c>
      <c r="E80" s="249">
        <f>운영기간!Y15</f>
        <v>530.89300000000003</v>
      </c>
      <c r="F80" s="249">
        <f>운영기간!Y16</f>
        <v>1061.7860000000001</v>
      </c>
      <c r="G80" s="249">
        <f>운영기간!Y17</f>
        <v>21103.935870000001</v>
      </c>
    </row>
    <row r="81" spans="2:24" hidden="1" outlineLevel="1" x14ac:dyDescent="0.3">
      <c r="C81" s="249">
        <f>AVERAGE(E80,G80)</f>
        <v>10817.414435000001</v>
      </c>
    </row>
    <row r="82" spans="2:24" collapsed="1" x14ac:dyDescent="0.3"/>
    <row r="83" spans="2:24" x14ac:dyDescent="0.3">
      <c r="B83" s="2" t="s">
        <v>538</v>
      </c>
    </row>
    <row r="85" spans="2:24" x14ac:dyDescent="0.3">
      <c r="B85" s="597" t="s">
        <v>102</v>
      </c>
      <c r="C85" s="231"/>
      <c r="D85" s="231"/>
      <c r="E85" s="231"/>
      <c r="F85" s="231"/>
      <c r="G85" s="231"/>
      <c r="H85" s="231"/>
      <c r="I85" s="231"/>
      <c r="J85" s="231" t="s">
        <v>289</v>
      </c>
      <c r="K85" s="231" t="s">
        <v>290</v>
      </c>
      <c r="L85" s="231" t="s">
        <v>291</v>
      </c>
      <c r="M85" s="231" t="s">
        <v>292</v>
      </c>
      <c r="N85" s="231" t="s">
        <v>293</v>
      </c>
      <c r="O85" s="231" t="s">
        <v>352</v>
      </c>
      <c r="P85" s="231" t="s">
        <v>353</v>
      </c>
      <c r="Q85" s="231" t="s">
        <v>354</v>
      </c>
      <c r="R85" s="231" t="s">
        <v>355</v>
      </c>
      <c r="S85" s="231" t="s">
        <v>356</v>
      </c>
      <c r="T85" s="231" t="s">
        <v>357</v>
      </c>
      <c r="U85" s="231" t="s">
        <v>358</v>
      </c>
      <c r="V85" s="231" t="s">
        <v>359</v>
      </c>
      <c r="W85" s="295" t="s">
        <v>360</v>
      </c>
      <c r="X85" s="295" t="s">
        <v>589</v>
      </c>
    </row>
    <row r="86" spans="2:24" x14ac:dyDescent="0.3">
      <c r="B86" s="597"/>
      <c r="C86" s="291">
        <v>2017</v>
      </c>
      <c r="D86" s="291">
        <v>2018</v>
      </c>
      <c r="E86" s="291">
        <v>2019</v>
      </c>
      <c r="F86" s="291">
        <v>2020</v>
      </c>
      <c r="G86" s="291">
        <v>2021</v>
      </c>
      <c r="H86" s="291">
        <v>2022</v>
      </c>
      <c r="I86" s="291">
        <v>2023</v>
      </c>
      <c r="J86" s="291">
        <v>2024</v>
      </c>
      <c r="K86" s="291" t="s">
        <v>332</v>
      </c>
      <c r="L86" s="291" t="s">
        <v>333</v>
      </c>
      <c r="M86" s="291" t="s">
        <v>334</v>
      </c>
      <c r="N86" s="291" t="s">
        <v>335</v>
      </c>
      <c r="O86" s="291" t="s">
        <v>336</v>
      </c>
      <c r="P86" s="291" t="s">
        <v>361</v>
      </c>
      <c r="Q86" s="291" t="s">
        <v>362</v>
      </c>
      <c r="R86" s="291" t="s">
        <v>363</v>
      </c>
      <c r="S86" s="291" t="s">
        <v>364</v>
      </c>
      <c r="T86" s="291" t="s">
        <v>365</v>
      </c>
      <c r="U86" s="291" t="s">
        <v>366</v>
      </c>
      <c r="V86" s="291" t="s">
        <v>367</v>
      </c>
      <c r="W86" s="291" t="s">
        <v>368</v>
      </c>
      <c r="X86" s="296" t="s">
        <v>369</v>
      </c>
    </row>
    <row r="87" spans="2:24" x14ac:dyDescent="0.3">
      <c r="B87" s="283" t="s">
        <v>341</v>
      </c>
      <c r="C87" s="377">
        <v>45242</v>
      </c>
      <c r="D87" s="377">
        <v>55370</v>
      </c>
      <c r="E87" s="377">
        <v>61666</v>
      </c>
      <c r="F87" s="377">
        <v>75844</v>
      </c>
      <c r="G87" s="377">
        <v>94005</v>
      </c>
      <c r="H87" s="377">
        <v>99082</v>
      </c>
      <c r="I87" s="378">
        <f>SUM(I89:I93)</f>
        <v>106716</v>
      </c>
      <c r="J87" s="378">
        <f t="shared" ref="J87:L87" si="24">SUM(J89:J93)</f>
        <v>110567</v>
      </c>
      <c r="K87" s="378">
        <f t="shared" si="24"/>
        <v>115116</v>
      </c>
      <c r="L87" s="378">
        <f t="shared" si="24"/>
        <v>117838</v>
      </c>
      <c r="M87" s="379">
        <f>L87</f>
        <v>117838</v>
      </c>
      <c r="N87" s="379">
        <f t="shared" ref="N87:X87" si="25">M87</f>
        <v>117838</v>
      </c>
      <c r="O87" s="379">
        <f t="shared" si="25"/>
        <v>117838</v>
      </c>
      <c r="P87" s="379">
        <f t="shared" si="25"/>
        <v>117838</v>
      </c>
      <c r="Q87" s="379">
        <f t="shared" si="25"/>
        <v>117838</v>
      </c>
      <c r="R87" s="379">
        <f t="shared" si="25"/>
        <v>117838</v>
      </c>
      <c r="S87" s="379">
        <f t="shared" si="25"/>
        <v>117838</v>
      </c>
      <c r="T87" s="379">
        <f t="shared" si="25"/>
        <v>117838</v>
      </c>
      <c r="U87" s="379">
        <f t="shared" si="25"/>
        <v>117838</v>
      </c>
      <c r="V87" s="379">
        <f t="shared" si="25"/>
        <v>117838</v>
      </c>
      <c r="W87" s="379">
        <f t="shared" si="25"/>
        <v>117838</v>
      </c>
      <c r="X87" s="379">
        <f t="shared" si="25"/>
        <v>117838</v>
      </c>
    </row>
    <row r="88" spans="2:24" x14ac:dyDescent="0.3">
      <c r="B88" s="372" t="s">
        <v>539</v>
      </c>
      <c r="C88" s="380"/>
      <c r="D88" s="380">
        <f>D87/C87-1</f>
        <v>0.22386278237036383</v>
      </c>
      <c r="E88" s="380">
        <f>E87/D87-1</f>
        <v>0.11370778399855519</v>
      </c>
      <c r="F88" s="380">
        <f>F87/E87-1</f>
        <v>0.22991599909188198</v>
      </c>
      <c r="G88" s="380">
        <f>G87/F87-1</f>
        <v>0.23945203312061603</v>
      </c>
      <c r="H88" s="380">
        <f>H87/G87-1</f>
        <v>5.4007765544386022E-2</v>
      </c>
      <c r="I88" s="380">
        <f t="shared" ref="I88:M88" si="26">I87/H87-1</f>
        <v>7.7047294160392354E-2</v>
      </c>
      <c r="J88" s="380">
        <f t="shared" si="26"/>
        <v>3.6086435023801489E-2</v>
      </c>
      <c r="K88" s="380">
        <f t="shared" si="26"/>
        <v>4.1142474698599107E-2</v>
      </c>
      <c r="L88" s="380">
        <f t="shared" si="26"/>
        <v>2.3645713888599262E-2</v>
      </c>
      <c r="M88" s="381">
        <f t="shared" si="26"/>
        <v>0</v>
      </c>
      <c r="N88" s="382"/>
      <c r="O88" s="382"/>
      <c r="P88" s="382"/>
      <c r="Q88" s="382"/>
      <c r="R88" s="382"/>
    </row>
    <row r="89" spans="2:24" x14ac:dyDescent="0.3">
      <c r="B89" s="373" t="s">
        <v>540</v>
      </c>
      <c r="C89" s="383">
        <v>37998</v>
      </c>
      <c r="D89" s="383">
        <v>44306</v>
      </c>
      <c r="E89" s="383">
        <v>47842</v>
      </c>
      <c r="F89" s="383">
        <v>55795</v>
      </c>
      <c r="G89" s="383">
        <v>58700</v>
      </c>
      <c r="H89" s="383">
        <v>64505</v>
      </c>
      <c r="I89" s="383">
        <v>67174</v>
      </c>
      <c r="J89" s="383">
        <v>71339</v>
      </c>
      <c r="K89" s="383">
        <v>74192</v>
      </c>
      <c r="L89" s="383">
        <v>77457</v>
      </c>
      <c r="M89" s="384">
        <f>L89</f>
        <v>77457</v>
      </c>
      <c r="N89" s="384">
        <f t="shared" ref="N89:X92" si="27">M89</f>
        <v>77457</v>
      </c>
      <c r="O89" s="384">
        <f t="shared" si="27"/>
        <v>77457</v>
      </c>
      <c r="P89" s="384">
        <f t="shared" si="27"/>
        <v>77457</v>
      </c>
      <c r="Q89" s="384">
        <f t="shared" si="27"/>
        <v>77457</v>
      </c>
      <c r="R89" s="384">
        <f t="shared" si="27"/>
        <v>77457</v>
      </c>
      <c r="S89" s="384">
        <f t="shared" si="27"/>
        <v>77457</v>
      </c>
      <c r="T89" s="384">
        <f t="shared" si="27"/>
        <v>77457</v>
      </c>
      <c r="U89" s="384">
        <f t="shared" si="27"/>
        <v>77457</v>
      </c>
      <c r="V89" s="384">
        <f t="shared" si="27"/>
        <v>77457</v>
      </c>
      <c r="W89" s="384">
        <f t="shared" si="27"/>
        <v>77457</v>
      </c>
      <c r="X89" s="384">
        <f t="shared" si="27"/>
        <v>77457</v>
      </c>
    </row>
    <row r="90" spans="2:24" x14ac:dyDescent="0.3">
      <c r="B90" s="373" t="s">
        <v>541</v>
      </c>
      <c r="C90" s="383">
        <v>7244</v>
      </c>
      <c r="D90" s="383">
        <v>9047</v>
      </c>
      <c r="E90" s="383">
        <v>9444</v>
      </c>
      <c r="F90" s="383">
        <v>10238</v>
      </c>
      <c r="G90" s="383">
        <v>18487</v>
      </c>
      <c r="H90" s="383">
        <v>18972</v>
      </c>
      <c r="I90" s="383">
        <v>20000</v>
      </c>
      <c r="J90" s="383">
        <v>20400</v>
      </c>
      <c r="K90" s="383">
        <v>20700</v>
      </c>
      <c r="L90" s="383">
        <v>21100</v>
      </c>
      <c r="M90" s="384">
        <f t="shared" ref="M90:Q92" si="28">L90</f>
        <v>21100</v>
      </c>
      <c r="N90" s="384">
        <f t="shared" si="28"/>
        <v>21100</v>
      </c>
      <c r="O90" s="384">
        <f t="shared" si="28"/>
        <v>21100</v>
      </c>
      <c r="P90" s="384">
        <f t="shared" si="28"/>
        <v>21100</v>
      </c>
      <c r="Q90" s="384">
        <f t="shared" si="28"/>
        <v>21100</v>
      </c>
      <c r="R90" s="384">
        <f t="shared" si="27"/>
        <v>21100</v>
      </c>
      <c r="S90" s="384">
        <f t="shared" si="27"/>
        <v>21100</v>
      </c>
      <c r="T90" s="384">
        <f t="shared" si="27"/>
        <v>21100</v>
      </c>
      <c r="U90" s="384">
        <f t="shared" si="27"/>
        <v>21100</v>
      </c>
      <c r="V90" s="384">
        <f t="shared" si="27"/>
        <v>21100</v>
      </c>
      <c r="W90" s="384">
        <f t="shared" si="27"/>
        <v>21100</v>
      </c>
      <c r="X90" s="384">
        <f t="shared" si="27"/>
        <v>21100</v>
      </c>
    </row>
    <row r="91" spans="2:24" x14ac:dyDescent="0.3">
      <c r="B91" s="373" t="s">
        <v>542</v>
      </c>
      <c r="C91" s="383"/>
      <c r="D91" s="383"/>
      <c r="E91" s="383"/>
      <c r="F91" s="383">
        <v>2489</v>
      </c>
      <c r="G91" s="383">
        <v>5100</v>
      </c>
      <c r="H91" s="383">
        <v>5934</v>
      </c>
      <c r="I91" s="383">
        <v>7503</v>
      </c>
      <c r="J91" s="383">
        <v>7993</v>
      </c>
      <c r="K91" s="383">
        <v>8305</v>
      </c>
      <c r="L91" s="383">
        <v>8554</v>
      </c>
      <c r="M91" s="384">
        <f t="shared" si="28"/>
        <v>8554</v>
      </c>
      <c r="N91" s="384">
        <f t="shared" si="28"/>
        <v>8554</v>
      </c>
      <c r="O91" s="384">
        <f t="shared" si="28"/>
        <v>8554</v>
      </c>
      <c r="P91" s="384">
        <f t="shared" si="28"/>
        <v>8554</v>
      </c>
      <c r="Q91" s="384">
        <f t="shared" si="28"/>
        <v>8554</v>
      </c>
      <c r="R91" s="384">
        <f t="shared" si="27"/>
        <v>8554</v>
      </c>
      <c r="S91" s="384">
        <f t="shared" si="27"/>
        <v>8554</v>
      </c>
      <c r="T91" s="384">
        <f t="shared" si="27"/>
        <v>8554</v>
      </c>
      <c r="U91" s="384">
        <f t="shared" si="27"/>
        <v>8554</v>
      </c>
      <c r="V91" s="384">
        <f t="shared" si="27"/>
        <v>8554</v>
      </c>
      <c r="W91" s="384">
        <f t="shared" si="27"/>
        <v>8554</v>
      </c>
      <c r="X91" s="384">
        <f t="shared" si="27"/>
        <v>8554</v>
      </c>
    </row>
    <row r="92" spans="2:24" x14ac:dyDescent="0.3">
      <c r="B92" s="373" t="s">
        <v>543</v>
      </c>
      <c r="C92" s="383"/>
      <c r="D92" s="383">
        <v>2017</v>
      </c>
      <c r="E92" s="383">
        <v>4380</v>
      </c>
      <c r="F92" s="383">
        <v>7322</v>
      </c>
      <c r="G92" s="383">
        <v>11718</v>
      </c>
      <c r="H92" s="383">
        <v>9671</v>
      </c>
      <c r="I92" s="383">
        <v>12039</v>
      </c>
      <c r="J92" s="383">
        <v>10835</v>
      </c>
      <c r="K92" s="383">
        <v>11919</v>
      </c>
      <c r="L92" s="383">
        <v>10727</v>
      </c>
      <c r="M92" s="384">
        <f t="shared" si="28"/>
        <v>10727</v>
      </c>
      <c r="N92" s="384">
        <f t="shared" si="28"/>
        <v>10727</v>
      </c>
      <c r="O92" s="384">
        <f t="shared" si="28"/>
        <v>10727</v>
      </c>
      <c r="P92" s="384">
        <f t="shared" si="28"/>
        <v>10727</v>
      </c>
      <c r="Q92" s="384">
        <f t="shared" si="28"/>
        <v>10727</v>
      </c>
      <c r="R92" s="384">
        <f t="shared" si="27"/>
        <v>10727</v>
      </c>
      <c r="S92" s="384">
        <f t="shared" si="27"/>
        <v>10727</v>
      </c>
      <c r="T92" s="384">
        <f t="shared" si="27"/>
        <v>10727</v>
      </c>
      <c r="U92" s="384">
        <f t="shared" si="27"/>
        <v>10727</v>
      </c>
      <c r="V92" s="384">
        <f t="shared" si="27"/>
        <v>10727</v>
      </c>
      <c r="W92" s="384">
        <f t="shared" si="27"/>
        <v>10727</v>
      </c>
      <c r="X92" s="384">
        <f t="shared" si="27"/>
        <v>10727</v>
      </c>
    </row>
    <row r="93" spans="2:24" x14ac:dyDescent="0.3">
      <c r="B93" s="374" t="s">
        <v>544</v>
      </c>
      <c r="C93" s="385"/>
      <c r="D93" s="385"/>
      <c r="E93" s="385"/>
      <c r="F93" s="385"/>
      <c r="G93" s="385"/>
      <c r="H93" s="385"/>
      <c r="I93" s="385"/>
      <c r="J93" s="385"/>
      <c r="K93" s="385"/>
      <c r="L93" s="385"/>
      <c r="M93" s="386"/>
      <c r="N93" s="387"/>
      <c r="O93" s="387"/>
      <c r="P93" s="387"/>
      <c r="Q93" s="387"/>
      <c r="R93" s="387"/>
    </row>
    <row r="94" spans="2:24" x14ac:dyDescent="0.3">
      <c r="B94" s="375" t="s">
        <v>545</v>
      </c>
      <c r="C94" s="388">
        <f>SUM(C95:C100)</f>
        <v>38382</v>
      </c>
      <c r="D94" s="377">
        <v>49887</v>
      </c>
      <c r="E94" s="377">
        <v>54492</v>
      </c>
      <c r="F94" s="377">
        <v>68858</v>
      </c>
      <c r="G94" s="377">
        <v>85241</v>
      </c>
      <c r="H94" s="377">
        <v>88974</v>
      </c>
      <c r="I94" s="482">
        <f>I87*I95</f>
        <v>96886.376351458253</v>
      </c>
      <c r="J94" s="482">
        <f t="shared" ref="J94:X94" si="29">J87*J95</f>
        <v>100382.66027635674</v>
      </c>
      <c r="K94" s="482">
        <f t="shared" si="29"/>
        <v>104512.6513369548</v>
      </c>
      <c r="L94" s="482">
        <f t="shared" si="29"/>
        <v>106983.92758820737</v>
      </c>
      <c r="M94" s="482">
        <f t="shared" si="29"/>
        <v>106983.92758820737</v>
      </c>
      <c r="N94" s="482">
        <f t="shared" si="29"/>
        <v>106983.92758820737</v>
      </c>
      <c r="O94" s="482">
        <f t="shared" si="29"/>
        <v>106983.92758820737</v>
      </c>
      <c r="P94" s="482">
        <f t="shared" si="29"/>
        <v>106983.92758820737</v>
      </c>
      <c r="Q94" s="482">
        <f t="shared" si="29"/>
        <v>106983.92758820737</v>
      </c>
      <c r="R94" s="482">
        <f t="shared" si="29"/>
        <v>106983.92758820737</v>
      </c>
      <c r="S94" s="482">
        <f t="shared" si="29"/>
        <v>106983.92758820737</v>
      </c>
      <c r="T94" s="482">
        <f t="shared" si="29"/>
        <v>106983.92758820737</v>
      </c>
      <c r="U94" s="482">
        <f t="shared" si="29"/>
        <v>106983.92758820737</v>
      </c>
      <c r="V94" s="482">
        <f t="shared" si="29"/>
        <v>106983.92758820737</v>
      </c>
      <c r="W94" s="482">
        <f t="shared" si="29"/>
        <v>106983.92758820737</v>
      </c>
      <c r="X94" s="483">
        <f t="shared" si="29"/>
        <v>106983.92758820737</v>
      </c>
    </row>
    <row r="95" spans="2:24" x14ac:dyDescent="0.3">
      <c r="B95" s="372" t="s">
        <v>546</v>
      </c>
      <c r="C95" s="380"/>
      <c r="D95" s="380">
        <f>D94/D87</f>
        <v>0.90097525735958095</v>
      </c>
      <c r="E95" s="380">
        <f>E94/E87</f>
        <v>0.88366360717413162</v>
      </c>
      <c r="F95" s="380">
        <f>F94/F87</f>
        <v>0.90788987922577924</v>
      </c>
      <c r="G95" s="380">
        <f>G94/G87</f>
        <v>0.90677091644061492</v>
      </c>
      <c r="H95" s="380">
        <f>H94/H87</f>
        <v>0.89798348842372988</v>
      </c>
      <c r="I95" s="484">
        <f>MAX(D95:H95)</f>
        <v>0.90788987922577924</v>
      </c>
      <c r="J95" s="484">
        <f>I95</f>
        <v>0.90788987922577924</v>
      </c>
      <c r="K95" s="484">
        <f t="shared" ref="K95:X95" si="30">J95</f>
        <v>0.90788987922577924</v>
      </c>
      <c r="L95" s="484">
        <f t="shared" si="30"/>
        <v>0.90788987922577924</v>
      </c>
      <c r="M95" s="484">
        <f t="shared" si="30"/>
        <v>0.90788987922577924</v>
      </c>
      <c r="N95" s="484">
        <f t="shared" si="30"/>
        <v>0.90788987922577924</v>
      </c>
      <c r="O95" s="484">
        <f t="shared" si="30"/>
        <v>0.90788987922577924</v>
      </c>
      <c r="P95" s="484">
        <f t="shared" si="30"/>
        <v>0.90788987922577924</v>
      </c>
      <c r="Q95" s="484">
        <f t="shared" si="30"/>
        <v>0.90788987922577924</v>
      </c>
      <c r="R95" s="484">
        <f t="shared" si="30"/>
        <v>0.90788987922577924</v>
      </c>
      <c r="S95" s="484">
        <f t="shared" si="30"/>
        <v>0.90788987922577924</v>
      </c>
      <c r="T95" s="484">
        <f t="shared" si="30"/>
        <v>0.90788987922577924</v>
      </c>
      <c r="U95" s="484">
        <f t="shared" si="30"/>
        <v>0.90788987922577924</v>
      </c>
      <c r="V95" s="484">
        <f t="shared" si="30"/>
        <v>0.90788987922577924</v>
      </c>
      <c r="W95" s="484">
        <f t="shared" si="30"/>
        <v>0.90788987922577924</v>
      </c>
      <c r="X95" s="484">
        <f t="shared" si="30"/>
        <v>0.90788987922577924</v>
      </c>
    </row>
    <row r="96" spans="2:24" hidden="1" outlineLevel="1" x14ac:dyDescent="0.3">
      <c r="B96" s="373" t="s">
        <v>540</v>
      </c>
      <c r="C96" s="383">
        <v>33289</v>
      </c>
      <c r="D96" s="383">
        <v>39586</v>
      </c>
      <c r="E96" s="383">
        <v>42951</v>
      </c>
      <c r="F96" s="383">
        <v>53399</v>
      </c>
      <c r="G96" s="383">
        <v>55303</v>
      </c>
      <c r="H96" s="383">
        <v>60154</v>
      </c>
      <c r="I96" s="383">
        <v>59514</v>
      </c>
      <c r="J96" s="383">
        <v>63144</v>
      </c>
      <c r="K96" s="383">
        <v>65670</v>
      </c>
      <c r="L96" s="383">
        <v>68034</v>
      </c>
      <c r="M96" s="384">
        <f t="shared" ref="M96:X99" si="31">L96</f>
        <v>68034</v>
      </c>
      <c r="N96" s="384">
        <f t="shared" si="31"/>
        <v>68034</v>
      </c>
      <c r="O96" s="384">
        <f t="shared" si="31"/>
        <v>68034</v>
      </c>
      <c r="P96" s="384">
        <f t="shared" si="31"/>
        <v>68034</v>
      </c>
      <c r="Q96" s="384">
        <f t="shared" si="31"/>
        <v>68034</v>
      </c>
      <c r="R96" s="384">
        <f t="shared" si="31"/>
        <v>68034</v>
      </c>
      <c r="S96" s="384">
        <f t="shared" si="31"/>
        <v>68034</v>
      </c>
      <c r="T96" s="384">
        <f t="shared" si="31"/>
        <v>68034</v>
      </c>
      <c r="U96" s="384">
        <f t="shared" si="31"/>
        <v>68034</v>
      </c>
      <c r="V96" s="384">
        <f t="shared" si="31"/>
        <v>68034</v>
      </c>
      <c r="W96" s="384">
        <f t="shared" si="31"/>
        <v>68034</v>
      </c>
      <c r="X96" s="384">
        <f t="shared" si="31"/>
        <v>68034</v>
      </c>
    </row>
    <row r="97" spans="2:24" hidden="1" outlineLevel="1" x14ac:dyDescent="0.3">
      <c r="B97" s="373" t="s">
        <v>541</v>
      </c>
      <c r="C97" s="383">
        <v>5093</v>
      </c>
      <c r="D97" s="383">
        <v>8350</v>
      </c>
      <c r="E97" s="383">
        <v>7206</v>
      </c>
      <c r="F97" s="383">
        <v>5561</v>
      </c>
      <c r="G97" s="383">
        <v>13852</v>
      </c>
      <c r="H97" s="383">
        <v>14259</v>
      </c>
      <c r="I97" s="383">
        <v>18263</v>
      </c>
      <c r="J97" s="383">
        <v>18600</v>
      </c>
      <c r="K97" s="383">
        <v>18850</v>
      </c>
      <c r="L97" s="383">
        <v>19170</v>
      </c>
      <c r="M97" s="384">
        <f t="shared" si="31"/>
        <v>19170</v>
      </c>
      <c r="N97" s="384">
        <f t="shared" si="31"/>
        <v>19170</v>
      </c>
      <c r="O97" s="384">
        <f t="shared" si="31"/>
        <v>19170</v>
      </c>
      <c r="P97" s="384">
        <f t="shared" si="31"/>
        <v>19170</v>
      </c>
      <c r="Q97" s="384">
        <f t="shared" si="31"/>
        <v>19170</v>
      </c>
      <c r="R97" s="384">
        <f t="shared" si="31"/>
        <v>19170</v>
      </c>
      <c r="S97" s="384">
        <f t="shared" si="31"/>
        <v>19170</v>
      </c>
      <c r="T97" s="384">
        <f t="shared" si="31"/>
        <v>19170</v>
      </c>
      <c r="U97" s="384">
        <f t="shared" si="31"/>
        <v>19170</v>
      </c>
      <c r="V97" s="384">
        <f t="shared" si="31"/>
        <v>19170</v>
      </c>
      <c r="W97" s="384">
        <f t="shared" si="31"/>
        <v>19170</v>
      </c>
      <c r="X97" s="384">
        <f t="shared" si="31"/>
        <v>19170</v>
      </c>
    </row>
    <row r="98" spans="2:24" hidden="1" outlineLevel="1" x14ac:dyDescent="0.3">
      <c r="B98" s="373" t="s">
        <v>542</v>
      </c>
      <c r="C98" s="383"/>
      <c r="D98" s="383"/>
      <c r="E98" s="383"/>
      <c r="F98" s="383">
        <v>2698</v>
      </c>
      <c r="G98" s="383">
        <v>4901</v>
      </c>
      <c r="H98" s="383">
        <v>5201</v>
      </c>
      <c r="I98" s="383">
        <v>6139</v>
      </c>
      <c r="J98" s="383">
        <v>6502</v>
      </c>
      <c r="K98" s="383">
        <v>6760</v>
      </c>
      <c r="L98" s="383">
        <v>6963</v>
      </c>
      <c r="M98" s="384">
        <f t="shared" si="31"/>
        <v>6963</v>
      </c>
      <c r="N98" s="384">
        <f t="shared" si="31"/>
        <v>6963</v>
      </c>
      <c r="O98" s="384">
        <f t="shared" si="31"/>
        <v>6963</v>
      </c>
      <c r="P98" s="384">
        <f t="shared" si="31"/>
        <v>6963</v>
      </c>
      <c r="Q98" s="384">
        <f t="shared" si="31"/>
        <v>6963</v>
      </c>
      <c r="R98" s="384">
        <f t="shared" si="31"/>
        <v>6963</v>
      </c>
      <c r="S98" s="384">
        <f t="shared" si="31"/>
        <v>6963</v>
      </c>
      <c r="T98" s="384">
        <f t="shared" si="31"/>
        <v>6963</v>
      </c>
      <c r="U98" s="384">
        <f t="shared" si="31"/>
        <v>6963</v>
      </c>
      <c r="V98" s="384">
        <f t="shared" si="31"/>
        <v>6963</v>
      </c>
      <c r="W98" s="384">
        <f t="shared" si="31"/>
        <v>6963</v>
      </c>
      <c r="X98" s="384">
        <f t="shared" si="31"/>
        <v>6963</v>
      </c>
    </row>
    <row r="99" spans="2:24" hidden="1" outlineLevel="1" x14ac:dyDescent="0.3">
      <c r="B99" s="373" t="s">
        <v>543</v>
      </c>
      <c r="C99" s="383"/>
      <c r="D99" s="383">
        <v>1951</v>
      </c>
      <c r="E99" s="383">
        <v>4335</v>
      </c>
      <c r="F99" s="383">
        <v>7200</v>
      </c>
      <c r="G99" s="383">
        <v>11185</v>
      </c>
      <c r="H99" s="383">
        <v>9360</v>
      </c>
      <c r="I99" s="383">
        <v>11819</v>
      </c>
      <c r="J99" s="383">
        <v>10519</v>
      </c>
      <c r="K99" s="383">
        <v>11571</v>
      </c>
      <c r="L99" s="383">
        <v>10414</v>
      </c>
      <c r="M99" s="384">
        <f t="shared" si="31"/>
        <v>10414</v>
      </c>
      <c r="N99" s="384">
        <f t="shared" si="31"/>
        <v>10414</v>
      </c>
      <c r="O99" s="384">
        <f t="shared" si="31"/>
        <v>10414</v>
      </c>
      <c r="P99" s="384">
        <f t="shared" si="31"/>
        <v>10414</v>
      </c>
      <c r="Q99" s="384">
        <f t="shared" si="31"/>
        <v>10414</v>
      </c>
      <c r="R99" s="384">
        <f t="shared" si="31"/>
        <v>10414</v>
      </c>
      <c r="S99" s="384">
        <f t="shared" si="31"/>
        <v>10414</v>
      </c>
      <c r="T99" s="384">
        <f t="shared" si="31"/>
        <v>10414</v>
      </c>
      <c r="U99" s="384">
        <f t="shared" si="31"/>
        <v>10414</v>
      </c>
      <c r="V99" s="384">
        <f t="shared" si="31"/>
        <v>10414</v>
      </c>
      <c r="W99" s="384">
        <f t="shared" si="31"/>
        <v>10414</v>
      </c>
      <c r="X99" s="384">
        <f t="shared" si="31"/>
        <v>10414</v>
      </c>
    </row>
    <row r="100" spans="2:24" hidden="1" outlineLevel="1" x14ac:dyDescent="0.3">
      <c r="B100" s="374" t="s">
        <v>544</v>
      </c>
      <c r="C100" s="385"/>
      <c r="D100" s="385"/>
      <c r="E100" s="385"/>
      <c r="F100" s="385"/>
      <c r="G100" s="385"/>
      <c r="H100" s="385"/>
      <c r="I100" s="385"/>
      <c r="J100" s="385"/>
      <c r="K100" s="385"/>
      <c r="L100" s="385"/>
      <c r="M100" s="386"/>
      <c r="N100" s="387"/>
      <c r="O100" s="387"/>
      <c r="P100" s="387"/>
      <c r="Q100" s="387"/>
      <c r="R100" s="387"/>
    </row>
    <row r="101" spans="2:24" collapsed="1" x14ac:dyDescent="0.3">
      <c r="B101" s="376" t="s">
        <v>547</v>
      </c>
      <c r="C101" s="389">
        <f>C87-C94</f>
        <v>6860</v>
      </c>
      <c r="D101" s="389">
        <v>5483</v>
      </c>
      <c r="E101" s="389">
        <v>7174</v>
      </c>
      <c r="F101" s="389">
        <v>6986</v>
      </c>
      <c r="G101" s="389">
        <v>8764</v>
      </c>
      <c r="H101" s="389">
        <v>10108</v>
      </c>
      <c r="I101" s="389">
        <f>I87-I94</f>
        <v>9829.6236485417467</v>
      </c>
      <c r="J101" s="389">
        <f>J87-J94</f>
        <v>10184.339723643265</v>
      </c>
      <c r="K101" s="389">
        <f>K87-K94</f>
        <v>10603.348663045195</v>
      </c>
      <c r="L101" s="389">
        <f>L87-L94</f>
        <v>10854.072411792629</v>
      </c>
      <c r="M101" s="390">
        <f>M87-M94</f>
        <v>10854.072411792629</v>
      </c>
      <c r="N101" s="390">
        <f t="shared" ref="N101:X101" si="32">N87-N94</f>
        <v>10854.072411792629</v>
      </c>
      <c r="O101" s="390">
        <f t="shared" si="32"/>
        <v>10854.072411792629</v>
      </c>
      <c r="P101" s="390">
        <f t="shared" si="32"/>
        <v>10854.072411792629</v>
      </c>
      <c r="Q101" s="390">
        <f t="shared" si="32"/>
        <v>10854.072411792629</v>
      </c>
      <c r="R101" s="390">
        <f t="shared" si="32"/>
        <v>10854.072411792629</v>
      </c>
      <c r="S101" s="390">
        <f t="shared" si="32"/>
        <v>10854.072411792629</v>
      </c>
      <c r="T101" s="390">
        <f t="shared" si="32"/>
        <v>10854.072411792629</v>
      </c>
      <c r="U101" s="390">
        <f t="shared" si="32"/>
        <v>10854.072411792629</v>
      </c>
      <c r="V101" s="390">
        <f t="shared" si="32"/>
        <v>10854.072411792629</v>
      </c>
      <c r="W101" s="390">
        <f t="shared" si="32"/>
        <v>10854.072411792629</v>
      </c>
      <c r="X101" s="390">
        <f t="shared" si="32"/>
        <v>10854.072411792629</v>
      </c>
    </row>
    <row r="102" spans="2:24" x14ac:dyDescent="0.3">
      <c r="B102" s="376" t="s">
        <v>548</v>
      </c>
      <c r="C102" s="389">
        <v>5475</v>
      </c>
      <c r="D102" s="389">
        <v>6646</v>
      </c>
      <c r="E102" s="389">
        <v>6702</v>
      </c>
      <c r="F102" s="389">
        <v>6505</v>
      </c>
      <c r="G102" s="389">
        <v>6912</v>
      </c>
      <c r="H102" s="389">
        <v>7222</v>
      </c>
      <c r="I102" s="426">
        <v>7417</v>
      </c>
      <c r="J102" s="426">
        <v>7763</v>
      </c>
      <c r="K102" s="426">
        <v>8126</v>
      </c>
      <c r="L102" s="426">
        <v>8504</v>
      </c>
      <c r="M102" s="427">
        <f>L102</f>
        <v>8504</v>
      </c>
      <c r="N102" s="427">
        <f t="shared" ref="N102:X102" si="33">M102</f>
        <v>8504</v>
      </c>
      <c r="O102" s="427">
        <f t="shared" si="33"/>
        <v>8504</v>
      </c>
      <c r="P102" s="427">
        <f t="shared" si="33"/>
        <v>8504</v>
      </c>
      <c r="Q102" s="427">
        <f t="shared" si="33"/>
        <v>8504</v>
      </c>
      <c r="R102" s="427">
        <f t="shared" si="33"/>
        <v>8504</v>
      </c>
      <c r="S102" s="427">
        <f t="shared" si="33"/>
        <v>8504</v>
      </c>
      <c r="T102" s="427">
        <f t="shared" si="33"/>
        <v>8504</v>
      </c>
      <c r="U102" s="427">
        <f t="shared" si="33"/>
        <v>8504</v>
      </c>
      <c r="V102" s="427">
        <f t="shared" si="33"/>
        <v>8504</v>
      </c>
      <c r="W102" s="427">
        <f t="shared" si="33"/>
        <v>8504</v>
      </c>
      <c r="X102" s="427">
        <f t="shared" si="33"/>
        <v>8504</v>
      </c>
    </row>
    <row r="103" spans="2:24" x14ac:dyDescent="0.3">
      <c r="B103" s="376" t="s">
        <v>345</v>
      </c>
      <c r="C103" s="389">
        <f>C101-C102</f>
        <v>1385</v>
      </c>
      <c r="D103" s="389">
        <f>D101-D102</f>
        <v>-1163</v>
      </c>
      <c r="E103" s="389">
        <f t="shared" ref="E103:X103" si="34">E101-E102</f>
        <v>472</v>
      </c>
      <c r="F103" s="389">
        <f t="shared" si="34"/>
        <v>481</v>
      </c>
      <c r="G103" s="389">
        <f t="shared" si="34"/>
        <v>1852</v>
      </c>
      <c r="H103" s="389">
        <f t="shared" si="34"/>
        <v>2886</v>
      </c>
      <c r="I103" s="389">
        <f t="shared" si="34"/>
        <v>2412.6236485417467</v>
      </c>
      <c r="J103" s="389">
        <f t="shared" si="34"/>
        <v>2421.3397236432647</v>
      </c>
      <c r="K103" s="389">
        <f t="shared" si="34"/>
        <v>2477.3486630451953</v>
      </c>
      <c r="L103" s="389">
        <f t="shared" si="34"/>
        <v>2350.0724117926293</v>
      </c>
      <c r="M103" s="390">
        <f t="shared" si="34"/>
        <v>2350.0724117926293</v>
      </c>
      <c r="N103" s="390">
        <f t="shared" si="34"/>
        <v>2350.0724117926293</v>
      </c>
      <c r="O103" s="390">
        <f t="shared" si="34"/>
        <v>2350.0724117926293</v>
      </c>
      <c r="P103" s="390">
        <f t="shared" si="34"/>
        <v>2350.0724117926293</v>
      </c>
      <c r="Q103" s="390">
        <f t="shared" si="34"/>
        <v>2350.0724117926293</v>
      </c>
      <c r="R103" s="390">
        <f t="shared" si="34"/>
        <v>2350.0724117926293</v>
      </c>
      <c r="S103" s="390">
        <f t="shared" si="34"/>
        <v>2350.0724117926293</v>
      </c>
      <c r="T103" s="390">
        <f t="shared" si="34"/>
        <v>2350.0724117926293</v>
      </c>
      <c r="U103" s="390">
        <f t="shared" si="34"/>
        <v>2350.0724117926293</v>
      </c>
      <c r="V103" s="390">
        <f t="shared" si="34"/>
        <v>2350.0724117926293</v>
      </c>
      <c r="W103" s="390">
        <f t="shared" si="34"/>
        <v>2350.0724117926293</v>
      </c>
      <c r="X103" s="390">
        <f t="shared" si="34"/>
        <v>2350.0724117926293</v>
      </c>
    </row>
    <row r="104" spans="2:24" x14ac:dyDescent="0.3">
      <c r="C104" s="249"/>
      <c r="D104" s="249"/>
      <c r="E104" s="249"/>
      <c r="F104" s="249"/>
      <c r="G104" s="249"/>
      <c r="H104" s="249"/>
      <c r="I104" s="249"/>
      <c r="J104" s="249"/>
      <c r="K104" s="249"/>
      <c r="L104" s="249"/>
      <c r="M104" s="249"/>
      <c r="N104" s="249"/>
      <c r="O104" s="249"/>
      <c r="P104" s="249"/>
      <c r="Q104" s="249"/>
      <c r="R104" s="249"/>
      <c r="S104" s="249"/>
      <c r="T104" s="249"/>
      <c r="U104" s="249"/>
      <c r="V104" s="249"/>
      <c r="W104" s="249"/>
      <c r="X104" s="249"/>
    </row>
    <row r="105" spans="2:24" x14ac:dyDescent="0.3">
      <c r="C105" s="249"/>
      <c r="D105" s="249"/>
      <c r="E105" s="249"/>
      <c r="F105" s="249"/>
      <c r="G105" s="249"/>
      <c r="H105" s="255">
        <v>10152</v>
      </c>
      <c r="I105" s="249" t="s">
        <v>564</v>
      </c>
      <c r="J105" s="249"/>
      <c r="K105" s="249"/>
      <c r="L105" s="249"/>
      <c r="M105" s="249"/>
      <c r="N105" s="249"/>
      <c r="O105" s="249"/>
      <c r="P105" s="249"/>
      <c r="Q105" s="249"/>
      <c r="R105" s="249"/>
      <c r="S105" s="249"/>
      <c r="T105" s="249"/>
      <c r="U105" s="249"/>
      <c r="V105" s="249"/>
      <c r="W105" s="249"/>
      <c r="X105" s="249"/>
    </row>
    <row r="106" spans="2:24" x14ac:dyDescent="0.3">
      <c r="C106" s="249"/>
      <c r="D106" s="249"/>
      <c r="E106" s="249"/>
      <c r="F106" s="249"/>
      <c r="G106" s="249"/>
      <c r="H106" s="249">
        <v>15000</v>
      </c>
      <c r="I106" s="249" t="s">
        <v>687</v>
      </c>
      <c r="J106" s="249"/>
      <c r="K106" s="249"/>
      <c r="L106" s="249"/>
      <c r="M106" s="249"/>
      <c r="N106" s="249"/>
      <c r="O106" s="249"/>
      <c r="P106" s="249"/>
      <c r="Q106" s="249"/>
      <c r="R106" s="249"/>
      <c r="S106" s="249"/>
      <c r="T106" s="249"/>
      <c r="U106" s="249"/>
      <c r="V106" s="249"/>
      <c r="W106" s="249"/>
      <c r="X106" s="249"/>
    </row>
    <row r="107" spans="2:24" x14ac:dyDescent="0.3">
      <c r="H107" s="423">
        <f>-개발기간!U7</f>
        <v>-26000</v>
      </c>
      <c r="I107" t="s">
        <v>688</v>
      </c>
    </row>
    <row r="109" spans="2:24" hidden="1" outlineLevel="1" x14ac:dyDescent="0.3">
      <c r="B109" s="2" t="s">
        <v>595</v>
      </c>
    </row>
    <row r="110" spans="2:24" hidden="1" outlineLevel="1" x14ac:dyDescent="0.3"/>
    <row r="111" spans="2:24" hidden="1" outlineLevel="1" x14ac:dyDescent="0.3"/>
    <row r="112" spans="2:24" hidden="1" outlineLevel="1" x14ac:dyDescent="0.3"/>
    <row r="113" spans="2:13" hidden="1" outlineLevel="1" x14ac:dyDescent="0.3">
      <c r="B113" s="454" t="s">
        <v>597</v>
      </c>
      <c r="C113" s="454">
        <v>2017</v>
      </c>
      <c r="D113" s="454">
        <v>2018</v>
      </c>
      <c r="E113" s="454">
        <v>2019</v>
      </c>
      <c r="F113" s="454">
        <v>2020</v>
      </c>
      <c r="G113" s="454">
        <v>2021</v>
      </c>
      <c r="H113" s="454">
        <v>2022</v>
      </c>
      <c r="I113" s="455" t="s">
        <v>598</v>
      </c>
      <c r="J113" s="455" t="s">
        <v>599</v>
      </c>
      <c r="K113" s="455" t="s">
        <v>601</v>
      </c>
      <c r="L113" s="455" t="s">
        <v>603</v>
      </c>
      <c r="M113" s="455" t="s">
        <v>604</v>
      </c>
    </row>
    <row r="114" spans="2:13" hidden="1" outlineLevel="1" x14ac:dyDescent="0.3">
      <c r="B114" t="s">
        <v>341</v>
      </c>
      <c r="C114" s="423">
        <f>C87</f>
        <v>45242</v>
      </c>
      <c r="D114" s="423">
        <f t="shared" ref="D114:M114" si="35">D87</f>
        <v>55370</v>
      </c>
      <c r="E114" s="423">
        <f t="shared" si="35"/>
        <v>61666</v>
      </c>
      <c r="F114" s="423">
        <f t="shared" si="35"/>
        <v>75844</v>
      </c>
      <c r="G114" s="423">
        <f t="shared" si="35"/>
        <v>94005</v>
      </c>
      <c r="H114" s="423">
        <f t="shared" si="35"/>
        <v>99082</v>
      </c>
      <c r="I114" s="423">
        <f t="shared" si="35"/>
        <v>106716</v>
      </c>
      <c r="J114" s="423">
        <f t="shared" si="35"/>
        <v>110567</v>
      </c>
      <c r="K114" s="423">
        <f t="shared" si="35"/>
        <v>115116</v>
      </c>
      <c r="L114" s="423">
        <f t="shared" si="35"/>
        <v>117838</v>
      </c>
      <c r="M114" s="423">
        <f t="shared" si="35"/>
        <v>117838</v>
      </c>
    </row>
    <row r="115" spans="2:13" hidden="1" outlineLevel="1" x14ac:dyDescent="0.3">
      <c r="B115" t="s">
        <v>342</v>
      </c>
      <c r="C115" s="423">
        <f>C94</f>
        <v>38382</v>
      </c>
      <c r="D115" s="423">
        <f t="shared" ref="D115:M115" si="36">D94</f>
        <v>49887</v>
      </c>
      <c r="E115" s="423">
        <f t="shared" si="36"/>
        <v>54492</v>
      </c>
      <c r="F115" s="423">
        <f t="shared" si="36"/>
        <v>68858</v>
      </c>
      <c r="G115" s="423">
        <f t="shared" si="36"/>
        <v>85241</v>
      </c>
      <c r="H115" s="423">
        <f t="shared" si="36"/>
        <v>88974</v>
      </c>
      <c r="I115" s="423">
        <f t="shared" si="36"/>
        <v>96886.376351458253</v>
      </c>
      <c r="J115" s="423">
        <f t="shared" si="36"/>
        <v>100382.66027635674</v>
      </c>
      <c r="K115" s="423">
        <f t="shared" si="36"/>
        <v>104512.6513369548</v>
      </c>
      <c r="L115" s="423">
        <f t="shared" si="36"/>
        <v>106983.92758820737</v>
      </c>
      <c r="M115" s="423">
        <f t="shared" si="36"/>
        <v>106983.92758820737</v>
      </c>
    </row>
    <row r="116" spans="2:13" hidden="1" outlineLevel="1" x14ac:dyDescent="0.3">
      <c r="B116" t="s">
        <v>346</v>
      </c>
      <c r="C116" s="423">
        <f>C114-C115</f>
        <v>6860</v>
      </c>
      <c r="D116" s="423">
        <f t="shared" ref="D116:M116" si="37">D114-D115</f>
        <v>5483</v>
      </c>
      <c r="E116" s="423">
        <f t="shared" si="37"/>
        <v>7174</v>
      </c>
      <c r="F116" s="423">
        <f t="shared" si="37"/>
        <v>6986</v>
      </c>
      <c r="G116" s="423">
        <f t="shared" si="37"/>
        <v>8764</v>
      </c>
      <c r="H116" s="423">
        <f t="shared" si="37"/>
        <v>10108</v>
      </c>
      <c r="I116" s="423">
        <f t="shared" si="37"/>
        <v>9829.6236485417467</v>
      </c>
      <c r="J116" s="423">
        <f t="shared" si="37"/>
        <v>10184.339723643265</v>
      </c>
      <c r="K116" s="423">
        <f t="shared" si="37"/>
        <v>10603.348663045195</v>
      </c>
      <c r="L116" s="423">
        <f t="shared" si="37"/>
        <v>10854.072411792629</v>
      </c>
      <c r="M116" s="423">
        <f t="shared" si="37"/>
        <v>10854.072411792629</v>
      </c>
    </row>
    <row r="117" spans="2:13" hidden="1" outlineLevel="1" x14ac:dyDescent="0.3">
      <c r="B117" t="s">
        <v>605</v>
      </c>
      <c r="C117" s="423">
        <f>C102</f>
        <v>5475</v>
      </c>
      <c r="D117" s="423">
        <f t="shared" ref="D117:M117" si="38">D102</f>
        <v>6646</v>
      </c>
      <c r="E117" s="423">
        <f t="shared" si="38"/>
        <v>6702</v>
      </c>
      <c r="F117" s="423">
        <f t="shared" si="38"/>
        <v>6505</v>
      </c>
      <c r="G117" s="423">
        <f t="shared" si="38"/>
        <v>6912</v>
      </c>
      <c r="H117" s="423">
        <f t="shared" si="38"/>
        <v>7222</v>
      </c>
      <c r="I117" s="423">
        <f t="shared" si="38"/>
        <v>7417</v>
      </c>
      <c r="J117" s="423">
        <f t="shared" si="38"/>
        <v>7763</v>
      </c>
      <c r="K117" s="423">
        <f t="shared" si="38"/>
        <v>8126</v>
      </c>
      <c r="L117" s="423">
        <f t="shared" si="38"/>
        <v>8504</v>
      </c>
      <c r="M117" s="423">
        <f t="shared" si="38"/>
        <v>8504</v>
      </c>
    </row>
    <row r="118" spans="2:13" hidden="1" outlineLevel="1" x14ac:dyDescent="0.3">
      <c r="B118" t="s">
        <v>345</v>
      </c>
      <c r="C118" s="423">
        <f>C116-C117</f>
        <v>1385</v>
      </c>
      <c r="D118" s="423">
        <f t="shared" ref="D118:M118" si="39">D116-D117</f>
        <v>-1163</v>
      </c>
      <c r="E118" s="423">
        <f t="shared" si="39"/>
        <v>472</v>
      </c>
      <c r="F118" s="423">
        <f t="shared" si="39"/>
        <v>481</v>
      </c>
      <c r="G118" s="423">
        <f t="shared" si="39"/>
        <v>1852</v>
      </c>
      <c r="H118" s="423">
        <f t="shared" si="39"/>
        <v>2886</v>
      </c>
      <c r="I118" s="423">
        <f t="shared" si="39"/>
        <v>2412.6236485417467</v>
      </c>
      <c r="J118" s="423">
        <f t="shared" si="39"/>
        <v>2421.3397236432647</v>
      </c>
      <c r="K118" s="423">
        <f t="shared" si="39"/>
        <v>2477.3486630451953</v>
      </c>
      <c r="L118" s="423">
        <f t="shared" si="39"/>
        <v>2350.0724117926293</v>
      </c>
      <c r="M118" s="423">
        <f t="shared" si="39"/>
        <v>2350.0724117926293</v>
      </c>
    </row>
    <row r="119" spans="2:13" hidden="1" outlineLevel="1" x14ac:dyDescent="0.3">
      <c r="B119" t="s">
        <v>606</v>
      </c>
      <c r="C119" s="423">
        <v>386.99626999999998</v>
      </c>
      <c r="D119" s="423">
        <v>390.49431199999998</v>
      </c>
      <c r="E119" s="423">
        <v>368.07629300000002</v>
      </c>
      <c r="F119" s="423">
        <v>278.18123200000002</v>
      </c>
      <c r="G119" s="423">
        <v>14202.999223000001</v>
      </c>
      <c r="H119" s="423">
        <v>342.24970000000002</v>
      </c>
      <c r="I119" s="423">
        <f>H119</f>
        <v>342.24970000000002</v>
      </c>
      <c r="J119" s="423">
        <f>I119</f>
        <v>342.24970000000002</v>
      </c>
      <c r="K119" s="423">
        <f t="shared" ref="K119:M119" si="40">J119</f>
        <v>342.24970000000002</v>
      </c>
      <c r="L119" s="423">
        <f t="shared" si="40"/>
        <v>342.24970000000002</v>
      </c>
      <c r="M119" s="423">
        <f t="shared" si="40"/>
        <v>342.24970000000002</v>
      </c>
    </row>
    <row r="120" spans="2:13" hidden="1" outlineLevel="1" x14ac:dyDescent="0.3">
      <c r="B120" t="s">
        <v>347</v>
      </c>
      <c r="C120" s="423">
        <v>224.27623</v>
      </c>
      <c r="D120" s="423">
        <v>443.167866</v>
      </c>
      <c r="E120" s="423">
        <v>233.815485</v>
      </c>
      <c r="F120" s="423">
        <v>179.50240299999999</v>
      </c>
      <c r="G120" s="423">
        <v>687.38832300000001</v>
      </c>
      <c r="H120" s="423">
        <v>97.716417000000007</v>
      </c>
      <c r="I120" s="452">
        <f>$H$120</f>
        <v>97.716417000000007</v>
      </c>
      <c r="J120" s="452">
        <f>$H$120</f>
        <v>97.716417000000007</v>
      </c>
      <c r="K120" s="452">
        <f>$H$120</f>
        <v>97.716417000000007</v>
      </c>
      <c r="L120" s="452">
        <f>$H$120</f>
        <v>97.716417000000007</v>
      </c>
      <c r="M120" s="452">
        <f>$H$120</f>
        <v>97.716417000000007</v>
      </c>
    </row>
    <row r="121" spans="2:13" hidden="1" outlineLevel="1" x14ac:dyDescent="0.3">
      <c r="B121" t="s">
        <v>607</v>
      </c>
      <c r="C121" s="423">
        <f t="shared" ref="C121:H121" si="41">C118+C119-C120</f>
        <v>1547.7200400000002</v>
      </c>
      <c r="D121" s="423">
        <f t="shared" si="41"/>
        <v>-1215.673554</v>
      </c>
      <c r="E121" s="423">
        <f t="shared" si="41"/>
        <v>606.26080800000011</v>
      </c>
      <c r="F121" s="423">
        <f t="shared" si="41"/>
        <v>579.67882900000006</v>
      </c>
      <c r="G121" s="423">
        <f t="shared" si="41"/>
        <v>15367.610900000001</v>
      </c>
      <c r="H121" s="423">
        <f t="shared" si="41"/>
        <v>3130.5332829999998</v>
      </c>
      <c r="I121" s="423">
        <f t="shared" ref="I121:M121" si="42">I118+I119-I120</f>
        <v>2657.1569315417464</v>
      </c>
      <c r="J121" s="423">
        <f t="shared" si="42"/>
        <v>2665.8730066432645</v>
      </c>
      <c r="K121" s="423">
        <f t="shared" si="42"/>
        <v>2721.881946045195</v>
      </c>
      <c r="L121" s="423">
        <f t="shared" si="42"/>
        <v>2594.605694792629</v>
      </c>
      <c r="M121" s="423">
        <f t="shared" si="42"/>
        <v>2594.605694792629</v>
      </c>
    </row>
    <row r="122" spans="2:13" hidden="1" outlineLevel="1" x14ac:dyDescent="0.3">
      <c r="B122" t="s">
        <v>609</v>
      </c>
      <c r="C122" s="423">
        <v>420.40991500000001</v>
      </c>
      <c r="D122" s="423">
        <v>-166.77463900000001</v>
      </c>
      <c r="E122" s="423">
        <v>224.14809600000001</v>
      </c>
      <c r="F122" s="423">
        <v>163.177515</v>
      </c>
      <c r="G122" s="423">
        <v>2614.5500000000002</v>
      </c>
      <c r="H122" s="423">
        <v>643.577856</v>
      </c>
      <c r="I122" s="423">
        <f>IF(AND(200&lt;I121,I121&lt;=20000),I121*0.19*1.1,"check")</f>
        <v>555.345798692225</v>
      </c>
      <c r="J122" s="423">
        <f t="shared" ref="J122:M122" si="43">IF(AND(200&lt;J121,J121&lt;=20000),J121*0.19*1.1,"check")</f>
        <v>557.16745838844236</v>
      </c>
      <c r="K122" s="423">
        <f t="shared" si="43"/>
        <v>568.87332672344587</v>
      </c>
      <c r="L122" s="423">
        <f t="shared" si="43"/>
        <v>542.27259021165946</v>
      </c>
      <c r="M122" s="423">
        <f t="shared" si="43"/>
        <v>542.27259021165946</v>
      </c>
    </row>
    <row r="123" spans="2:13" hidden="1" outlineLevel="1" x14ac:dyDescent="0.3">
      <c r="B123" t="s">
        <v>608</v>
      </c>
      <c r="C123" s="423">
        <f t="shared" ref="C123:D123" si="44">C121-C122</f>
        <v>1127.3101250000002</v>
      </c>
      <c r="D123" s="423">
        <f t="shared" si="44"/>
        <v>-1048.898915</v>
      </c>
      <c r="E123" s="423">
        <f>E121-E122</f>
        <v>382.1127120000001</v>
      </c>
      <c r="F123" s="423">
        <f>F121-F122</f>
        <v>416.50131400000009</v>
      </c>
      <c r="G123" s="423">
        <f>G121-G122</f>
        <v>12753.0609</v>
      </c>
      <c r="H123" s="423">
        <f>H121-H122</f>
        <v>2486.9554269999999</v>
      </c>
      <c r="I123" s="423">
        <f>I121-I122</f>
        <v>2101.8111328495215</v>
      </c>
      <c r="J123" s="423">
        <f t="shared" ref="J123:M123" si="45">J121-J122</f>
        <v>2108.7055482548221</v>
      </c>
      <c r="K123" s="423">
        <f t="shared" si="45"/>
        <v>2153.0086193217494</v>
      </c>
      <c r="L123" s="423">
        <f t="shared" si="45"/>
        <v>2052.3331045809696</v>
      </c>
      <c r="M123" s="423">
        <f t="shared" si="45"/>
        <v>2052.3331045809696</v>
      </c>
    </row>
    <row r="124" spans="2:13" hidden="1" outlineLevel="1" x14ac:dyDescent="0.3"/>
    <row r="125" spans="2:13" hidden="1" outlineLevel="1" x14ac:dyDescent="0.3">
      <c r="H125" s="449"/>
    </row>
    <row r="126" spans="2:13" hidden="1" outlineLevel="1" x14ac:dyDescent="0.3">
      <c r="H126" s="449"/>
    </row>
    <row r="127" spans="2:13" hidden="1" outlineLevel="1" x14ac:dyDescent="0.3">
      <c r="H127" s="449"/>
    </row>
    <row r="128" spans="2:13" hidden="1" outlineLevel="1" x14ac:dyDescent="0.3">
      <c r="B128" t="s">
        <v>614</v>
      </c>
      <c r="H128" s="423"/>
      <c r="I128" s="423">
        <f>E192</f>
        <v>83.124907744393042</v>
      </c>
      <c r="J128" s="423">
        <f t="shared" ref="J128:M128" si="46">F192</f>
        <v>87.002650508254433</v>
      </c>
      <c r="K128" s="423">
        <f t="shared" si="46"/>
        <v>91.07091820560035</v>
      </c>
      <c r="L128" s="423">
        <f t="shared" si="46"/>
        <v>95.307296138373786</v>
      </c>
      <c r="M128" s="449">
        <f t="shared" si="46"/>
        <v>0</v>
      </c>
    </row>
    <row r="129" spans="2:13" hidden="1" outlineLevel="1" x14ac:dyDescent="0.3">
      <c r="B129" t="s">
        <v>613</v>
      </c>
      <c r="H129" s="423"/>
      <c r="I129" s="423">
        <f>E197</f>
        <v>112.90023806590213</v>
      </c>
      <c r="J129" s="423">
        <f t="shared" ref="J129:M129" si="47">F197</f>
        <v>118.16698774512582</v>
      </c>
      <c r="K129" s="423">
        <f t="shared" si="47"/>
        <v>123.69250836234605</v>
      </c>
      <c r="L129" s="423">
        <f t="shared" si="47"/>
        <v>129.44635627779851</v>
      </c>
      <c r="M129" s="449">
        <f t="shared" si="47"/>
        <v>0</v>
      </c>
    </row>
    <row r="130" spans="2:13" hidden="1" outlineLevel="1" x14ac:dyDescent="0.3">
      <c r="H130" s="423"/>
      <c r="I130" s="423"/>
      <c r="J130" s="423"/>
      <c r="K130" s="423"/>
      <c r="L130" s="423"/>
      <c r="M130" s="449"/>
    </row>
    <row r="131" spans="2:13" hidden="1" outlineLevel="1" x14ac:dyDescent="0.3">
      <c r="H131" s="423"/>
      <c r="I131" s="423"/>
      <c r="J131" s="423"/>
      <c r="K131" s="423"/>
      <c r="L131" s="423"/>
      <c r="M131" s="449"/>
    </row>
    <row r="132" spans="2:13" hidden="1" outlineLevel="1" x14ac:dyDescent="0.3"/>
    <row r="133" spans="2:13" hidden="1" outlineLevel="1" x14ac:dyDescent="0.3">
      <c r="B133" s="454" t="s">
        <v>611</v>
      </c>
      <c r="C133" s="454"/>
      <c r="D133" s="454"/>
      <c r="E133" s="454"/>
      <c r="F133" s="454"/>
      <c r="G133" s="454"/>
      <c r="H133" s="454"/>
      <c r="I133" s="455" t="s">
        <v>598</v>
      </c>
      <c r="J133" s="455" t="s">
        <v>599</v>
      </c>
      <c r="K133" s="455" t="s">
        <v>601</v>
      </c>
      <c r="L133" s="455" t="s">
        <v>603</v>
      </c>
      <c r="M133" s="455" t="s">
        <v>604</v>
      </c>
    </row>
    <row r="134" spans="2:13" hidden="1" outlineLevel="1" x14ac:dyDescent="0.3"/>
    <row r="135" spans="2:13" hidden="1" outlineLevel="1" x14ac:dyDescent="0.3">
      <c r="B135" t="s">
        <v>640</v>
      </c>
      <c r="I135" s="449">
        <f>SUM(I136:I138)</f>
        <v>400.71193480482862</v>
      </c>
      <c r="J135" s="449">
        <f t="shared" ref="J135:M135" si="48">SUM(J136:J138)</f>
        <v>2218.990512447911</v>
      </c>
      <c r="K135" s="449">
        <f t="shared" si="48"/>
        <v>2247.643979662721</v>
      </c>
      <c r="L135" s="449">
        <f t="shared" si="48"/>
        <v>2211.1140724789475</v>
      </c>
      <c r="M135" s="449">
        <f t="shared" si="48"/>
        <v>2052.3331045809696</v>
      </c>
    </row>
    <row r="136" spans="2:13" hidden="1" outlineLevel="1" x14ac:dyDescent="0.3">
      <c r="B136" s="451" t="s">
        <v>608</v>
      </c>
      <c r="H136" s="449"/>
      <c r="I136" s="449">
        <f>I123</f>
        <v>2101.8111328495215</v>
      </c>
      <c r="J136" s="449">
        <f>J123</f>
        <v>2108.7055482548221</v>
      </c>
      <c r="K136" s="449">
        <f>K123</f>
        <v>2153.0086193217494</v>
      </c>
      <c r="L136" s="449">
        <f>L123</f>
        <v>2052.3331045809696</v>
      </c>
      <c r="M136" s="449">
        <f>M123</f>
        <v>2052.3331045809696</v>
      </c>
    </row>
    <row r="137" spans="2:13" hidden="1" outlineLevel="1" x14ac:dyDescent="0.3">
      <c r="B137" s="451" t="s">
        <v>612</v>
      </c>
      <c r="I137" s="449">
        <f>SUM(I128:I129)</f>
        <v>196.02514581029516</v>
      </c>
      <c r="J137" s="449">
        <f>SUM(J128:J130)</f>
        <v>205.16963825338024</v>
      </c>
      <c r="K137" s="449">
        <f>SUM(K128:K130)</f>
        <v>214.7634265679464</v>
      </c>
      <c r="L137" s="449">
        <f>SUM(L128:L130)</f>
        <v>224.75365241617232</v>
      </c>
      <c r="M137" s="449">
        <f>SUM(M128:M130)</f>
        <v>0</v>
      </c>
    </row>
    <row r="138" spans="2:13" hidden="1" outlineLevel="1" x14ac:dyDescent="0.3">
      <c r="B138" s="451" t="s">
        <v>636</v>
      </c>
      <c r="I138" s="423">
        <f>-(I158-H158)-(I159-H159)+(I168-H168)</f>
        <v>-1897.1243438549882</v>
      </c>
      <c r="J138" s="423">
        <f t="shared" ref="J138:M138" si="49">-(J158-I158)-(J159-I159)+(J168-I168)</f>
        <v>-94.884674060291331</v>
      </c>
      <c r="K138" s="423">
        <f t="shared" si="49"/>
        <v>-120.1280662269744</v>
      </c>
      <c r="L138" s="423">
        <f t="shared" si="49"/>
        <v>-65.972684518194683</v>
      </c>
      <c r="M138" s="423">
        <f t="shared" si="49"/>
        <v>0</v>
      </c>
    </row>
    <row r="139" spans="2:13" hidden="1" outlineLevel="1" x14ac:dyDescent="0.3">
      <c r="B139" t="s">
        <v>639</v>
      </c>
      <c r="I139" s="449">
        <f>I140</f>
        <v>-196.02514581029516</v>
      </c>
      <c r="J139" s="449">
        <f t="shared" ref="J139:M139" si="50">J140</f>
        <v>-205.16963825338024</v>
      </c>
      <c r="K139" s="449">
        <f t="shared" si="50"/>
        <v>-214.7634265679464</v>
      </c>
      <c r="L139" s="449">
        <f t="shared" si="50"/>
        <v>-224.75365241617232</v>
      </c>
      <c r="M139" s="449">
        <f t="shared" si="50"/>
        <v>0</v>
      </c>
    </row>
    <row r="140" spans="2:13" hidden="1" outlineLevel="1" x14ac:dyDescent="0.3">
      <c r="B140" s="451" t="s">
        <v>637</v>
      </c>
      <c r="I140" s="449">
        <f>-(I128+I129)</f>
        <v>-196.02514581029516</v>
      </c>
      <c r="J140" s="449">
        <f t="shared" ref="J140:M140" si="51">-(J128+J129)</f>
        <v>-205.16963825338024</v>
      </c>
      <c r="K140" s="449">
        <f t="shared" si="51"/>
        <v>-214.7634265679464</v>
      </c>
      <c r="L140" s="449">
        <f t="shared" si="51"/>
        <v>-224.75365241617232</v>
      </c>
      <c r="M140" s="449">
        <f t="shared" si="51"/>
        <v>0</v>
      </c>
    </row>
    <row r="141" spans="2:13" hidden="1" outlineLevel="1" x14ac:dyDescent="0.3">
      <c r="B141" t="s">
        <v>638</v>
      </c>
      <c r="I141" s="449">
        <f>SUM(I142:I143)</f>
        <v>15000</v>
      </c>
      <c r="J141" s="449">
        <f t="shared" ref="J141:M141" si="52">SUM(J142:J143)</f>
        <v>0</v>
      </c>
      <c r="K141" s="449">
        <f t="shared" si="52"/>
        <v>0</v>
      </c>
      <c r="L141" s="449">
        <f t="shared" si="52"/>
        <v>0</v>
      </c>
      <c r="M141" s="449">
        <f t="shared" si="52"/>
        <v>0</v>
      </c>
    </row>
    <row r="142" spans="2:13" hidden="1" outlineLevel="1" x14ac:dyDescent="0.3">
      <c r="B142" s="451" t="s">
        <v>641</v>
      </c>
      <c r="I142" s="449">
        <f>I171-H171</f>
        <v>0</v>
      </c>
      <c r="J142" s="449">
        <f t="shared" ref="J142:M142" si="53">J171-I171</f>
        <v>0</v>
      </c>
      <c r="K142" s="449">
        <f t="shared" si="53"/>
        <v>0</v>
      </c>
      <c r="L142" s="449">
        <f t="shared" si="53"/>
        <v>0</v>
      </c>
      <c r="M142" s="449">
        <f t="shared" si="53"/>
        <v>0</v>
      </c>
    </row>
    <row r="143" spans="2:13" hidden="1" outlineLevel="1" x14ac:dyDescent="0.3">
      <c r="B143" s="451" t="s">
        <v>642</v>
      </c>
      <c r="I143" s="449">
        <v>15000</v>
      </c>
      <c r="J143" s="449">
        <f t="shared" ref="J143:M143" si="54">J173-I173</f>
        <v>0</v>
      </c>
      <c r="K143" s="449">
        <f t="shared" si="54"/>
        <v>0</v>
      </c>
      <c r="L143" s="449">
        <f t="shared" si="54"/>
        <v>0</v>
      </c>
      <c r="M143" s="449">
        <f t="shared" si="54"/>
        <v>0</v>
      </c>
    </row>
    <row r="144" spans="2:13" hidden="1" outlineLevel="1" x14ac:dyDescent="0.3">
      <c r="B144" s="453" t="s">
        <v>643</v>
      </c>
      <c r="I144" s="449">
        <f>I135+I139+I141</f>
        <v>15204.686788994533</v>
      </c>
      <c r="J144" s="449">
        <f t="shared" ref="J144:M144" si="55">J135+J139+J141</f>
        <v>2013.8208741945307</v>
      </c>
      <c r="K144" s="449">
        <f t="shared" si="55"/>
        <v>2032.8805530947745</v>
      </c>
      <c r="L144" s="449">
        <f t="shared" si="55"/>
        <v>1986.3604200627751</v>
      </c>
      <c r="M144" s="449">
        <f t="shared" si="55"/>
        <v>2052.3331045809696</v>
      </c>
    </row>
    <row r="145" spans="2:13" hidden="1" outlineLevel="1" x14ac:dyDescent="0.3">
      <c r="B145" s="453" t="s">
        <v>100</v>
      </c>
      <c r="I145" s="449">
        <f>H157</f>
        <v>10152</v>
      </c>
      <c r="J145" s="449">
        <f>I146</f>
        <v>25356.686788994535</v>
      </c>
      <c r="K145" s="449">
        <f t="shared" ref="K145:M145" si="56">J146</f>
        <v>27370.507663189066</v>
      </c>
      <c r="L145" s="449">
        <f t="shared" si="56"/>
        <v>29403.388216283842</v>
      </c>
      <c r="M145" s="449">
        <f t="shared" si="56"/>
        <v>31389.748636346616</v>
      </c>
    </row>
    <row r="146" spans="2:13" hidden="1" outlineLevel="1" x14ac:dyDescent="0.3">
      <c r="B146" s="453" t="s">
        <v>101</v>
      </c>
      <c r="I146" s="449">
        <f>I145+I144</f>
        <v>25356.686788994535</v>
      </c>
      <c r="J146" s="449">
        <f>J145+J144</f>
        <v>27370.507663189066</v>
      </c>
      <c r="K146" s="449">
        <f t="shared" ref="K146:M146" si="57">K145+K144</f>
        <v>29403.388216283842</v>
      </c>
      <c r="L146" s="449">
        <f t="shared" si="57"/>
        <v>31389.748636346616</v>
      </c>
      <c r="M146" s="449">
        <f t="shared" si="57"/>
        <v>33442.081740927584</v>
      </c>
    </row>
    <row r="147" spans="2:13" hidden="1" outlineLevel="1" x14ac:dyDescent="0.3"/>
    <row r="148" spans="2:13" hidden="1" outlineLevel="1" x14ac:dyDescent="0.3"/>
    <row r="149" spans="2:13" hidden="1" outlineLevel="1" x14ac:dyDescent="0.3"/>
    <row r="150" spans="2:13" hidden="1" outlineLevel="1" x14ac:dyDescent="0.3">
      <c r="B150" t="s">
        <v>634</v>
      </c>
      <c r="C150" s="450">
        <f t="shared" ref="C150:H150" si="58">C158/C114</f>
        <v>0.14037840944255339</v>
      </c>
      <c r="D150" s="450">
        <f t="shared" si="58"/>
        <v>0.14267653964240565</v>
      </c>
      <c r="E150" s="450">
        <f t="shared" si="58"/>
        <v>0.15022865112055264</v>
      </c>
      <c r="F150" s="450">
        <f t="shared" si="58"/>
        <v>0.15732951848531196</v>
      </c>
      <c r="G150" s="450">
        <f t="shared" si="58"/>
        <v>0.1396308706983671</v>
      </c>
      <c r="H150" s="450">
        <f t="shared" si="58"/>
        <v>0.11199814295230213</v>
      </c>
    </row>
    <row r="151" spans="2:13" hidden="1" outlineLevel="1" x14ac:dyDescent="0.3">
      <c r="B151" t="s">
        <v>635</v>
      </c>
      <c r="C151" s="450" t="str">
        <f t="shared" ref="C151:H151" si="59">IFERROR(C159/C92,"")</f>
        <v/>
      </c>
      <c r="D151" s="450">
        <f t="shared" si="59"/>
        <v>1.0907288051561725E-2</v>
      </c>
      <c r="E151" s="450">
        <f t="shared" si="59"/>
        <v>0</v>
      </c>
      <c r="F151" s="450">
        <f t="shared" si="59"/>
        <v>1.2291723572794319E-3</v>
      </c>
      <c r="G151" s="450">
        <f t="shared" si="59"/>
        <v>1.5360983102918587E-3</v>
      </c>
      <c r="H151" s="450">
        <f t="shared" si="59"/>
        <v>2.3782442353427772E-3</v>
      </c>
      <c r="I151" s="413"/>
    </row>
    <row r="152" spans="2:13" hidden="1" outlineLevel="1" x14ac:dyDescent="0.3">
      <c r="B152" t="s">
        <v>634</v>
      </c>
      <c r="C152" s="450">
        <f t="shared" ref="C152:H152" si="60">C168/C114</f>
        <v>0.11869501790371778</v>
      </c>
      <c r="D152" s="450">
        <f t="shared" si="60"/>
        <v>0.11945096622719885</v>
      </c>
      <c r="E152" s="450">
        <f t="shared" si="60"/>
        <v>0.10817954788700418</v>
      </c>
      <c r="F152" s="450">
        <f t="shared" si="60"/>
        <v>0.1212620642371183</v>
      </c>
      <c r="G152" s="450">
        <f t="shared" si="60"/>
        <v>0.11742992394021595</v>
      </c>
      <c r="H152" s="450">
        <f t="shared" si="60"/>
        <v>0.10336892674754244</v>
      </c>
      <c r="I152" s="413"/>
    </row>
    <row r="153" spans="2:13" hidden="1" outlineLevel="1" x14ac:dyDescent="0.3">
      <c r="C153" s="450"/>
      <c r="D153" s="450"/>
      <c r="E153" s="450"/>
      <c r="F153" s="450"/>
      <c r="G153" s="450"/>
      <c r="H153" s="450"/>
      <c r="I153" s="413"/>
    </row>
    <row r="154" spans="2:13" hidden="1" outlineLevel="1" x14ac:dyDescent="0.3"/>
    <row r="155" spans="2:13" hidden="1" outlineLevel="1" x14ac:dyDescent="0.3">
      <c r="B155" s="454" t="s">
        <v>596</v>
      </c>
      <c r="C155" s="454">
        <v>2017</v>
      </c>
      <c r="D155" s="454">
        <v>2018</v>
      </c>
      <c r="E155" s="454">
        <v>2019</v>
      </c>
      <c r="F155" s="454">
        <v>2020</v>
      </c>
      <c r="G155" s="454">
        <v>2021</v>
      </c>
      <c r="H155" s="454">
        <v>2022</v>
      </c>
      <c r="I155" s="455" t="s">
        <v>598</v>
      </c>
      <c r="J155" s="455" t="s">
        <v>599</v>
      </c>
      <c r="K155" s="455" t="s">
        <v>601</v>
      </c>
      <c r="L155" s="455" t="s">
        <v>603</v>
      </c>
      <c r="M155" s="455" t="s">
        <v>604</v>
      </c>
    </row>
    <row r="156" spans="2:13" hidden="1" outlineLevel="1" x14ac:dyDescent="0.3">
      <c r="B156" t="s">
        <v>615</v>
      </c>
      <c r="C156" s="423"/>
      <c r="D156" s="423"/>
      <c r="E156" s="423"/>
      <c r="F156" s="423"/>
      <c r="G156" s="423"/>
      <c r="H156" s="423">
        <f>SUM(H157:H160)</f>
        <v>31585</v>
      </c>
      <c r="I156" s="423">
        <f>SUM(I157:I160)</f>
        <v>50688.45247817412</v>
      </c>
      <c r="J156" s="423">
        <f t="shared" ref="J156:M156" si="61">SUM(J157:J160)</f>
        <v>53238.987394291726</v>
      </c>
      <c r="K156" s="423">
        <f t="shared" si="61"/>
        <v>55913.90767147061</v>
      </c>
      <c r="L156" s="423">
        <f t="shared" si="61"/>
        <v>58278.538760814627</v>
      </c>
      <c r="M156" s="423">
        <f t="shared" si="61"/>
        <v>60330.871865395588</v>
      </c>
    </row>
    <row r="157" spans="2:13" hidden="1" outlineLevel="1" x14ac:dyDescent="0.3">
      <c r="B157" s="451" t="s">
        <v>616</v>
      </c>
      <c r="C157" s="423"/>
      <c r="D157" s="423"/>
      <c r="E157" s="423"/>
      <c r="F157" s="423"/>
      <c r="G157" s="423"/>
      <c r="H157" s="423">
        <v>10152</v>
      </c>
      <c r="I157" s="423">
        <f>I146</f>
        <v>25356.686788994535</v>
      </c>
      <c r="J157" s="423">
        <f>J146</f>
        <v>27370.507663189066</v>
      </c>
      <c r="K157" s="423">
        <f t="shared" ref="K157:M157" si="62">K146</f>
        <v>29403.388216283842</v>
      </c>
      <c r="L157" s="423">
        <f t="shared" si="62"/>
        <v>31389.748636346616</v>
      </c>
      <c r="M157" s="423">
        <f t="shared" si="62"/>
        <v>33442.081740927584</v>
      </c>
    </row>
    <row r="158" spans="2:13" hidden="1" outlineLevel="1" x14ac:dyDescent="0.3">
      <c r="B158" s="451" t="s">
        <v>617</v>
      </c>
      <c r="C158" s="423">
        <v>6351</v>
      </c>
      <c r="D158" s="423">
        <v>7900</v>
      </c>
      <c r="E158" s="423">
        <v>9264</v>
      </c>
      <c r="F158" s="423">
        <v>11932.5</v>
      </c>
      <c r="G158" s="423">
        <v>13126</v>
      </c>
      <c r="H158" s="423">
        <v>11097</v>
      </c>
      <c r="I158" s="423">
        <f>I114*AVERAGE($C$150:$H$150)</f>
        <v>14980.118565825795</v>
      </c>
      <c r="J158" s="423">
        <f>J114*AVERAGE($C$150:$H$150)</f>
        <v>15520.697641100309</v>
      </c>
      <c r="K158" s="423">
        <f>K114*AVERAGE($C$150:$H$150)</f>
        <v>16159.257551103885</v>
      </c>
      <c r="L158" s="423">
        <f>L114*AVERAGE($C$150:$H$150)</f>
        <v>16541.354731809475</v>
      </c>
      <c r="M158" s="423">
        <f>M114*AVERAGE($C$150:$H$150)</f>
        <v>16541.354731809475</v>
      </c>
    </row>
    <row r="159" spans="2:13" hidden="1" outlineLevel="1" x14ac:dyDescent="0.3">
      <c r="B159" s="451" t="s">
        <v>618</v>
      </c>
      <c r="C159" s="423">
        <v>0</v>
      </c>
      <c r="D159" s="423">
        <v>22</v>
      </c>
      <c r="E159" s="423">
        <v>0</v>
      </c>
      <c r="F159" s="423">
        <v>9</v>
      </c>
      <c r="G159" s="423">
        <v>18</v>
      </c>
      <c r="H159" s="423">
        <v>23</v>
      </c>
      <c r="I159" s="423">
        <f>I92*AVERAGE($C$151:$H$151)</f>
        <v>38.64712335378681</v>
      </c>
      <c r="J159" s="423">
        <f>J92*AVERAGE($C$151:$H$151)</f>
        <v>34.782090002349044</v>
      </c>
      <c r="K159" s="423">
        <f>K92*AVERAGE($C$151:$H$151)</f>
        <v>38.26190408287939</v>
      </c>
      <c r="L159" s="423">
        <f>L92*AVERAGE($C$151:$H$151)</f>
        <v>34.435392658532365</v>
      </c>
      <c r="M159" s="423">
        <f>M92*AVERAGE($C$151:$H$151)</f>
        <v>34.435392658532365</v>
      </c>
    </row>
    <row r="160" spans="2:13" hidden="1" outlineLevel="1" x14ac:dyDescent="0.3">
      <c r="B160" s="451" t="s">
        <v>610</v>
      </c>
      <c r="C160" s="423"/>
      <c r="D160" s="423"/>
      <c r="E160" s="423"/>
      <c r="F160" s="423"/>
      <c r="G160" s="423"/>
      <c r="H160" s="423">
        <v>10313</v>
      </c>
      <c r="I160" s="423">
        <f>H160</f>
        <v>10313</v>
      </c>
      <c r="J160" s="423">
        <f>I160</f>
        <v>10313</v>
      </c>
      <c r="K160" s="423">
        <f>J160</f>
        <v>10313</v>
      </c>
      <c r="L160" s="423">
        <f>K160</f>
        <v>10313</v>
      </c>
      <c r="M160" s="423">
        <f>L160</f>
        <v>10313</v>
      </c>
    </row>
    <row r="161" spans="2:13" hidden="1" outlineLevel="1" x14ac:dyDescent="0.3">
      <c r="B161" t="s">
        <v>619</v>
      </c>
      <c r="C161" s="423"/>
      <c r="D161" s="423"/>
      <c r="E161" s="423"/>
      <c r="F161" s="423"/>
      <c r="G161" s="423"/>
      <c r="H161" s="423">
        <f>SUM(H162:H165)</f>
        <v>3580</v>
      </c>
      <c r="I161" s="423">
        <f t="shared" ref="I161:M161" si="63">SUM(I162:I165)</f>
        <v>3580</v>
      </c>
      <c r="J161" s="423">
        <f t="shared" si="63"/>
        <v>3580</v>
      </c>
      <c r="K161" s="423">
        <f t="shared" si="63"/>
        <v>3580</v>
      </c>
      <c r="L161" s="423">
        <f t="shared" si="63"/>
        <v>3580</v>
      </c>
      <c r="M161" s="423">
        <f t="shared" si="63"/>
        <v>3580</v>
      </c>
    </row>
    <row r="162" spans="2:13" hidden="1" outlineLevel="1" x14ac:dyDescent="0.3">
      <c r="B162" s="451" t="s">
        <v>620</v>
      </c>
      <c r="C162" s="423"/>
      <c r="D162" s="423"/>
      <c r="E162" s="423"/>
      <c r="F162" s="423"/>
      <c r="G162" s="423"/>
      <c r="H162" s="423">
        <v>204</v>
      </c>
      <c r="I162" s="423">
        <f>H162</f>
        <v>204</v>
      </c>
      <c r="J162" s="423">
        <f t="shared" ref="J162:M162" si="64">I162</f>
        <v>204</v>
      </c>
      <c r="K162" s="423">
        <f t="shared" si="64"/>
        <v>204</v>
      </c>
      <c r="L162" s="423">
        <f t="shared" si="64"/>
        <v>204</v>
      </c>
      <c r="M162" s="423">
        <f t="shared" si="64"/>
        <v>204</v>
      </c>
    </row>
    <row r="163" spans="2:13" hidden="1" outlineLevel="1" x14ac:dyDescent="0.3">
      <c r="B163" s="451" t="s">
        <v>621</v>
      </c>
      <c r="C163" s="423"/>
      <c r="D163" s="423"/>
      <c r="E163" s="423"/>
      <c r="F163" s="423"/>
      <c r="G163" s="423"/>
      <c r="H163" s="423">
        <v>1852</v>
      </c>
      <c r="I163" s="423">
        <f>H163</f>
        <v>1852</v>
      </c>
      <c r="J163" s="423">
        <f t="shared" ref="J163:M163" si="65">I163</f>
        <v>1852</v>
      </c>
      <c r="K163" s="423">
        <f t="shared" si="65"/>
        <v>1852</v>
      </c>
      <c r="L163" s="423">
        <f t="shared" si="65"/>
        <v>1852</v>
      </c>
      <c r="M163" s="423">
        <f t="shared" si="65"/>
        <v>1852</v>
      </c>
    </row>
    <row r="164" spans="2:13" hidden="1" outlineLevel="1" x14ac:dyDescent="0.3">
      <c r="B164" s="451" t="s">
        <v>622</v>
      </c>
      <c r="C164" s="423"/>
      <c r="D164" s="423"/>
      <c r="E164" s="423"/>
      <c r="F164" s="423"/>
      <c r="G164" s="423"/>
      <c r="H164" s="423">
        <v>432</v>
      </c>
      <c r="I164" s="423">
        <f>H164</f>
        <v>432</v>
      </c>
      <c r="J164" s="423">
        <f t="shared" ref="J164:M164" si="66">I164</f>
        <v>432</v>
      </c>
      <c r="K164" s="423">
        <f t="shared" si="66"/>
        <v>432</v>
      </c>
      <c r="L164" s="423">
        <f t="shared" si="66"/>
        <v>432</v>
      </c>
      <c r="M164" s="423">
        <f t="shared" si="66"/>
        <v>432</v>
      </c>
    </row>
    <row r="165" spans="2:13" hidden="1" outlineLevel="1" x14ac:dyDescent="0.3">
      <c r="B165" s="451" t="s">
        <v>610</v>
      </c>
      <c r="C165" s="423"/>
      <c r="D165" s="423"/>
      <c r="E165" s="423"/>
      <c r="F165" s="423"/>
      <c r="G165" s="423"/>
      <c r="H165" s="423">
        <v>1092</v>
      </c>
      <c r="I165" s="423">
        <f t="shared" ref="I165:M165" si="67">H165</f>
        <v>1092</v>
      </c>
      <c r="J165" s="423">
        <f t="shared" si="67"/>
        <v>1092</v>
      </c>
      <c r="K165" s="423">
        <f t="shared" si="67"/>
        <v>1092</v>
      </c>
      <c r="L165" s="423">
        <f t="shared" si="67"/>
        <v>1092</v>
      </c>
      <c r="M165" s="423">
        <f t="shared" si="67"/>
        <v>1092</v>
      </c>
    </row>
    <row r="166" spans="2:13" hidden="1" outlineLevel="1" x14ac:dyDescent="0.3">
      <c r="B166" t="s">
        <v>623</v>
      </c>
      <c r="C166" s="423"/>
      <c r="D166" s="423"/>
      <c r="E166" s="423"/>
      <c r="F166" s="423"/>
      <c r="G166" s="423"/>
      <c r="H166" s="423">
        <f>H156+H161</f>
        <v>35165</v>
      </c>
      <c r="I166" s="423">
        <f t="shared" ref="I166:M166" si="68">I156+I161</f>
        <v>54268.45247817412</v>
      </c>
      <c r="J166" s="423">
        <f t="shared" si="68"/>
        <v>56818.987394291726</v>
      </c>
      <c r="K166" s="423">
        <f t="shared" si="68"/>
        <v>59493.90767147061</v>
      </c>
      <c r="L166" s="423">
        <f t="shared" si="68"/>
        <v>61858.538760814627</v>
      </c>
      <c r="M166" s="423">
        <f t="shared" si="68"/>
        <v>63910.871865395588</v>
      </c>
    </row>
    <row r="167" spans="2:13" hidden="1" outlineLevel="1" x14ac:dyDescent="0.3">
      <c r="B167" t="s">
        <v>624</v>
      </c>
      <c r="C167" s="423"/>
      <c r="D167" s="423"/>
      <c r="E167" s="423"/>
      <c r="F167" s="423"/>
      <c r="G167" s="423"/>
      <c r="H167" s="423">
        <f>SUM(H168:H169)</f>
        <v>11353</v>
      </c>
      <c r="I167" s="423">
        <f t="shared" ref="I167:M167" si="69">SUM(I168:I169)</f>
        <v>13354.641345324593</v>
      </c>
      <c r="J167" s="423">
        <f t="shared" si="69"/>
        <v>13796.470713187378</v>
      </c>
      <c r="K167" s="423">
        <f t="shared" si="69"/>
        <v>14318.38237104451</v>
      </c>
      <c r="L167" s="423">
        <f t="shared" si="69"/>
        <v>14630.680355807559</v>
      </c>
      <c r="M167" s="423">
        <f t="shared" si="69"/>
        <v>14630.680355807559</v>
      </c>
    </row>
    <row r="168" spans="2:13" hidden="1" outlineLevel="1" x14ac:dyDescent="0.3">
      <c r="B168" s="451" t="s">
        <v>625</v>
      </c>
      <c r="C168" s="423">
        <v>5370</v>
      </c>
      <c r="D168" s="423">
        <v>6614</v>
      </c>
      <c r="E168" s="423">
        <v>6671</v>
      </c>
      <c r="F168" s="423">
        <v>9197</v>
      </c>
      <c r="G168" s="423">
        <v>11039</v>
      </c>
      <c r="H168" s="423">
        <v>10242</v>
      </c>
      <c r="I168" s="423">
        <f>I114*AVERAGE($C$152:$H$152)</f>
        <v>12243.641345324593</v>
      </c>
      <c r="J168" s="423">
        <f>J114*AVERAGE($C$152:$H$152)</f>
        <v>12685.470713187378</v>
      </c>
      <c r="K168" s="423">
        <f>K114*AVERAGE($C$152:$H$152)</f>
        <v>13207.38237104451</v>
      </c>
      <c r="L168" s="423">
        <f>L114*AVERAGE($C$152:$H$152)</f>
        <v>13519.680355807559</v>
      </c>
      <c r="M168" s="423">
        <f>M114*AVERAGE($C$152:$H$152)</f>
        <v>13519.680355807559</v>
      </c>
    </row>
    <row r="169" spans="2:13" hidden="1" outlineLevel="1" x14ac:dyDescent="0.3">
      <c r="B169" s="451" t="s">
        <v>626</v>
      </c>
      <c r="H169" s="423">
        <v>1111</v>
      </c>
      <c r="I169" s="423">
        <f>H169</f>
        <v>1111</v>
      </c>
      <c r="J169" s="423">
        <f t="shared" ref="J169:M169" si="70">I169</f>
        <v>1111</v>
      </c>
      <c r="K169" s="423">
        <f t="shared" si="70"/>
        <v>1111</v>
      </c>
      <c r="L169" s="423">
        <f t="shared" si="70"/>
        <v>1111</v>
      </c>
      <c r="M169" s="423">
        <f t="shared" si="70"/>
        <v>1111</v>
      </c>
    </row>
    <row r="170" spans="2:13" hidden="1" outlineLevel="1" x14ac:dyDescent="0.3">
      <c r="B170" t="s">
        <v>627</v>
      </c>
      <c r="H170" s="423">
        <f>H171</f>
        <v>0</v>
      </c>
      <c r="I170" s="423">
        <f t="shared" ref="I170:M170" si="71">I171</f>
        <v>0</v>
      </c>
      <c r="J170" s="423">
        <f t="shared" si="71"/>
        <v>0</v>
      </c>
      <c r="K170" s="423">
        <f t="shared" si="71"/>
        <v>0</v>
      </c>
      <c r="L170" s="423">
        <f t="shared" si="71"/>
        <v>0</v>
      </c>
      <c r="M170" s="423">
        <f t="shared" si="71"/>
        <v>0</v>
      </c>
    </row>
    <row r="171" spans="2:13" hidden="1" outlineLevel="1" x14ac:dyDescent="0.3">
      <c r="B171" s="451" t="s">
        <v>630</v>
      </c>
      <c r="H171" s="423">
        <v>0</v>
      </c>
      <c r="I171" s="452">
        <f>H171</f>
        <v>0</v>
      </c>
      <c r="J171" s="452">
        <f t="shared" ref="J171:M171" si="72">I171</f>
        <v>0</v>
      </c>
      <c r="K171" s="452">
        <f t="shared" si="72"/>
        <v>0</v>
      </c>
      <c r="L171" s="452">
        <f t="shared" si="72"/>
        <v>0</v>
      </c>
      <c r="M171" s="452">
        <f t="shared" si="72"/>
        <v>0</v>
      </c>
    </row>
    <row r="172" spans="2:13" hidden="1" outlineLevel="1" x14ac:dyDescent="0.3">
      <c r="B172" t="s">
        <v>628</v>
      </c>
      <c r="H172" s="423">
        <f>H167+H170</f>
        <v>11353</v>
      </c>
      <c r="I172" s="423">
        <f t="shared" ref="I172:M172" si="73">I167+I170</f>
        <v>13354.641345324593</v>
      </c>
      <c r="J172" s="423">
        <f t="shared" si="73"/>
        <v>13796.470713187378</v>
      </c>
      <c r="K172" s="423">
        <f t="shared" si="73"/>
        <v>14318.38237104451</v>
      </c>
      <c r="L172" s="423">
        <f t="shared" si="73"/>
        <v>14630.680355807559</v>
      </c>
      <c r="M172" s="423">
        <f t="shared" si="73"/>
        <v>14630.680355807559</v>
      </c>
    </row>
    <row r="173" spans="2:13" hidden="1" outlineLevel="1" x14ac:dyDescent="0.3">
      <c r="B173" t="s">
        <v>629</v>
      </c>
      <c r="H173" s="423">
        <v>330</v>
      </c>
      <c r="I173" s="423">
        <v>439.7</v>
      </c>
      <c r="J173" s="423">
        <f>I173</f>
        <v>439.7</v>
      </c>
      <c r="K173" s="423">
        <f t="shared" ref="K173:M173" si="74">J173</f>
        <v>439.7</v>
      </c>
      <c r="L173" s="423">
        <f t="shared" si="74"/>
        <v>439.7</v>
      </c>
      <c r="M173" s="423">
        <f t="shared" si="74"/>
        <v>439.7</v>
      </c>
    </row>
    <row r="174" spans="2:13" hidden="1" outlineLevel="1" x14ac:dyDescent="0.3">
      <c r="B174" t="s">
        <v>631</v>
      </c>
      <c r="H174" s="423">
        <v>105.274021</v>
      </c>
      <c r="I174" s="423">
        <f>H174+15000-(I173-H173)</f>
        <v>14995.574020999999</v>
      </c>
      <c r="J174" s="423">
        <f t="shared" ref="J174:M174" si="75">I174</f>
        <v>14995.574020999999</v>
      </c>
      <c r="K174" s="423">
        <f t="shared" si="75"/>
        <v>14995.574020999999</v>
      </c>
      <c r="L174" s="423">
        <f t="shared" si="75"/>
        <v>14995.574020999999</v>
      </c>
      <c r="M174" s="423">
        <f t="shared" si="75"/>
        <v>14995.574020999999</v>
      </c>
    </row>
    <row r="175" spans="2:13" hidden="1" outlineLevel="1" x14ac:dyDescent="0.3">
      <c r="B175" t="s">
        <v>632</v>
      </c>
      <c r="H175" s="423">
        <v>23377</v>
      </c>
      <c r="I175" s="423">
        <f>H175+I123</f>
        <v>25478.811132849522</v>
      </c>
      <c r="J175" s="423">
        <f>I175+J123-1</f>
        <v>27586.516681104345</v>
      </c>
      <c r="K175" s="423">
        <f>J175+K123+1</f>
        <v>29740.525300426096</v>
      </c>
      <c r="L175" s="423">
        <f>K175+L123</f>
        <v>31792.858405007064</v>
      </c>
      <c r="M175" s="423">
        <f>L175+M123</f>
        <v>33845.191509588032</v>
      </c>
    </row>
    <row r="176" spans="2:13" hidden="1" outlineLevel="1" x14ac:dyDescent="0.3">
      <c r="B176" t="s">
        <v>633</v>
      </c>
      <c r="H176" s="423">
        <f>SUM(H173:H175)</f>
        <v>23812.274021000001</v>
      </c>
      <c r="I176" s="423">
        <f t="shared" ref="I176:M176" si="76">SUM(I173:I175)</f>
        <v>40914.085153849519</v>
      </c>
      <c r="J176" s="423">
        <f t="shared" si="76"/>
        <v>43021.790702104343</v>
      </c>
      <c r="K176" s="423">
        <f t="shared" si="76"/>
        <v>45175.799321426093</v>
      </c>
      <c r="L176" s="423">
        <f t="shared" si="76"/>
        <v>47228.132426007061</v>
      </c>
      <c r="M176" s="423">
        <f t="shared" si="76"/>
        <v>49280.46553058803</v>
      </c>
    </row>
    <row r="177" spans="2:13" hidden="1" outlineLevel="1" x14ac:dyDescent="0.3">
      <c r="H177" s="423">
        <f>ROUND(H166-H172,)-ROUND(H176,)</f>
        <v>0</v>
      </c>
      <c r="I177" s="423">
        <f t="shared" ref="I177:M177" si="77">ROUND(I166-I172,)-ROUND(I176,)</f>
        <v>0</v>
      </c>
      <c r="J177" s="423">
        <f t="shared" si="77"/>
        <v>1</v>
      </c>
      <c r="K177" s="423">
        <f t="shared" si="77"/>
        <v>0</v>
      </c>
      <c r="L177" s="423">
        <f t="shared" si="77"/>
        <v>0</v>
      </c>
      <c r="M177" s="423">
        <f t="shared" si="77"/>
        <v>0</v>
      </c>
    </row>
    <row r="178" spans="2:13" hidden="1" outlineLevel="1" collapsed="1" x14ac:dyDescent="0.3">
      <c r="H178" s="423"/>
      <c r="I178" s="423"/>
      <c r="J178" s="423"/>
      <c r="K178" s="423"/>
      <c r="L178" s="423"/>
      <c r="M178" s="423"/>
    </row>
    <row r="179" spans="2:13" hidden="1" outlineLevel="1" x14ac:dyDescent="0.3"/>
    <row r="180" spans="2:13" hidden="1" outlineLevel="1" x14ac:dyDescent="0.3"/>
    <row r="181" spans="2:13" hidden="1" outlineLevel="1" x14ac:dyDescent="0.3"/>
    <row r="182" spans="2:13" hidden="1" outlineLevel="1" x14ac:dyDescent="0.3">
      <c r="C182">
        <v>2022</v>
      </c>
      <c r="D182" s="456">
        <v>2022</v>
      </c>
      <c r="E182" s="457" t="s">
        <v>644</v>
      </c>
      <c r="F182" s="457" t="s">
        <v>645</v>
      </c>
      <c r="G182" s="457" t="s">
        <v>600</v>
      </c>
      <c r="H182" s="457" t="s">
        <v>602</v>
      </c>
    </row>
    <row r="183" spans="2:13" hidden="1" outlineLevel="1" x14ac:dyDescent="0.3">
      <c r="B183" t="s">
        <v>646</v>
      </c>
      <c r="C183" s="423">
        <f>SUM(C185:C198)</f>
        <v>7222062398</v>
      </c>
      <c r="D183" s="458">
        <f>C183/10^6</f>
        <v>7222.062398</v>
      </c>
      <c r="E183" s="458">
        <v>7417</v>
      </c>
      <c r="F183" s="458">
        <v>7763</v>
      </c>
      <c r="G183" s="458">
        <v>8126</v>
      </c>
      <c r="H183" s="458">
        <v>8504</v>
      </c>
    </row>
    <row r="184" spans="2:13" hidden="1" outlineLevel="1" x14ac:dyDescent="0.3">
      <c r="D184" s="353" t="b">
        <f>SUM(D185:D198)=D183</f>
        <v>1</v>
      </c>
      <c r="E184" s="353" t="b">
        <f t="shared" ref="E184:H184" si="78">SUM(E185:E198)=E183</f>
        <v>1</v>
      </c>
      <c r="F184" s="353" t="b">
        <f t="shared" si="78"/>
        <v>1</v>
      </c>
      <c r="G184" s="353" t="b">
        <f t="shared" si="78"/>
        <v>1</v>
      </c>
      <c r="H184" s="353" t="b">
        <f t="shared" si="78"/>
        <v>1</v>
      </c>
    </row>
    <row r="185" spans="2:13" hidden="1" outlineLevel="1" x14ac:dyDescent="0.3">
      <c r="B185" t="s">
        <v>647</v>
      </c>
      <c r="C185" s="423">
        <v>4246442960</v>
      </c>
      <c r="D185" s="458">
        <f t="shared" ref="D185:D207" si="79">C185/10^6</f>
        <v>4246.4429600000003</v>
      </c>
      <c r="E185" s="458">
        <f>E$183*($C185/$C$183)</f>
        <v>4361.0627683086932</v>
      </c>
      <c r="F185" s="458">
        <f t="shared" ref="F185:H207" si="80">F$183*($C185/$C$183)</f>
        <v>4564.504553105081</v>
      </c>
      <c r="G185" s="458">
        <f t="shared" si="80"/>
        <v>4777.9420325301926</v>
      </c>
      <c r="H185" s="458">
        <f t="shared" si="80"/>
        <v>5000.1992425100616</v>
      </c>
    </row>
    <row r="186" spans="2:13" hidden="1" outlineLevel="1" x14ac:dyDescent="0.3">
      <c r="B186" t="s">
        <v>648</v>
      </c>
      <c r="C186" s="423">
        <v>395782082</v>
      </c>
      <c r="D186" s="458">
        <f t="shared" si="79"/>
        <v>395.782082</v>
      </c>
      <c r="E186" s="458">
        <f t="shared" ref="E186:E207" si="81">E$183*($C186/$C$183)</f>
        <v>406.46501517446455</v>
      </c>
      <c r="F186" s="458">
        <f t="shared" si="80"/>
        <v>425.42644098683678</v>
      </c>
      <c r="G186" s="458">
        <f t="shared" si="80"/>
        <v>445.31949754721575</v>
      </c>
      <c r="H186" s="458">
        <f t="shared" si="80"/>
        <v>466.03458123818882</v>
      </c>
    </row>
    <row r="187" spans="2:13" hidden="1" outlineLevel="1" x14ac:dyDescent="0.3">
      <c r="B187" t="s">
        <v>649</v>
      </c>
      <c r="C187" s="423">
        <v>860932219</v>
      </c>
      <c r="D187" s="458">
        <f t="shared" si="79"/>
        <v>860.93221900000003</v>
      </c>
      <c r="E187" s="458">
        <f t="shared" si="81"/>
        <v>884.1704649479824</v>
      </c>
      <c r="F187" s="458">
        <f t="shared" si="80"/>
        <v>925.41665355146108</v>
      </c>
      <c r="G187" s="458">
        <f t="shared" si="80"/>
        <v>968.68938899383909</v>
      </c>
      <c r="H187" s="458">
        <f t="shared" si="80"/>
        <v>1013.7502539999517</v>
      </c>
    </row>
    <row r="188" spans="2:13" hidden="1" outlineLevel="1" x14ac:dyDescent="0.3">
      <c r="B188" t="s">
        <v>650</v>
      </c>
      <c r="C188" s="423">
        <v>104135530</v>
      </c>
      <c r="D188" s="458">
        <f t="shared" si="79"/>
        <v>104.13553</v>
      </c>
      <c r="E188" s="458">
        <f t="shared" si="81"/>
        <v>106.94635180996119</v>
      </c>
      <c r="F188" s="458">
        <f t="shared" si="80"/>
        <v>111.9353551436873</v>
      </c>
      <c r="G188" s="458">
        <f t="shared" si="80"/>
        <v>117.16948291866585</v>
      </c>
      <c r="H188" s="458">
        <f t="shared" si="80"/>
        <v>122.61989696533773</v>
      </c>
    </row>
    <row r="189" spans="2:13" hidden="1" outlineLevel="1" x14ac:dyDescent="0.3">
      <c r="B189" t="s">
        <v>651</v>
      </c>
      <c r="C189" s="423">
        <v>361463596</v>
      </c>
      <c r="D189" s="458">
        <f t="shared" si="79"/>
        <v>361.463596</v>
      </c>
      <c r="E189" s="458">
        <f t="shared" si="81"/>
        <v>371.22020605560544</v>
      </c>
      <c r="F189" s="458">
        <f t="shared" si="80"/>
        <v>388.53747601586429</v>
      </c>
      <c r="G189" s="458">
        <f t="shared" si="80"/>
        <v>406.70559450018203</v>
      </c>
      <c r="H189" s="458">
        <f t="shared" si="80"/>
        <v>425.62446168219884</v>
      </c>
    </row>
    <row r="190" spans="2:13" hidden="1" outlineLevel="1" x14ac:dyDescent="0.3">
      <c r="B190" t="s">
        <v>652</v>
      </c>
      <c r="C190" s="423">
        <v>232600139</v>
      </c>
      <c r="D190" s="458">
        <f t="shared" si="79"/>
        <v>232.60013900000001</v>
      </c>
      <c r="E190" s="458">
        <f t="shared" si="81"/>
        <v>238.87847208863178</v>
      </c>
      <c r="F190" s="458">
        <f t="shared" si="80"/>
        <v>250.02205458056471</v>
      </c>
      <c r="G190" s="458">
        <f t="shared" si="80"/>
        <v>261.71315413134982</v>
      </c>
      <c r="H190" s="458">
        <f t="shared" si="80"/>
        <v>273.88735696935748</v>
      </c>
    </row>
    <row r="191" spans="2:13" hidden="1" outlineLevel="1" x14ac:dyDescent="0.3">
      <c r="B191" t="s">
        <v>653</v>
      </c>
      <c r="C191" s="423">
        <v>67517470</v>
      </c>
      <c r="D191" s="458">
        <f t="shared" si="79"/>
        <v>67.517470000000003</v>
      </c>
      <c r="E191" s="458">
        <f t="shared" si="81"/>
        <v>69.339898687205988</v>
      </c>
      <c r="F191" s="458">
        <f t="shared" si="80"/>
        <v>72.574576447186217</v>
      </c>
      <c r="G191" s="458">
        <f t="shared" si="80"/>
        <v>75.968183461269504</v>
      </c>
      <c r="H191" s="458">
        <f t="shared" si="80"/>
        <v>79.50202217014963</v>
      </c>
    </row>
    <row r="192" spans="2:13" hidden="1" outlineLevel="1" x14ac:dyDescent="0.3">
      <c r="B192" t="s">
        <v>654</v>
      </c>
      <c r="C192" s="423">
        <v>80940174</v>
      </c>
      <c r="D192" s="458">
        <f t="shared" si="79"/>
        <v>80.940173999999999</v>
      </c>
      <c r="E192" s="458">
        <f t="shared" si="81"/>
        <v>83.124907744393042</v>
      </c>
      <c r="F192" s="458">
        <f t="shared" si="80"/>
        <v>87.002650508254433</v>
      </c>
      <c r="G192" s="458">
        <f t="shared" si="80"/>
        <v>91.07091820560035</v>
      </c>
      <c r="H192" s="458">
        <f t="shared" si="80"/>
        <v>95.307296138373786</v>
      </c>
    </row>
    <row r="193" spans="2:8" hidden="1" outlineLevel="1" x14ac:dyDescent="0.3">
      <c r="B193" t="s">
        <v>655</v>
      </c>
      <c r="C193" s="423">
        <v>289610547</v>
      </c>
      <c r="D193" s="458">
        <f t="shared" si="79"/>
        <v>289.610547</v>
      </c>
      <c r="E193" s="458">
        <f t="shared" si="81"/>
        <v>297.42770260387886</v>
      </c>
      <c r="F193" s="458">
        <f t="shared" si="80"/>
        <v>311.3025826228814</v>
      </c>
      <c r="G193" s="458">
        <f t="shared" si="80"/>
        <v>325.85917640004305</v>
      </c>
      <c r="H193" s="458">
        <f t="shared" si="80"/>
        <v>341.01728231675685</v>
      </c>
    </row>
    <row r="194" spans="2:8" hidden="1" outlineLevel="1" x14ac:dyDescent="0.3">
      <c r="B194" t="s">
        <v>656</v>
      </c>
      <c r="C194" s="423">
        <v>92241905</v>
      </c>
      <c r="D194" s="458">
        <f t="shared" si="79"/>
        <v>92.241905000000003</v>
      </c>
      <c r="E194" s="458">
        <f t="shared" si="81"/>
        <v>94.73169458830256</v>
      </c>
      <c r="F194" s="458">
        <f t="shared" si="80"/>
        <v>99.150889185518778</v>
      </c>
      <c r="G194" s="458">
        <f t="shared" si="80"/>
        <v>103.78721184097972</v>
      </c>
      <c r="H194" s="458">
        <f t="shared" si="80"/>
        <v>108.61511807724484</v>
      </c>
    </row>
    <row r="195" spans="2:8" hidden="1" outlineLevel="1" x14ac:dyDescent="0.3">
      <c r="B195" t="s">
        <v>657</v>
      </c>
      <c r="C195" s="423">
        <v>226410332</v>
      </c>
      <c r="D195" s="458">
        <f t="shared" si="79"/>
        <v>226.41033200000001</v>
      </c>
      <c r="E195" s="458">
        <f t="shared" si="81"/>
        <v>232.52159008056245</v>
      </c>
      <c r="F195" s="458">
        <f t="shared" si="80"/>
        <v>243.36862664087991</v>
      </c>
      <c r="G195" s="458">
        <f t="shared" si="80"/>
        <v>254.74861008421874</v>
      </c>
      <c r="H195" s="458">
        <f t="shared" si="80"/>
        <v>266.59884077728236</v>
      </c>
    </row>
    <row r="196" spans="2:8" hidden="1" outlineLevel="1" x14ac:dyDescent="0.3">
      <c r="B196" t="s">
        <v>658</v>
      </c>
      <c r="C196" s="423">
        <v>88288897</v>
      </c>
      <c r="D196" s="458">
        <f t="shared" si="79"/>
        <v>88.288897000000006</v>
      </c>
      <c r="E196" s="458">
        <f t="shared" si="81"/>
        <v>90.671987163991275</v>
      </c>
      <c r="F196" s="458">
        <f t="shared" si="80"/>
        <v>94.901798079285996</v>
      </c>
      <c r="G196" s="458">
        <f t="shared" si="80"/>
        <v>99.33943207423394</v>
      </c>
      <c r="H196" s="458">
        <f t="shared" si="80"/>
        <v>103.96043937475822</v>
      </c>
    </row>
    <row r="197" spans="2:8" hidden="1" outlineLevel="1" x14ac:dyDescent="0.3">
      <c r="B197" t="s">
        <v>659</v>
      </c>
      <c r="C197" s="423">
        <v>109932933</v>
      </c>
      <c r="D197" s="458">
        <f t="shared" si="79"/>
        <v>109.93293300000001</v>
      </c>
      <c r="E197" s="458">
        <f t="shared" si="81"/>
        <v>112.90023806590213</v>
      </c>
      <c r="F197" s="458">
        <f t="shared" si="80"/>
        <v>118.16698774512582</v>
      </c>
      <c r="G197" s="458">
        <f t="shared" si="80"/>
        <v>123.69250836234605</v>
      </c>
      <c r="H197" s="458">
        <f t="shared" si="80"/>
        <v>129.44635627779851</v>
      </c>
    </row>
    <row r="198" spans="2:8" hidden="1" outlineLevel="1" x14ac:dyDescent="0.3">
      <c r="B198" t="s">
        <v>660</v>
      </c>
      <c r="C198" s="423">
        <f>SUM(C199:C207)</f>
        <v>65763614</v>
      </c>
      <c r="D198" s="458">
        <f t="shared" ref="D198" si="82">SUM(D199:D207)</f>
        <v>65.763614000000004</v>
      </c>
      <c r="E198" s="458">
        <f t="shared" si="81"/>
        <v>67.538702680425118</v>
      </c>
      <c r="F198" s="458">
        <f t="shared" si="80"/>
        <v>70.689355387372274</v>
      </c>
      <c r="G198" s="458">
        <f t="shared" si="80"/>
        <v>73.994808949863085</v>
      </c>
      <c r="H198" s="458">
        <f t="shared" si="80"/>
        <v>77.436851502539469</v>
      </c>
    </row>
    <row r="199" spans="2:8" hidden="1" outlineLevel="1" x14ac:dyDescent="0.3">
      <c r="B199" s="451" t="s">
        <v>661</v>
      </c>
      <c r="C199" s="423">
        <v>21761399</v>
      </c>
      <c r="D199" s="458">
        <f t="shared" si="79"/>
        <v>21.761399000000001</v>
      </c>
      <c r="E199" s="458">
        <f t="shared" si="81"/>
        <v>22.348781759030157</v>
      </c>
      <c r="F199" s="458">
        <f t="shared" si="80"/>
        <v>23.391343237879347</v>
      </c>
      <c r="G199" s="458">
        <f t="shared" si="80"/>
        <v>24.485128835631532</v>
      </c>
      <c r="H199" s="458">
        <f t="shared" si="80"/>
        <v>25.624112185356946</v>
      </c>
    </row>
    <row r="200" spans="2:8" hidden="1" outlineLevel="1" x14ac:dyDescent="0.3">
      <c r="B200" s="451" t="s">
        <v>662</v>
      </c>
      <c r="C200" s="423">
        <v>24275568</v>
      </c>
      <c r="D200" s="458">
        <f t="shared" si="79"/>
        <v>24.275568</v>
      </c>
      <c r="E200" s="458">
        <f t="shared" si="81"/>
        <v>24.930813102066473</v>
      </c>
      <c r="F200" s="458">
        <f t="shared" si="80"/>
        <v>26.093825281291899</v>
      </c>
      <c r="G200" s="458">
        <f t="shared" si="80"/>
        <v>27.313979677415688</v>
      </c>
      <c r="H200" s="458">
        <f t="shared" si="80"/>
        <v>28.584553676685086</v>
      </c>
    </row>
    <row r="201" spans="2:8" hidden="1" outlineLevel="1" x14ac:dyDescent="0.3">
      <c r="B201" s="451" t="s">
        <v>663</v>
      </c>
      <c r="C201" s="423">
        <v>2072750</v>
      </c>
      <c r="D201" s="458">
        <f t="shared" si="79"/>
        <v>2.0727500000000001</v>
      </c>
      <c r="E201" s="458">
        <f t="shared" si="81"/>
        <v>2.1286975801063965</v>
      </c>
      <c r="F201" s="458">
        <f t="shared" si="80"/>
        <v>2.2280004468607193</v>
      </c>
      <c r="G201" s="458">
        <f t="shared" si="80"/>
        <v>2.3321823562012374</v>
      </c>
      <c r="H201" s="458">
        <f t="shared" si="80"/>
        <v>2.4406693031178102</v>
      </c>
    </row>
    <row r="202" spans="2:8" hidden="1" outlineLevel="1" x14ac:dyDescent="0.3">
      <c r="B202" s="451" t="s">
        <v>664</v>
      </c>
      <c r="C202" s="423">
        <v>2435160</v>
      </c>
      <c r="D202" s="458">
        <f t="shared" si="79"/>
        <v>2.4351600000000002</v>
      </c>
      <c r="E202" s="458">
        <f t="shared" si="81"/>
        <v>2.5008897354586384</v>
      </c>
      <c r="F202" s="458">
        <f t="shared" si="80"/>
        <v>2.617555213208226</v>
      </c>
      <c r="G202" s="458">
        <f t="shared" si="80"/>
        <v>2.7399528098067814</v>
      </c>
      <c r="H202" s="458">
        <f t="shared" si="80"/>
        <v>2.867408158330897</v>
      </c>
    </row>
    <row r="203" spans="2:8" hidden="1" outlineLevel="1" x14ac:dyDescent="0.3">
      <c r="B203" s="451" t="s">
        <v>665</v>
      </c>
      <c r="C203" s="423">
        <v>7168548</v>
      </c>
      <c r="D203" s="458">
        <f t="shared" si="79"/>
        <v>7.1685480000000004</v>
      </c>
      <c r="E203" s="458">
        <f t="shared" si="81"/>
        <v>7.3620411436384279</v>
      </c>
      <c r="F203" s="458">
        <f t="shared" si="80"/>
        <v>7.7054773355892019</v>
      </c>
      <c r="G203" s="458">
        <f t="shared" si="80"/>
        <v>8.0657875600924722</v>
      </c>
      <c r="H203" s="458">
        <f t="shared" si="80"/>
        <v>8.440986636847942</v>
      </c>
    </row>
    <row r="204" spans="2:8" hidden="1" outlineLevel="1" x14ac:dyDescent="0.3">
      <c r="B204" s="451" t="s">
        <v>666</v>
      </c>
      <c r="C204" s="423">
        <v>28193733</v>
      </c>
      <c r="D204" s="458">
        <f t="shared" si="79"/>
        <v>28.193733000000002</v>
      </c>
      <c r="E204" s="458">
        <f t="shared" si="81"/>
        <v>28.954737045599256</v>
      </c>
      <c r="F204" s="458">
        <f t="shared" si="80"/>
        <v>30.305463622082652</v>
      </c>
      <c r="G204" s="458">
        <f t="shared" si="80"/>
        <v>31.722555377179393</v>
      </c>
      <c r="H204" s="458">
        <f t="shared" si="80"/>
        <v>33.198204642817323</v>
      </c>
    </row>
    <row r="205" spans="2:8" hidden="1" outlineLevel="1" x14ac:dyDescent="0.3">
      <c r="B205" s="451" t="s">
        <v>667</v>
      </c>
      <c r="C205" s="423">
        <v>0</v>
      </c>
      <c r="D205" s="458">
        <f t="shared" si="79"/>
        <v>0</v>
      </c>
      <c r="E205" s="458">
        <f t="shared" si="81"/>
        <v>0</v>
      </c>
      <c r="F205" s="458">
        <f t="shared" si="80"/>
        <v>0</v>
      </c>
      <c r="G205" s="458">
        <f t="shared" si="80"/>
        <v>0</v>
      </c>
      <c r="H205" s="458">
        <f t="shared" si="80"/>
        <v>0</v>
      </c>
    </row>
    <row r="206" spans="2:8" hidden="1" outlineLevel="1" x14ac:dyDescent="0.3">
      <c r="B206" s="451" t="s">
        <v>668</v>
      </c>
      <c r="C206" s="423">
        <v>350000</v>
      </c>
      <c r="D206" s="458">
        <f t="shared" si="79"/>
        <v>0.35</v>
      </c>
      <c r="E206" s="458">
        <f t="shared" si="81"/>
        <v>0.35944718515847973</v>
      </c>
      <c r="F206" s="458">
        <f t="shared" si="80"/>
        <v>0.37621524853515947</v>
      </c>
      <c r="G206" s="458">
        <f t="shared" si="80"/>
        <v>0.3938071762973987</v>
      </c>
      <c r="H206" s="458">
        <f t="shared" si="80"/>
        <v>0.41212604322336677</v>
      </c>
    </row>
    <row r="207" spans="2:8" hidden="1" outlineLevel="1" x14ac:dyDescent="0.3">
      <c r="B207" s="451" t="s">
        <v>669</v>
      </c>
      <c r="C207" s="423">
        <v>-20493544</v>
      </c>
      <c r="D207" s="458">
        <f t="shared" si="79"/>
        <v>-20.493544</v>
      </c>
      <c r="E207" s="458">
        <f t="shared" si="81"/>
        <v>-21.04670487063272</v>
      </c>
      <c r="F207" s="458">
        <f t="shared" si="80"/>
        <v>-22.028524998074936</v>
      </c>
      <c r="G207" s="458">
        <f t="shared" si="80"/>
        <v>-23.058584842761423</v>
      </c>
      <c r="H207" s="458">
        <f t="shared" si="80"/>
        <v>-24.131209143839914</v>
      </c>
    </row>
    <row r="208" spans="2:8" collapsed="1" x14ac:dyDescent="0.3"/>
  </sheetData>
  <mergeCells count="5">
    <mergeCell ref="B4:B5"/>
    <mergeCell ref="S4:S5"/>
    <mergeCell ref="B64:B65"/>
    <mergeCell ref="C64:C65"/>
    <mergeCell ref="B85:B86"/>
  </mergeCells>
  <phoneticPr fontId="5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158C-C3FC-4EEE-9C48-844B24CDA91E}">
  <dimension ref="B3:AZ19"/>
  <sheetViews>
    <sheetView showGridLines="0" zoomScale="115" zoomScaleNormal="115" workbookViewId="0">
      <selection activeCell="T26" sqref="T26"/>
    </sheetView>
  </sheetViews>
  <sheetFormatPr defaultColWidth="9.125" defaultRowHeight="15.6" outlineLevelRow="1" outlineLevelCol="1" x14ac:dyDescent="0.3"/>
  <cols>
    <col min="1" max="1" width="9.125" style="579"/>
    <col min="2" max="2" width="16.75" style="579" bestFit="1" customWidth="1"/>
    <col min="3" max="4" width="11.25" style="579" hidden="1" customWidth="1" outlineLevel="1"/>
    <col min="5" max="5" width="2.75" style="579" bestFit="1" customWidth="1" collapsed="1"/>
    <col min="6" max="6" width="2.75" style="579" bestFit="1" customWidth="1"/>
    <col min="7" max="8" width="3.75" style="579" bestFit="1" customWidth="1"/>
    <col min="9" max="10" width="2.75" style="579" bestFit="1" customWidth="1"/>
    <col min="11" max="12" width="3.75" style="579" bestFit="1" customWidth="1"/>
    <col min="13" max="14" width="2.75" style="579" bestFit="1" customWidth="1"/>
    <col min="15" max="16" width="3.75" style="579" bestFit="1" customWidth="1"/>
    <col min="17" max="18" width="2.75" style="579" bestFit="1" customWidth="1"/>
    <col min="19" max="20" width="3.75" style="579" bestFit="1" customWidth="1"/>
    <col min="21" max="22" width="2.75" style="579" bestFit="1" customWidth="1"/>
    <col min="23" max="24" width="3.75" style="579" bestFit="1" customWidth="1"/>
    <col min="25" max="26" width="2.75" style="579" bestFit="1" customWidth="1"/>
    <col min="27" max="28" width="3.75" style="579" bestFit="1" customWidth="1"/>
    <col min="29" max="30" width="2.75" style="579" bestFit="1" customWidth="1"/>
    <col min="31" max="32" width="3.75" style="579" bestFit="1" customWidth="1"/>
    <col min="33" max="34" width="2.75" style="579" bestFit="1" customWidth="1"/>
    <col min="35" max="36" width="3.75" style="579" bestFit="1" customWidth="1"/>
    <col min="37" max="38" width="2.75" style="579" bestFit="1" customWidth="1"/>
    <col min="39" max="40" width="3.75" style="579" bestFit="1" customWidth="1"/>
    <col min="41" max="42" width="2.75" style="579" bestFit="1" customWidth="1"/>
    <col min="43" max="44" width="3.75" style="579" bestFit="1" customWidth="1"/>
    <col min="45" max="46" width="2.75" style="579" bestFit="1" customWidth="1"/>
    <col min="47" max="48" width="3.75" style="579" bestFit="1" customWidth="1"/>
    <col min="49" max="50" width="2.75" style="579" bestFit="1" customWidth="1"/>
    <col min="51" max="52" width="3.75" style="579" bestFit="1" customWidth="1"/>
    <col min="53" max="16384" width="9.125" style="579"/>
  </cols>
  <sheetData>
    <row r="3" spans="2:52" x14ac:dyDescent="0.3">
      <c r="B3" s="614" t="s">
        <v>102</v>
      </c>
      <c r="C3" s="578"/>
      <c r="D3" s="578"/>
      <c r="E3" s="614">
        <v>2023.02</v>
      </c>
      <c r="F3" s="614"/>
      <c r="G3" s="614"/>
      <c r="H3" s="614"/>
      <c r="I3" s="614">
        <v>2023.03</v>
      </c>
      <c r="J3" s="614"/>
      <c r="K3" s="614"/>
      <c r="L3" s="614"/>
      <c r="M3" s="614">
        <v>2023.04</v>
      </c>
      <c r="N3" s="614"/>
      <c r="O3" s="614"/>
      <c r="P3" s="614"/>
      <c r="Q3" s="614">
        <v>2023.05</v>
      </c>
      <c r="R3" s="614"/>
      <c r="S3" s="614"/>
      <c r="T3" s="614"/>
      <c r="U3" s="614">
        <v>2023.06</v>
      </c>
      <c r="V3" s="614"/>
      <c r="W3" s="614"/>
      <c r="X3" s="614"/>
      <c r="Y3" s="614">
        <v>2023.07</v>
      </c>
      <c r="Z3" s="614"/>
      <c r="AA3" s="614"/>
      <c r="AB3" s="614"/>
      <c r="AC3" s="614">
        <v>2023.08</v>
      </c>
      <c r="AD3" s="614"/>
      <c r="AE3" s="614"/>
      <c r="AF3" s="614"/>
      <c r="AG3" s="614">
        <v>2023.09</v>
      </c>
      <c r="AH3" s="614"/>
      <c r="AI3" s="614"/>
      <c r="AJ3" s="614"/>
      <c r="AK3" s="615" t="s">
        <v>762</v>
      </c>
      <c r="AL3" s="615"/>
      <c r="AM3" s="615"/>
      <c r="AN3" s="615"/>
      <c r="AO3" s="614">
        <v>2023.11</v>
      </c>
      <c r="AP3" s="614"/>
      <c r="AQ3" s="614"/>
      <c r="AR3" s="614"/>
      <c r="AS3" s="614">
        <v>2023.12</v>
      </c>
      <c r="AT3" s="614"/>
      <c r="AU3" s="614"/>
      <c r="AV3" s="614"/>
      <c r="AW3" s="614">
        <v>2024.01</v>
      </c>
      <c r="AX3" s="614"/>
      <c r="AY3" s="614"/>
      <c r="AZ3" s="614"/>
    </row>
    <row r="4" spans="2:52" ht="12" hidden="1" customHeight="1" outlineLevel="1" x14ac:dyDescent="0.3">
      <c r="B4" s="614"/>
      <c r="C4" s="578"/>
      <c r="D4" s="578"/>
      <c r="E4" s="580">
        <v>44958</v>
      </c>
      <c r="F4" s="580">
        <v>44965</v>
      </c>
      <c r="G4" s="580">
        <v>44972</v>
      </c>
      <c r="H4" s="580">
        <v>44979</v>
      </c>
      <c r="I4" s="580">
        <v>44986</v>
      </c>
      <c r="J4" s="580">
        <v>44993</v>
      </c>
      <c r="K4" s="580">
        <v>45000</v>
      </c>
      <c r="L4" s="580">
        <v>45007</v>
      </c>
      <c r="M4" s="580">
        <v>45017</v>
      </c>
      <c r="N4" s="580">
        <v>45024</v>
      </c>
      <c r="O4" s="580">
        <v>45031</v>
      </c>
      <c r="P4" s="580">
        <v>45038</v>
      </c>
      <c r="Q4" s="580">
        <v>45047</v>
      </c>
      <c r="R4" s="580">
        <v>45054</v>
      </c>
      <c r="S4" s="580">
        <f>R4+7</f>
        <v>45061</v>
      </c>
      <c r="T4" s="580">
        <f>S4+7</f>
        <v>45068</v>
      </c>
      <c r="U4" s="580">
        <v>45078</v>
      </c>
      <c r="V4" s="580">
        <f>U4+7</f>
        <v>45085</v>
      </c>
      <c r="W4" s="580">
        <f t="shared" ref="W4:X4" si="0">V4+7</f>
        <v>45092</v>
      </c>
      <c r="X4" s="580">
        <f t="shared" si="0"/>
        <v>45099</v>
      </c>
      <c r="Y4" s="580">
        <v>45108</v>
      </c>
      <c r="Z4" s="580">
        <f>Y4+7</f>
        <v>45115</v>
      </c>
      <c r="AA4" s="580">
        <f t="shared" ref="AA4:AB4" si="1">Z4+7</f>
        <v>45122</v>
      </c>
      <c r="AB4" s="580">
        <f t="shared" si="1"/>
        <v>45129</v>
      </c>
      <c r="AC4" s="580">
        <v>45139</v>
      </c>
      <c r="AD4" s="580">
        <f>AC4+7</f>
        <v>45146</v>
      </c>
      <c r="AE4" s="580">
        <f t="shared" ref="AE4:AF4" si="2">AD4+7</f>
        <v>45153</v>
      </c>
      <c r="AF4" s="580">
        <f t="shared" si="2"/>
        <v>45160</v>
      </c>
      <c r="AG4" s="580">
        <v>45170</v>
      </c>
      <c r="AH4" s="580">
        <f>AG4+7</f>
        <v>45177</v>
      </c>
      <c r="AI4" s="580">
        <f t="shared" ref="AI4:AJ4" si="3">AH4+7</f>
        <v>45184</v>
      </c>
      <c r="AJ4" s="580">
        <f t="shared" si="3"/>
        <v>45191</v>
      </c>
      <c r="AK4" s="580">
        <v>45200</v>
      </c>
      <c r="AL4" s="580">
        <f>AK4+7</f>
        <v>45207</v>
      </c>
      <c r="AM4" s="580">
        <f t="shared" ref="AM4:AN4" si="4">AL4+7</f>
        <v>45214</v>
      </c>
      <c r="AN4" s="580">
        <f t="shared" si="4"/>
        <v>45221</v>
      </c>
      <c r="AO4" s="580">
        <v>45231</v>
      </c>
      <c r="AP4" s="580">
        <f>AO4+7</f>
        <v>45238</v>
      </c>
      <c r="AQ4" s="580">
        <f t="shared" ref="AQ4:AR4" si="5">AP4+7</f>
        <v>45245</v>
      </c>
      <c r="AR4" s="580">
        <f t="shared" si="5"/>
        <v>45252</v>
      </c>
      <c r="AS4" s="580">
        <v>45261</v>
      </c>
      <c r="AT4" s="580">
        <f>AS4+7</f>
        <v>45268</v>
      </c>
      <c r="AU4" s="580">
        <f t="shared" ref="AU4:AV4" si="6">AT4+7</f>
        <v>45275</v>
      </c>
      <c r="AV4" s="580">
        <f t="shared" si="6"/>
        <v>45282</v>
      </c>
      <c r="AW4" s="580">
        <v>45292</v>
      </c>
      <c r="AX4" s="580">
        <f>AW4+7</f>
        <v>45299</v>
      </c>
      <c r="AY4" s="580">
        <f t="shared" ref="AY4:AZ4" si="7">AX4+7</f>
        <v>45306</v>
      </c>
      <c r="AZ4" s="580">
        <f t="shared" si="7"/>
        <v>45313</v>
      </c>
    </row>
    <row r="5" spans="2:52" collapsed="1" x14ac:dyDescent="0.3">
      <c r="B5" s="614"/>
      <c r="C5" s="578" t="s">
        <v>773</v>
      </c>
      <c r="D5" s="578" t="s">
        <v>774</v>
      </c>
      <c r="E5" s="580">
        <v>1</v>
      </c>
      <c r="F5" s="580">
        <v>2</v>
      </c>
      <c r="G5" s="580">
        <v>3</v>
      </c>
      <c r="H5" s="580">
        <v>4</v>
      </c>
      <c r="I5" s="580">
        <v>1</v>
      </c>
      <c r="J5" s="580">
        <v>2</v>
      </c>
      <c r="K5" s="580">
        <v>3</v>
      </c>
      <c r="L5" s="580">
        <v>4</v>
      </c>
      <c r="M5" s="580">
        <v>1</v>
      </c>
      <c r="N5" s="580">
        <v>2</v>
      </c>
      <c r="O5" s="580">
        <v>3</v>
      </c>
      <c r="P5" s="580">
        <v>4</v>
      </c>
      <c r="Q5" s="580">
        <v>1</v>
      </c>
      <c r="R5" s="580">
        <v>2</v>
      </c>
      <c r="S5" s="580">
        <v>3</v>
      </c>
      <c r="T5" s="580">
        <v>4</v>
      </c>
      <c r="U5" s="580">
        <v>1</v>
      </c>
      <c r="V5" s="580">
        <v>2</v>
      </c>
      <c r="W5" s="580">
        <v>3</v>
      </c>
      <c r="X5" s="580">
        <v>4</v>
      </c>
      <c r="Y5" s="580">
        <v>1</v>
      </c>
      <c r="Z5" s="580">
        <v>2</v>
      </c>
      <c r="AA5" s="580">
        <v>3</v>
      </c>
      <c r="AB5" s="580">
        <v>4</v>
      </c>
      <c r="AC5" s="580">
        <v>1</v>
      </c>
      <c r="AD5" s="580">
        <v>2</v>
      </c>
      <c r="AE5" s="580">
        <v>3</v>
      </c>
      <c r="AF5" s="580">
        <v>4</v>
      </c>
      <c r="AG5" s="580">
        <v>1</v>
      </c>
      <c r="AH5" s="580">
        <v>2</v>
      </c>
      <c r="AI5" s="580">
        <v>3</v>
      </c>
      <c r="AJ5" s="580">
        <v>4</v>
      </c>
      <c r="AK5" s="580">
        <v>1</v>
      </c>
      <c r="AL5" s="580">
        <v>2</v>
      </c>
      <c r="AM5" s="580">
        <v>3</v>
      </c>
      <c r="AN5" s="580">
        <v>4</v>
      </c>
      <c r="AO5" s="580">
        <v>1</v>
      </c>
      <c r="AP5" s="580">
        <v>2</v>
      </c>
      <c r="AQ5" s="580">
        <v>3</v>
      </c>
      <c r="AR5" s="580">
        <v>4</v>
      </c>
      <c r="AS5" s="580">
        <v>1</v>
      </c>
      <c r="AT5" s="580">
        <v>2</v>
      </c>
      <c r="AU5" s="580">
        <v>3</v>
      </c>
      <c r="AV5" s="580">
        <v>4</v>
      </c>
      <c r="AW5" s="580">
        <v>1</v>
      </c>
      <c r="AX5" s="580">
        <v>2</v>
      </c>
      <c r="AY5" s="580">
        <v>3</v>
      </c>
      <c r="AZ5" s="580">
        <v>4</v>
      </c>
    </row>
    <row r="6" spans="2:52" x14ac:dyDescent="0.3">
      <c r="B6" s="578" t="s">
        <v>763</v>
      </c>
      <c r="C6" s="581">
        <v>44958</v>
      </c>
      <c r="D6" s="581">
        <v>45107</v>
      </c>
      <c r="E6" s="578"/>
      <c r="F6" s="578"/>
      <c r="G6" s="578"/>
      <c r="H6" s="578"/>
      <c r="I6" s="578"/>
      <c r="J6" s="578"/>
      <c r="K6" s="578"/>
      <c r="L6" s="578"/>
      <c r="M6" s="578"/>
      <c r="N6" s="578"/>
      <c r="O6" s="578"/>
      <c r="P6" s="578"/>
      <c r="Q6" s="578"/>
      <c r="R6" s="578"/>
      <c r="S6" s="578"/>
      <c r="T6" s="578"/>
      <c r="U6" s="578"/>
      <c r="V6" s="578"/>
      <c r="W6" s="578"/>
      <c r="X6" s="578"/>
      <c r="Y6" s="578"/>
      <c r="Z6" s="578"/>
      <c r="AA6" s="578"/>
      <c r="AB6" s="578"/>
      <c r="AC6" s="578"/>
      <c r="AD6" s="578"/>
      <c r="AE6" s="578"/>
      <c r="AF6" s="578"/>
      <c r="AG6" s="578"/>
      <c r="AH6" s="578"/>
      <c r="AI6" s="578"/>
      <c r="AJ6" s="578"/>
      <c r="AK6" s="578"/>
      <c r="AL6" s="578"/>
      <c r="AM6" s="578"/>
      <c r="AN6" s="578"/>
      <c r="AO6" s="578"/>
      <c r="AP6" s="578"/>
      <c r="AQ6" s="578"/>
      <c r="AR6" s="578"/>
      <c r="AS6" s="578"/>
      <c r="AT6" s="578"/>
      <c r="AU6" s="578"/>
      <c r="AV6" s="578"/>
      <c r="AW6" s="578"/>
      <c r="AX6" s="578"/>
      <c r="AY6" s="578"/>
      <c r="AZ6" s="578"/>
    </row>
    <row r="7" spans="2:52" x14ac:dyDescent="0.3">
      <c r="B7" s="578" t="s">
        <v>764</v>
      </c>
      <c r="C7" s="581">
        <v>44972</v>
      </c>
      <c r="D7" s="581">
        <v>45169</v>
      </c>
      <c r="E7" s="578"/>
      <c r="F7" s="578"/>
      <c r="G7" s="578"/>
      <c r="H7" s="578"/>
      <c r="I7" s="578"/>
      <c r="J7" s="578"/>
      <c r="K7" s="578"/>
      <c r="L7" s="578"/>
      <c r="M7" s="578"/>
      <c r="N7" s="578"/>
      <c r="O7" s="578"/>
      <c r="P7" s="578"/>
      <c r="Q7" s="578"/>
      <c r="R7" s="578"/>
      <c r="S7" s="578"/>
      <c r="T7" s="578"/>
      <c r="U7" s="578"/>
      <c r="V7" s="578"/>
      <c r="W7" s="578"/>
      <c r="X7" s="578"/>
      <c r="Y7" s="578"/>
      <c r="Z7" s="578"/>
      <c r="AA7" s="578"/>
      <c r="AB7" s="578"/>
      <c r="AC7" s="578"/>
      <c r="AD7" s="578"/>
      <c r="AE7" s="578"/>
      <c r="AF7" s="578"/>
      <c r="AG7" s="578"/>
      <c r="AH7" s="578"/>
      <c r="AI7" s="578"/>
      <c r="AJ7" s="578"/>
      <c r="AK7" s="578"/>
      <c r="AL7" s="578"/>
      <c r="AM7" s="578"/>
      <c r="AN7" s="578"/>
      <c r="AO7" s="578"/>
      <c r="AP7" s="578"/>
      <c r="AQ7" s="578"/>
      <c r="AR7" s="578"/>
      <c r="AS7" s="578"/>
      <c r="AT7" s="578"/>
      <c r="AU7" s="578"/>
      <c r="AV7" s="578"/>
      <c r="AW7" s="578"/>
      <c r="AX7" s="578"/>
      <c r="AY7" s="578"/>
      <c r="AZ7" s="578"/>
    </row>
    <row r="8" spans="2:52" x14ac:dyDescent="0.3">
      <c r="B8" s="578" t="s">
        <v>765</v>
      </c>
      <c r="C8" s="581">
        <v>45108</v>
      </c>
      <c r="D8" s="581">
        <v>45169</v>
      </c>
      <c r="E8" s="578"/>
      <c r="F8" s="578"/>
      <c r="G8" s="578"/>
      <c r="H8" s="578"/>
      <c r="I8" s="578"/>
      <c r="J8" s="578"/>
      <c r="K8" s="578"/>
      <c r="L8" s="578"/>
      <c r="M8" s="578"/>
      <c r="N8" s="578"/>
      <c r="O8" s="578"/>
      <c r="P8" s="578"/>
      <c r="Q8" s="578"/>
      <c r="R8" s="578"/>
      <c r="S8" s="578"/>
      <c r="T8" s="578"/>
      <c r="U8" s="578"/>
      <c r="V8" s="578"/>
      <c r="W8" s="578"/>
      <c r="X8" s="578"/>
      <c r="Y8" s="578"/>
      <c r="Z8" s="578"/>
      <c r="AA8" s="578"/>
      <c r="AB8" s="578"/>
      <c r="AC8" s="578"/>
      <c r="AD8" s="578"/>
      <c r="AE8" s="578"/>
      <c r="AF8" s="578"/>
      <c r="AG8" s="578"/>
      <c r="AH8" s="578"/>
      <c r="AI8" s="578"/>
      <c r="AJ8" s="578"/>
      <c r="AK8" s="578"/>
      <c r="AL8" s="578"/>
      <c r="AM8" s="578"/>
      <c r="AN8" s="578"/>
      <c r="AO8" s="578"/>
      <c r="AP8" s="578"/>
      <c r="AQ8" s="578"/>
      <c r="AR8" s="578"/>
      <c r="AS8" s="578"/>
      <c r="AT8" s="578"/>
      <c r="AU8" s="578"/>
      <c r="AV8" s="578"/>
      <c r="AW8" s="578"/>
      <c r="AX8" s="578"/>
      <c r="AY8" s="578"/>
      <c r="AZ8" s="578"/>
    </row>
    <row r="9" spans="2:52" x14ac:dyDescent="0.3">
      <c r="B9" s="578" t="s">
        <v>766</v>
      </c>
      <c r="C9" s="581">
        <v>45103</v>
      </c>
      <c r="D9" s="581">
        <v>45199</v>
      </c>
      <c r="E9" s="578"/>
      <c r="F9" s="578"/>
      <c r="G9" s="578"/>
      <c r="H9" s="578"/>
      <c r="I9" s="578"/>
      <c r="J9" s="578"/>
      <c r="K9" s="578"/>
      <c r="L9" s="578"/>
      <c r="M9" s="578"/>
      <c r="N9" s="578"/>
      <c r="O9" s="578"/>
      <c r="P9" s="578"/>
      <c r="Q9" s="578"/>
      <c r="R9" s="578"/>
      <c r="S9" s="578"/>
      <c r="T9" s="578"/>
      <c r="U9" s="578"/>
      <c r="V9" s="578"/>
      <c r="W9" s="578"/>
      <c r="X9" s="578"/>
      <c r="Y9" s="578"/>
      <c r="Z9" s="578"/>
      <c r="AA9" s="578"/>
      <c r="AB9" s="578"/>
      <c r="AC9" s="578"/>
      <c r="AD9" s="578"/>
      <c r="AE9" s="578"/>
      <c r="AF9" s="578"/>
      <c r="AG9" s="578"/>
      <c r="AH9" s="578"/>
      <c r="AI9" s="578"/>
      <c r="AJ9" s="578"/>
      <c r="AK9" s="578"/>
      <c r="AL9" s="578"/>
      <c r="AM9" s="578"/>
      <c r="AN9" s="578"/>
      <c r="AO9" s="578"/>
      <c r="AP9" s="578"/>
      <c r="AQ9" s="578"/>
      <c r="AR9" s="578"/>
      <c r="AS9" s="578"/>
      <c r="AT9" s="578"/>
      <c r="AU9" s="578"/>
      <c r="AV9" s="578"/>
      <c r="AW9" s="578"/>
      <c r="AX9" s="578"/>
      <c r="AY9" s="578"/>
      <c r="AZ9" s="578"/>
    </row>
    <row r="10" spans="2:52" x14ac:dyDescent="0.3">
      <c r="B10" s="578" t="s">
        <v>767</v>
      </c>
      <c r="C10" s="581">
        <v>45117</v>
      </c>
      <c r="D10" s="581">
        <v>45205</v>
      </c>
      <c r="E10" s="578"/>
      <c r="F10" s="578"/>
      <c r="G10" s="578"/>
      <c r="H10" s="578"/>
      <c r="I10" s="578"/>
      <c r="J10" s="578"/>
      <c r="K10" s="578"/>
      <c r="L10" s="578"/>
      <c r="M10" s="578"/>
      <c r="N10" s="578"/>
      <c r="O10" s="578"/>
      <c r="P10" s="578"/>
      <c r="Q10" s="578"/>
      <c r="R10" s="578"/>
      <c r="S10" s="578"/>
      <c r="T10" s="578"/>
      <c r="U10" s="578"/>
      <c r="V10" s="578"/>
      <c r="W10" s="578"/>
      <c r="X10" s="578"/>
      <c r="Y10" s="578"/>
      <c r="Z10" s="578"/>
      <c r="AA10" s="578"/>
      <c r="AB10" s="578"/>
      <c r="AC10" s="578"/>
      <c r="AD10" s="578"/>
      <c r="AE10" s="578"/>
      <c r="AF10" s="578"/>
      <c r="AG10" s="578"/>
      <c r="AH10" s="578"/>
      <c r="AI10" s="578"/>
      <c r="AJ10" s="578"/>
      <c r="AK10" s="578"/>
      <c r="AL10" s="578"/>
      <c r="AM10" s="578"/>
      <c r="AN10" s="578"/>
      <c r="AO10" s="578"/>
      <c r="AP10" s="578"/>
      <c r="AQ10" s="578"/>
      <c r="AR10" s="578"/>
      <c r="AS10" s="578"/>
      <c r="AT10" s="578"/>
      <c r="AU10" s="578"/>
      <c r="AV10" s="578"/>
      <c r="AW10" s="578"/>
      <c r="AX10" s="578"/>
      <c r="AY10" s="578"/>
      <c r="AZ10" s="578"/>
    </row>
    <row r="11" spans="2:52" x14ac:dyDescent="0.3">
      <c r="B11" s="578" t="s">
        <v>768</v>
      </c>
      <c r="C11" s="581">
        <v>45108</v>
      </c>
      <c r="D11" s="581">
        <v>45260</v>
      </c>
      <c r="E11" s="578"/>
      <c r="F11" s="578"/>
      <c r="G11" s="578"/>
      <c r="H11" s="578"/>
      <c r="I11" s="578"/>
      <c r="J11" s="578"/>
      <c r="K11" s="578"/>
      <c r="L11" s="578"/>
      <c r="M11" s="578"/>
      <c r="N11" s="578"/>
      <c r="O11" s="578"/>
      <c r="P11" s="578"/>
      <c r="Q11" s="578"/>
      <c r="R11" s="578"/>
      <c r="S11" s="578"/>
      <c r="T11" s="578"/>
      <c r="U11" s="578"/>
      <c r="V11" s="578"/>
      <c r="W11" s="578"/>
      <c r="X11" s="578"/>
      <c r="Y11" s="578"/>
      <c r="Z11" s="578"/>
      <c r="AA11" s="578"/>
      <c r="AB11" s="578"/>
      <c r="AC11" s="578"/>
      <c r="AD11" s="578"/>
      <c r="AE11" s="578"/>
      <c r="AF11" s="578"/>
      <c r="AG11" s="578"/>
      <c r="AH11" s="578"/>
      <c r="AI11" s="578"/>
      <c r="AJ11" s="578"/>
      <c r="AK11" s="578"/>
      <c r="AL11" s="578"/>
      <c r="AM11" s="578"/>
      <c r="AN11" s="578"/>
      <c r="AO11" s="578"/>
      <c r="AP11" s="578"/>
      <c r="AQ11" s="578"/>
      <c r="AR11" s="578"/>
      <c r="AS11" s="578"/>
      <c r="AT11" s="578"/>
      <c r="AU11" s="578"/>
      <c r="AV11" s="578"/>
      <c r="AW11" s="578"/>
      <c r="AX11" s="578"/>
      <c r="AY11" s="578"/>
      <c r="AZ11" s="578"/>
    </row>
    <row r="12" spans="2:52" x14ac:dyDescent="0.3">
      <c r="B12" s="578" t="s">
        <v>775</v>
      </c>
      <c r="C12" s="581">
        <v>45108</v>
      </c>
      <c r="D12" s="581">
        <v>45169</v>
      </c>
      <c r="E12" s="578"/>
      <c r="F12" s="578"/>
      <c r="G12" s="578"/>
      <c r="H12" s="578"/>
      <c r="I12" s="578"/>
      <c r="J12" s="578"/>
      <c r="K12" s="578"/>
      <c r="L12" s="578"/>
      <c r="M12" s="578"/>
      <c r="N12" s="578"/>
      <c r="O12" s="578"/>
      <c r="P12" s="578"/>
      <c r="Q12" s="578"/>
      <c r="R12" s="578"/>
      <c r="S12" s="578"/>
      <c r="T12" s="578"/>
      <c r="U12" s="578"/>
      <c r="V12" s="578"/>
      <c r="W12" s="578"/>
      <c r="X12" s="578"/>
      <c r="Y12" s="578"/>
      <c r="Z12" s="578"/>
      <c r="AA12" s="578"/>
      <c r="AB12" s="578"/>
      <c r="AC12" s="578"/>
      <c r="AD12" s="578"/>
      <c r="AE12" s="578"/>
      <c r="AF12" s="578"/>
      <c r="AG12" s="578"/>
      <c r="AH12" s="578"/>
      <c r="AI12" s="578"/>
      <c r="AJ12" s="578"/>
      <c r="AK12" s="578"/>
      <c r="AL12" s="578"/>
      <c r="AM12" s="578"/>
      <c r="AN12" s="578"/>
      <c r="AO12" s="578"/>
      <c r="AP12" s="578"/>
      <c r="AQ12" s="578"/>
      <c r="AR12" s="578"/>
      <c r="AS12" s="578"/>
      <c r="AT12" s="578"/>
      <c r="AU12" s="578"/>
      <c r="AV12" s="578"/>
      <c r="AW12" s="578"/>
      <c r="AX12" s="578"/>
      <c r="AY12" s="578"/>
      <c r="AZ12" s="578"/>
    </row>
    <row r="13" spans="2:52" x14ac:dyDescent="0.3">
      <c r="B13" s="578" t="s">
        <v>776</v>
      </c>
      <c r="C13" s="581">
        <v>45170</v>
      </c>
      <c r="D13" s="581">
        <v>45291</v>
      </c>
      <c r="E13" s="578"/>
      <c r="F13" s="578"/>
      <c r="G13" s="578"/>
      <c r="H13" s="578"/>
      <c r="I13" s="578"/>
      <c r="J13" s="578"/>
      <c r="K13" s="578"/>
      <c r="L13" s="578"/>
      <c r="M13" s="578"/>
      <c r="N13" s="578"/>
      <c r="O13" s="578"/>
      <c r="P13" s="578"/>
      <c r="Q13" s="578"/>
      <c r="R13" s="578"/>
      <c r="S13" s="578"/>
      <c r="T13" s="578"/>
      <c r="U13" s="578"/>
      <c r="V13" s="578"/>
      <c r="W13" s="578"/>
      <c r="X13" s="578"/>
      <c r="Y13" s="578"/>
      <c r="Z13" s="578"/>
      <c r="AA13" s="578"/>
      <c r="AB13" s="578"/>
      <c r="AC13" s="578"/>
      <c r="AD13" s="578"/>
      <c r="AE13" s="578"/>
      <c r="AF13" s="578"/>
      <c r="AG13" s="578"/>
      <c r="AH13" s="578"/>
      <c r="AI13" s="578"/>
      <c r="AJ13" s="578"/>
      <c r="AK13" s="578"/>
      <c r="AL13" s="578"/>
      <c r="AM13" s="578"/>
      <c r="AN13" s="578"/>
      <c r="AO13" s="578"/>
      <c r="AP13" s="578"/>
      <c r="AQ13" s="578"/>
      <c r="AR13" s="578"/>
      <c r="AS13" s="578"/>
      <c r="AT13" s="578"/>
      <c r="AU13" s="578"/>
      <c r="AV13" s="578"/>
      <c r="AW13" s="578"/>
      <c r="AX13" s="578"/>
      <c r="AY13" s="578"/>
      <c r="AZ13" s="578"/>
    </row>
    <row r="14" spans="2:52" x14ac:dyDescent="0.3">
      <c r="B14" s="578" t="s">
        <v>777</v>
      </c>
      <c r="C14" s="581">
        <v>45108</v>
      </c>
      <c r="D14" s="581">
        <v>45169</v>
      </c>
      <c r="E14" s="578"/>
      <c r="F14" s="578"/>
      <c r="G14" s="578"/>
      <c r="H14" s="578"/>
      <c r="I14" s="578"/>
      <c r="J14" s="578"/>
      <c r="K14" s="578"/>
      <c r="L14" s="578"/>
      <c r="M14" s="578"/>
      <c r="N14" s="578"/>
      <c r="O14" s="578"/>
      <c r="P14" s="578"/>
      <c r="Q14" s="578"/>
      <c r="R14" s="578"/>
      <c r="S14" s="578"/>
      <c r="T14" s="578"/>
      <c r="U14" s="578"/>
      <c r="V14" s="578"/>
      <c r="W14" s="578"/>
      <c r="X14" s="578"/>
      <c r="Y14" s="578"/>
      <c r="Z14" s="578"/>
      <c r="AA14" s="578"/>
      <c r="AB14" s="578"/>
      <c r="AC14" s="578"/>
      <c r="AD14" s="578"/>
      <c r="AE14" s="578"/>
      <c r="AF14" s="578"/>
      <c r="AG14" s="578"/>
      <c r="AH14" s="578"/>
      <c r="AI14" s="578"/>
      <c r="AJ14" s="578"/>
      <c r="AK14" s="578"/>
      <c r="AL14" s="578"/>
      <c r="AM14" s="578"/>
      <c r="AN14" s="578"/>
      <c r="AO14" s="578"/>
      <c r="AP14" s="578"/>
      <c r="AQ14" s="578"/>
      <c r="AR14" s="578"/>
      <c r="AS14" s="578"/>
      <c r="AT14" s="578"/>
      <c r="AU14" s="578"/>
      <c r="AV14" s="578"/>
      <c r="AW14" s="578"/>
      <c r="AX14" s="578"/>
      <c r="AY14" s="578"/>
      <c r="AZ14" s="578"/>
    </row>
    <row r="15" spans="2:52" x14ac:dyDescent="0.3">
      <c r="B15" s="578" t="s">
        <v>778</v>
      </c>
      <c r="C15" s="581">
        <v>45170</v>
      </c>
      <c r="D15" s="581">
        <v>45291</v>
      </c>
      <c r="E15" s="578"/>
      <c r="F15" s="578"/>
      <c r="G15" s="578"/>
      <c r="H15" s="578"/>
      <c r="I15" s="578"/>
      <c r="J15" s="578"/>
      <c r="K15" s="578"/>
      <c r="L15" s="578"/>
      <c r="M15" s="578"/>
      <c r="N15" s="578"/>
      <c r="O15" s="578"/>
      <c r="P15" s="578"/>
      <c r="Q15" s="578"/>
      <c r="R15" s="578"/>
      <c r="S15" s="578"/>
      <c r="T15" s="578"/>
      <c r="U15" s="578"/>
      <c r="V15" s="578"/>
      <c r="W15" s="578"/>
      <c r="X15" s="578"/>
      <c r="Y15" s="578"/>
      <c r="Z15" s="578"/>
      <c r="AA15" s="578"/>
      <c r="AB15" s="578"/>
      <c r="AC15" s="578"/>
      <c r="AD15" s="578"/>
      <c r="AE15" s="578"/>
      <c r="AF15" s="578"/>
      <c r="AG15" s="578"/>
      <c r="AH15" s="578"/>
      <c r="AI15" s="578"/>
      <c r="AJ15" s="578"/>
      <c r="AK15" s="578"/>
      <c r="AL15" s="578"/>
      <c r="AM15" s="578"/>
      <c r="AN15" s="578"/>
      <c r="AO15" s="578"/>
      <c r="AP15" s="578"/>
      <c r="AQ15" s="578"/>
      <c r="AR15" s="578"/>
      <c r="AS15" s="578"/>
      <c r="AT15" s="578"/>
      <c r="AU15" s="578"/>
      <c r="AV15" s="578"/>
      <c r="AW15" s="578"/>
      <c r="AX15" s="578"/>
      <c r="AY15" s="578"/>
      <c r="AZ15" s="578"/>
    </row>
    <row r="16" spans="2:52" x14ac:dyDescent="0.3">
      <c r="B16" s="578" t="s">
        <v>769</v>
      </c>
      <c r="C16" s="581">
        <v>45231</v>
      </c>
      <c r="D16" s="581">
        <v>45291</v>
      </c>
      <c r="E16" s="578"/>
      <c r="F16" s="578"/>
      <c r="G16" s="578"/>
      <c r="H16" s="578"/>
      <c r="I16" s="578"/>
      <c r="J16" s="578"/>
      <c r="K16" s="578"/>
      <c r="L16" s="578"/>
      <c r="M16" s="578"/>
      <c r="N16" s="578"/>
      <c r="O16" s="578"/>
      <c r="P16" s="578"/>
      <c r="Q16" s="578"/>
      <c r="R16" s="578"/>
      <c r="S16" s="578"/>
      <c r="T16" s="578"/>
      <c r="U16" s="578"/>
      <c r="V16" s="578"/>
      <c r="W16" s="578"/>
      <c r="X16" s="578"/>
      <c r="Y16" s="578"/>
      <c r="Z16" s="578"/>
      <c r="AA16" s="578"/>
      <c r="AB16" s="578"/>
      <c r="AC16" s="578"/>
      <c r="AD16" s="578"/>
      <c r="AE16" s="578"/>
      <c r="AF16" s="578"/>
      <c r="AG16" s="578"/>
      <c r="AH16" s="578"/>
      <c r="AI16" s="578"/>
      <c r="AJ16" s="578"/>
      <c r="AK16" s="578"/>
      <c r="AL16" s="578"/>
      <c r="AM16" s="578"/>
      <c r="AN16" s="578"/>
      <c r="AO16" s="578"/>
      <c r="AP16" s="578"/>
      <c r="AQ16" s="578"/>
      <c r="AR16" s="578"/>
      <c r="AS16" s="578"/>
      <c r="AT16" s="578"/>
      <c r="AU16" s="578"/>
      <c r="AV16" s="578"/>
      <c r="AW16" s="578"/>
      <c r="AX16" s="578"/>
      <c r="AY16" s="578"/>
      <c r="AZ16" s="578"/>
    </row>
    <row r="17" spans="2:52" x14ac:dyDescent="0.3">
      <c r="B17" s="578" t="s">
        <v>770</v>
      </c>
      <c r="C17" s="581">
        <v>45047</v>
      </c>
      <c r="D17" s="581">
        <v>45237</v>
      </c>
      <c r="E17" s="578"/>
      <c r="F17" s="578"/>
      <c r="G17" s="578"/>
      <c r="H17" s="578"/>
      <c r="I17" s="578"/>
      <c r="J17" s="578"/>
      <c r="K17" s="578"/>
      <c r="L17" s="578"/>
      <c r="M17" s="578"/>
      <c r="N17" s="578"/>
      <c r="O17" s="578"/>
      <c r="P17" s="578"/>
      <c r="Q17" s="578"/>
      <c r="R17" s="578"/>
      <c r="S17" s="578"/>
      <c r="T17" s="578"/>
      <c r="U17" s="578"/>
      <c r="V17" s="578"/>
      <c r="W17" s="578"/>
      <c r="X17" s="578"/>
      <c r="Y17" s="578"/>
      <c r="Z17" s="578"/>
      <c r="AA17" s="578"/>
      <c r="AB17" s="578"/>
      <c r="AC17" s="578"/>
      <c r="AD17" s="578"/>
      <c r="AE17" s="578"/>
      <c r="AF17" s="578"/>
      <c r="AG17" s="578"/>
      <c r="AH17" s="578"/>
      <c r="AI17" s="578"/>
      <c r="AJ17" s="578"/>
      <c r="AK17" s="578"/>
      <c r="AL17" s="578"/>
      <c r="AM17" s="578"/>
      <c r="AN17" s="578"/>
      <c r="AO17" s="578"/>
      <c r="AP17" s="578"/>
      <c r="AQ17" s="578"/>
      <c r="AR17" s="578"/>
      <c r="AS17" s="578"/>
      <c r="AT17" s="578"/>
      <c r="AU17" s="578"/>
      <c r="AV17" s="578"/>
      <c r="AW17" s="578"/>
      <c r="AX17" s="578"/>
      <c r="AY17" s="578"/>
      <c r="AZ17" s="578"/>
    </row>
    <row r="18" spans="2:52" x14ac:dyDescent="0.3">
      <c r="B18" s="578" t="s">
        <v>771</v>
      </c>
      <c r="C18" s="581">
        <v>45231</v>
      </c>
      <c r="D18" s="581">
        <v>45291</v>
      </c>
      <c r="E18" s="578"/>
      <c r="F18" s="578"/>
      <c r="G18" s="578"/>
      <c r="H18" s="578"/>
      <c r="I18" s="578"/>
      <c r="J18" s="578"/>
      <c r="K18" s="578"/>
      <c r="L18" s="578"/>
      <c r="M18" s="578"/>
      <c r="N18" s="578"/>
      <c r="O18" s="578"/>
      <c r="P18" s="578"/>
      <c r="Q18" s="578"/>
      <c r="R18" s="578"/>
      <c r="S18" s="578"/>
      <c r="T18" s="578"/>
      <c r="U18" s="578"/>
      <c r="V18" s="578"/>
      <c r="W18" s="578"/>
      <c r="X18" s="578"/>
      <c r="Y18" s="578"/>
      <c r="Z18" s="578"/>
      <c r="AA18" s="578"/>
      <c r="AB18" s="578"/>
      <c r="AC18" s="578"/>
      <c r="AD18" s="578"/>
      <c r="AE18" s="578"/>
      <c r="AF18" s="578"/>
      <c r="AG18" s="578"/>
      <c r="AH18" s="578"/>
      <c r="AI18" s="578"/>
      <c r="AJ18" s="578"/>
      <c r="AK18" s="578"/>
      <c r="AL18" s="578"/>
      <c r="AM18" s="578"/>
      <c r="AN18" s="578"/>
      <c r="AO18" s="578"/>
      <c r="AP18" s="578"/>
      <c r="AQ18" s="578"/>
      <c r="AR18" s="578"/>
      <c r="AS18" s="578"/>
      <c r="AT18" s="578"/>
      <c r="AU18" s="578"/>
      <c r="AV18" s="578"/>
      <c r="AW18" s="578"/>
      <c r="AX18" s="578"/>
      <c r="AY18" s="578"/>
      <c r="AZ18" s="578"/>
    </row>
    <row r="19" spans="2:52" x14ac:dyDescent="0.3">
      <c r="B19" s="578" t="s">
        <v>772</v>
      </c>
      <c r="C19" s="581">
        <v>45292</v>
      </c>
      <c r="D19" s="581">
        <v>45322</v>
      </c>
      <c r="E19" s="578"/>
      <c r="F19" s="578"/>
      <c r="G19" s="578"/>
      <c r="H19" s="578"/>
      <c r="I19" s="578"/>
      <c r="J19" s="578"/>
      <c r="K19" s="578"/>
      <c r="L19" s="578"/>
      <c r="M19" s="578"/>
      <c r="N19" s="578"/>
      <c r="O19" s="578"/>
      <c r="P19" s="578"/>
      <c r="Q19" s="578"/>
      <c r="R19" s="578"/>
      <c r="S19" s="578"/>
      <c r="T19" s="578"/>
      <c r="U19" s="578"/>
      <c r="V19" s="578"/>
      <c r="W19" s="578"/>
      <c r="X19" s="578"/>
      <c r="Y19" s="578"/>
      <c r="Z19" s="578"/>
      <c r="AA19" s="578"/>
      <c r="AB19" s="578"/>
      <c r="AC19" s="578"/>
      <c r="AD19" s="578"/>
      <c r="AE19" s="578"/>
      <c r="AF19" s="578"/>
      <c r="AG19" s="578"/>
      <c r="AH19" s="578"/>
      <c r="AI19" s="578"/>
      <c r="AJ19" s="578"/>
      <c r="AK19" s="578"/>
      <c r="AL19" s="578"/>
      <c r="AM19" s="578"/>
      <c r="AN19" s="578"/>
      <c r="AO19" s="578"/>
      <c r="AP19" s="578"/>
      <c r="AQ19" s="578"/>
      <c r="AR19" s="578"/>
      <c r="AS19" s="578"/>
      <c r="AT19" s="578"/>
      <c r="AU19" s="578"/>
      <c r="AV19" s="578"/>
      <c r="AW19" s="578"/>
      <c r="AX19" s="578"/>
      <c r="AY19" s="578"/>
      <c r="AZ19" s="578"/>
    </row>
  </sheetData>
  <mergeCells count="13">
    <mergeCell ref="AS3:AV3"/>
    <mergeCell ref="AW3:AZ3"/>
    <mergeCell ref="E3:H3"/>
    <mergeCell ref="I3:L3"/>
    <mergeCell ref="M3:P3"/>
    <mergeCell ref="Q3:T3"/>
    <mergeCell ref="U3:X3"/>
    <mergeCell ref="Y3:AB3"/>
    <mergeCell ref="B3:B5"/>
    <mergeCell ref="AC3:AF3"/>
    <mergeCell ref="AG3:AJ3"/>
    <mergeCell ref="AK3:AN3"/>
    <mergeCell ref="AO3:AR3"/>
  </mergeCells>
  <phoneticPr fontId="5" type="noConversion"/>
  <conditionalFormatting sqref="E6:AZ6">
    <cfRule type="expression" dxfId="15" priority="15">
      <formula>AND(E$4&gt;=$C6,E$4&lt;=$D6)</formula>
    </cfRule>
  </conditionalFormatting>
  <conditionalFormatting sqref="E7:AZ7">
    <cfRule type="expression" dxfId="14" priority="14">
      <formula>AND(E$4&gt;=$C7,E$4&lt;=$D7)</formula>
    </cfRule>
  </conditionalFormatting>
  <conditionalFormatting sqref="E8:AZ8">
    <cfRule type="expression" dxfId="13" priority="13">
      <formula>AND(E$4&gt;=$C8,E$4&lt;=$D8)</formula>
    </cfRule>
  </conditionalFormatting>
  <conditionalFormatting sqref="E9:AZ9">
    <cfRule type="expression" dxfId="12" priority="12">
      <formula>AND(E$4&gt;=$C9,E$4&lt;=$D9)</formula>
    </cfRule>
  </conditionalFormatting>
  <conditionalFormatting sqref="E10:AZ10">
    <cfRule type="expression" dxfId="11" priority="11">
      <formula>AND(E$4&gt;=$C10,E$4&lt;=$D10)</formula>
    </cfRule>
  </conditionalFormatting>
  <conditionalFormatting sqref="E11:AZ11">
    <cfRule type="expression" dxfId="10" priority="10">
      <formula>AND(E$4&gt;=$C11,E$4&lt;=$D11)</formula>
    </cfRule>
  </conditionalFormatting>
  <conditionalFormatting sqref="E12:AZ12">
    <cfRule type="expression" dxfId="9" priority="9">
      <formula>AND(E$4&gt;=$C12,E$4&lt;=$D12)</formula>
    </cfRule>
  </conditionalFormatting>
  <conditionalFormatting sqref="E13:AZ13">
    <cfRule type="expression" dxfId="8" priority="8">
      <formula>AND(E$4&gt;=$C13,E$4&lt;=$D13)</formula>
    </cfRule>
  </conditionalFormatting>
  <conditionalFormatting sqref="E14:AZ14">
    <cfRule type="expression" dxfId="7" priority="6">
      <formula>AND(E$4&gt;=$C14,E$4&lt;=$D14)</formula>
    </cfRule>
  </conditionalFormatting>
  <conditionalFormatting sqref="E15:AZ15">
    <cfRule type="expression" dxfId="6" priority="5">
      <formula>AND(E$4&gt;=$C15,E$4&lt;=$D15)</formula>
    </cfRule>
  </conditionalFormatting>
  <conditionalFormatting sqref="E16:AZ16">
    <cfRule type="expression" dxfId="5" priority="4">
      <formula>AND(E$4&gt;=$C16,E$4&lt;=$D16)</formula>
    </cfRule>
  </conditionalFormatting>
  <conditionalFormatting sqref="E17:AZ17">
    <cfRule type="expression" dxfId="4" priority="3">
      <formula>AND(E$4&gt;=$C17,E$4&lt;=$D17)</formula>
    </cfRule>
  </conditionalFormatting>
  <conditionalFormatting sqref="E18:AZ18">
    <cfRule type="expression" dxfId="3" priority="2">
      <formula>AND(E$4&gt;=$C18,E$4&lt;=$D18)</formula>
    </cfRule>
  </conditionalFormatting>
  <conditionalFormatting sqref="E19:AZ19">
    <cfRule type="expression" dxfId="2" priority="1">
      <formula>AND(E$4&gt;=$C19,E$4&lt;=$D19)</formula>
    </cfRule>
  </conditionalFormatting>
  <pageMargins left="0.7" right="0.7" top="0.75" bottom="0.75" header="0.3" footer="0.3"/>
  <pageSetup paperSize="9" orientation="portrait" horizontalDpi="0" verticalDpi="0" r:id="rId1"/>
  <ignoredErrors>
    <ignoredError sqref="AK3" numberStoredAsText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DEE1-5507-4BB0-8295-C87AA0041DFC}">
  <dimension ref="A3:AG222"/>
  <sheetViews>
    <sheetView showGridLines="0" zoomScale="88" zoomScaleNormal="88" workbookViewId="0">
      <selection activeCell="K96" sqref="K96"/>
    </sheetView>
  </sheetViews>
  <sheetFormatPr defaultRowHeight="13.2" outlineLevelRow="1" x14ac:dyDescent="0.3"/>
  <cols>
    <col min="2" max="2" width="17.875" bestFit="1" customWidth="1"/>
    <col min="3" max="3" width="15.125" customWidth="1"/>
    <col min="13" max="13" width="13.375" customWidth="1"/>
    <col min="14" max="14" width="15.125" customWidth="1"/>
    <col min="21" max="21" width="9.625" bestFit="1" customWidth="1"/>
  </cols>
  <sheetData>
    <row r="3" spans="2:30" x14ac:dyDescent="0.3">
      <c r="B3" s="2" t="s">
        <v>566</v>
      </c>
      <c r="N3" s="2" t="s">
        <v>567</v>
      </c>
    </row>
    <row r="4" spans="2:30" x14ac:dyDescent="0.3">
      <c r="C4" s="2"/>
    </row>
    <row r="5" spans="2:30" x14ac:dyDescent="0.3">
      <c r="B5" t="s">
        <v>579</v>
      </c>
      <c r="C5" s="616" t="s">
        <v>102</v>
      </c>
      <c r="D5" s="600" t="s">
        <v>252</v>
      </c>
      <c r="E5" s="597"/>
      <c r="F5" s="600" t="s">
        <v>283</v>
      </c>
      <c r="G5" s="597"/>
      <c r="H5" s="600" t="s">
        <v>258</v>
      </c>
      <c r="I5" s="618"/>
      <c r="J5" s="597"/>
      <c r="K5" s="619" t="s">
        <v>259</v>
      </c>
      <c r="L5" s="620"/>
      <c r="N5" s="597" t="s">
        <v>102</v>
      </c>
      <c r="O5" s="231" t="str">
        <f>운영기간!D4</f>
        <v>1년차</v>
      </c>
      <c r="P5" s="231" t="str">
        <f>운영기간!E4</f>
        <v>2년차</v>
      </c>
      <c r="Q5" s="231" t="str">
        <f>운영기간!F4</f>
        <v>3년차</v>
      </c>
      <c r="R5" s="231" t="str">
        <f>운영기간!G4</f>
        <v>4년차</v>
      </c>
      <c r="S5" s="231" t="str">
        <f>운영기간!H4</f>
        <v>5년차</v>
      </c>
      <c r="T5" s="231" t="str">
        <f>운영기간!I4</f>
        <v>6년차</v>
      </c>
      <c r="U5" s="231" t="str">
        <f>운영기간!J4</f>
        <v>7년차</v>
      </c>
      <c r="V5" s="231" t="str">
        <f>운영기간!K4</f>
        <v>8년차</v>
      </c>
      <c r="W5" s="231" t="str">
        <f>운영기간!L4</f>
        <v>9년차</v>
      </c>
      <c r="X5" s="231" t="str">
        <f>운영기간!M4</f>
        <v>10년차</v>
      </c>
      <c r="Y5" s="231" t="str">
        <f>운영기간!N4</f>
        <v>11년차</v>
      </c>
      <c r="Z5" s="231" t="str">
        <f>운영기간!O4</f>
        <v>12년차</v>
      </c>
      <c r="AA5" s="231" t="str">
        <f>운영기간!P4</f>
        <v>13년차</v>
      </c>
      <c r="AB5" s="295" t="str">
        <f>운영기간!Q4</f>
        <v>14년차</v>
      </c>
      <c r="AC5" s="295" t="str">
        <f>운영기간!R4</f>
        <v>15년차</v>
      </c>
      <c r="AD5" s="600" t="s">
        <v>107</v>
      </c>
    </row>
    <row r="6" spans="2:30" x14ac:dyDescent="0.3">
      <c r="C6" s="617"/>
      <c r="D6" s="232" t="s">
        <v>255</v>
      </c>
      <c r="E6" s="234" t="s">
        <v>256</v>
      </c>
      <c r="F6" s="232" t="s">
        <v>280</v>
      </c>
      <c r="G6" s="232" t="s">
        <v>285</v>
      </c>
      <c r="H6" s="232" t="s">
        <v>278</v>
      </c>
      <c r="I6" s="232" t="s">
        <v>279</v>
      </c>
      <c r="J6" s="232" t="s">
        <v>284</v>
      </c>
      <c r="K6" s="621"/>
      <c r="L6" s="622"/>
      <c r="N6" s="597"/>
      <c r="O6" s="291" t="str">
        <f>운영기간!D5</f>
        <v>2024</v>
      </c>
      <c r="P6" s="291" t="str">
        <f>운영기간!E5</f>
        <v>2025</v>
      </c>
      <c r="Q6" s="291" t="str">
        <f>운영기간!F5</f>
        <v>2026</v>
      </c>
      <c r="R6" s="291" t="str">
        <f>운영기간!G5</f>
        <v>2027</v>
      </c>
      <c r="S6" s="291" t="str">
        <f>운영기간!H5</f>
        <v>2028</v>
      </c>
      <c r="T6" s="291" t="str">
        <f>운영기간!I5</f>
        <v>2029</v>
      </c>
      <c r="U6" s="291" t="str">
        <f>운영기간!J5</f>
        <v>2030</v>
      </c>
      <c r="V6" s="291" t="str">
        <f>운영기간!K5</f>
        <v>2031</v>
      </c>
      <c r="W6" s="291" t="str">
        <f>운영기간!L5</f>
        <v>2032</v>
      </c>
      <c r="X6" s="291" t="str">
        <f>운영기간!M5</f>
        <v>2033</v>
      </c>
      <c r="Y6" s="291" t="str">
        <f>운영기간!N5</f>
        <v>2034</v>
      </c>
      <c r="Z6" s="291" t="str">
        <f>운영기간!O5</f>
        <v>2035</v>
      </c>
      <c r="AA6" s="291" t="str">
        <f>운영기간!P5</f>
        <v>2036</v>
      </c>
      <c r="AB6" s="296" t="str">
        <f>운영기간!Q5</f>
        <v>2037</v>
      </c>
      <c r="AC6" s="296" t="str">
        <f>운영기간!R5</f>
        <v>2038</v>
      </c>
      <c r="AD6" s="600"/>
    </row>
    <row r="7" spans="2:30" x14ac:dyDescent="0.3">
      <c r="C7" s="56" t="s">
        <v>260</v>
      </c>
      <c r="D7" s="251">
        <f>23000*(1+$D$34)</f>
        <v>23000</v>
      </c>
      <c r="E7" s="252" t="s">
        <v>120</v>
      </c>
      <c r="F7" s="251">
        <f>12000*(1+$D$35)*(1+민감도!$D$49)</f>
        <v>12000</v>
      </c>
      <c r="G7" s="256" t="s">
        <v>120</v>
      </c>
      <c r="H7" s="251">
        <f>400*(1+$D$35)*(1+민감도!$D$49)</f>
        <v>400</v>
      </c>
      <c r="I7" s="251">
        <v>10</v>
      </c>
      <c r="J7" s="256" t="s">
        <v>120</v>
      </c>
      <c r="K7" s="251">
        <f>70000*(1+$D$35)*(1+민감도!$D$49)</f>
        <v>70000</v>
      </c>
      <c r="L7" s="238"/>
      <c r="N7" s="56" t="s">
        <v>309</v>
      </c>
      <c r="O7" s="358">
        <f>운영기간!D6</f>
        <v>0.4</v>
      </c>
      <c r="P7" s="358">
        <f>운영기간!E6</f>
        <v>0.5</v>
      </c>
      <c r="Q7" s="358">
        <f>운영기간!F6</f>
        <v>0.6</v>
      </c>
      <c r="R7" s="358">
        <f>운영기간!G6</f>
        <v>0.7</v>
      </c>
      <c r="S7" s="358">
        <f>운영기간!H6</f>
        <v>0.75</v>
      </c>
      <c r="T7" s="358">
        <f>운영기간!I6</f>
        <v>0.75</v>
      </c>
      <c r="U7" s="358">
        <f>운영기간!J6</f>
        <v>0.75</v>
      </c>
      <c r="V7" s="358">
        <f>운영기간!K6</f>
        <v>0.75</v>
      </c>
      <c r="W7" s="358">
        <f>운영기간!L6</f>
        <v>0.75</v>
      </c>
      <c r="X7" s="358">
        <f>운영기간!M6</f>
        <v>0.75</v>
      </c>
      <c r="Y7" s="358">
        <f>운영기간!N6</f>
        <v>0.75</v>
      </c>
      <c r="Z7" s="358">
        <f>운영기간!O6</f>
        <v>0.75</v>
      </c>
      <c r="AA7" s="358">
        <f>운영기간!P6</f>
        <v>0.75</v>
      </c>
      <c r="AB7" s="359">
        <f>운영기간!Q6</f>
        <v>0.75</v>
      </c>
      <c r="AC7" s="359">
        <f>운영기간!R6</f>
        <v>0.75</v>
      </c>
      <c r="AD7" s="440" t="s">
        <v>120</v>
      </c>
    </row>
    <row r="8" spans="2:30" x14ac:dyDescent="0.3">
      <c r="C8" s="56" t="s">
        <v>262</v>
      </c>
      <c r="D8" s="251">
        <f>23000*(1+$D$34)</f>
        <v>23000</v>
      </c>
      <c r="E8" s="252" t="s">
        <v>120</v>
      </c>
      <c r="F8" s="236">
        <f>F7</f>
        <v>12000</v>
      </c>
      <c r="G8" s="256" t="s">
        <v>120</v>
      </c>
      <c r="H8" s="236">
        <f t="shared" ref="H8:I9" si="0">H7</f>
        <v>400</v>
      </c>
      <c r="I8" s="236">
        <f t="shared" si="0"/>
        <v>10</v>
      </c>
      <c r="J8" s="256" t="s">
        <v>120</v>
      </c>
      <c r="K8" s="236">
        <f>K7</f>
        <v>70000</v>
      </c>
      <c r="L8" s="238"/>
      <c r="N8" s="283" t="s">
        <v>103</v>
      </c>
      <c r="O8" s="360">
        <f>O9</f>
        <v>5030.6020173913048</v>
      </c>
      <c r="P8" s="360">
        <f t="shared" ref="P8:AC8" si="1">P9</f>
        <v>13315.470093913045</v>
      </c>
      <c r="Q8" s="360">
        <f t="shared" si="1"/>
        <v>15852.858112695652</v>
      </c>
      <c r="R8" s="360">
        <f t="shared" si="1"/>
        <v>18390.261461478261</v>
      </c>
      <c r="S8" s="360">
        <f t="shared" si="1"/>
        <v>19657.453054219568</v>
      </c>
      <c r="T8" s="360">
        <f t="shared" si="1"/>
        <v>19844.96686606151</v>
      </c>
      <c r="U8" s="360">
        <f t="shared" si="1"/>
        <v>20034.401119615377</v>
      </c>
      <c r="V8" s="360">
        <f t="shared" si="1"/>
        <v>20225.774792780314</v>
      </c>
      <c r="W8" s="360">
        <f t="shared" si="1"/>
        <v>20419.107054367061</v>
      </c>
      <c r="X8" s="360">
        <f t="shared" si="1"/>
        <v>20614.417266001376</v>
      </c>
      <c r="Y8" s="360">
        <f t="shared" si="1"/>
        <v>20811.724984046581</v>
      </c>
      <c r="Z8" s="360">
        <f t="shared" si="1"/>
        <v>21011.049961545315</v>
      </c>
      <c r="AA8" s="360">
        <f t="shared" si="1"/>
        <v>21212.412150180746</v>
      </c>
      <c r="AB8" s="433">
        <f t="shared" si="1"/>
        <v>21415.831702257427</v>
      </c>
      <c r="AC8" s="433">
        <f t="shared" si="1"/>
        <v>21621.328972702006</v>
      </c>
      <c r="AD8" s="433">
        <f>AD9</f>
        <v>279457.6596092555</v>
      </c>
    </row>
    <row r="9" spans="2:30" x14ac:dyDescent="0.3">
      <c r="C9" s="56" t="s">
        <v>263</v>
      </c>
      <c r="D9" s="251">
        <f>23000*(1+$D$34)</f>
        <v>23000</v>
      </c>
      <c r="E9" s="252" t="s">
        <v>120</v>
      </c>
      <c r="F9" s="236">
        <f t="shared" ref="F9" si="2">F8</f>
        <v>12000</v>
      </c>
      <c r="G9" s="256" t="s">
        <v>120</v>
      </c>
      <c r="H9" s="236">
        <f t="shared" si="0"/>
        <v>400</v>
      </c>
      <c r="I9" s="236">
        <f t="shared" si="0"/>
        <v>10</v>
      </c>
      <c r="J9" s="256" t="s">
        <v>120</v>
      </c>
      <c r="K9" s="236">
        <f>K8</f>
        <v>70000</v>
      </c>
      <c r="L9" s="238"/>
      <c r="N9" s="239" t="s">
        <v>377</v>
      </c>
      <c r="O9" s="361">
        <f>SUM(O10:O13)</f>
        <v>5030.6020173913048</v>
      </c>
      <c r="P9" s="361">
        <f t="shared" ref="P9:AB9" si="3">SUM(P10:P13)</f>
        <v>13315.470093913045</v>
      </c>
      <c r="Q9" s="361">
        <f t="shared" si="3"/>
        <v>15852.858112695652</v>
      </c>
      <c r="R9" s="361">
        <f t="shared" si="3"/>
        <v>18390.261461478261</v>
      </c>
      <c r="S9" s="361">
        <f t="shared" si="3"/>
        <v>19657.453054219568</v>
      </c>
      <c r="T9" s="361">
        <f t="shared" si="3"/>
        <v>19844.96686606151</v>
      </c>
      <c r="U9" s="361">
        <f t="shared" si="3"/>
        <v>20034.401119615377</v>
      </c>
      <c r="V9" s="361">
        <f t="shared" si="3"/>
        <v>20225.774792780314</v>
      </c>
      <c r="W9" s="361">
        <f t="shared" si="3"/>
        <v>20419.107054367061</v>
      </c>
      <c r="X9" s="361">
        <f t="shared" si="3"/>
        <v>20614.417266001376</v>
      </c>
      <c r="Y9" s="361">
        <f t="shared" si="3"/>
        <v>20811.724984046581</v>
      </c>
      <c r="Z9" s="361">
        <f t="shared" si="3"/>
        <v>21011.049961545315</v>
      </c>
      <c r="AA9" s="361">
        <f t="shared" si="3"/>
        <v>21212.412150180746</v>
      </c>
      <c r="AB9" s="434">
        <f t="shared" si="3"/>
        <v>21415.831702257427</v>
      </c>
      <c r="AC9" s="434">
        <f t="shared" ref="AC9" si="4">SUM(AC10:AC13)</f>
        <v>21621.328972702006</v>
      </c>
      <c r="AD9" s="434">
        <f>SUM(AD10:AD13)</f>
        <v>279457.6596092555</v>
      </c>
    </row>
    <row r="10" spans="2:30" x14ac:dyDescent="0.3">
      <c r="C10" s="56" t="s">
        <v>264</v>
      </c>
      <c r="D10" s="251">
        <f>30000*(1+$D$34)</f>
        <v>30000</v>
      </c>
      <c r="E10" s="252" t="s">
        <v>120</v>
      </c>
      <c r="F10" s="251">
        <f>7500*(1+$D$35)*(1+민감도!$D$49)</f>
        <v>7500</v>
      </c>
      <c r="G10" s="251">
        <f>180000*(1+$D$35)*(1+민감도!$D$49)</f>
        <v>180000</v>
      </c>
      <c r="H10" s="251">
        <f>100*(1+$D$35)*(1+민감도!$D$49)</f>
        <v>100</v>
      </c>
      <c r="I10" s="251">
        <v>30</v>
      </c>
      <c r="J10" s="256" t="s">
        <v>120</v>
      </c>
      <c r="K10" s="251">
        <f>50000*(1+$D$35)*(1+민감도!$D$49)</f>
        <v>50000</v>
      </c>
      <c r="L10" s="238"/>
      <c r="N10" s="287" t="s">
        <v>320</v>
      </c>
      <c r="O10" s="362">
        <f>운영기간!D9</f>
        <v>3057.4434782608696</v>
      </c>
      <c r="P10" s="362">
        <f>운영기간!E9</f>
        <v>7720.0447826086956</v>
      </c>
      <c r="Q10" s="362">
        <f>운영기간!F9</f>
        <v>9264.0537391304351</v>
      </c>
      <c r="R10" s="362">
        <f>운영기간!G9</f>
        <v>10808.062695652174</v>
      </c>
      <c r="S10" s="362">
        <f>운영기간!H9</f>
        <v>11580.067173913043</v>
      </c>
      <c r="T10" s="363">
        <f>운영기간!I9</f>
        <v>11695.867845652174</v>
      </c>
      <c r="U10" s="363">
        <f>운영기간!J9</f>
        <v>11812.826524108696</v>
      </c>
      <c r="V10" s="363">
        <f>운영기간!K9</f>
        <v>11930.954789349782</v>
      </c>
      <c r="W10" s="363">
        <f>운영기간!L9</f>
        <v>12050.264337243279</v>
      </c>
      <c r="X10" s="363">
        <f>운영기간!M9</f>
        <v>12170.766980615712</v>
      </c>
      <c r="Y10" s="363">
        <f>운영기간!N9</f>
        <v>12292.474650421869</v>
      </c>
      <c r="Z10" s="363">
        <f>운영기간!O9</f>
        <v>12415.399396926088</v>
      </c>
      <c r="AA10" s="363">
        <f>운영기간!P9</f>
        <v>12539.553390895349</v>
      </c>
      <c r="AB10" s="363">
        <f>운영기간!Q9</f>
        <v>12664.948924804303</v>
      </c>
      <c r="AC10" s="363">
        <f>운영기간!R9</f>
        <v>12791.598414052345</v>
      </c>
      <c r="AD10" s="363">
        <f>SUM(O10:AC10)</f>
        <v>164794.32712363481</v>
      </c>
    </row>
    <row r="11" spans="2:30" x14ac:dyDescent="0.3">
      <c r="C11" s="56" t="s">
        <v>265</v>
      </c>
      <c r="D11" s="252" t="s">
        <v>120</v>
      </c>
      <c r="E11" s="251">
        <f>400*(1+$D$34)</f>
        <v>400</v>
      </c>
      <c r="F11" s="256" t="s">
        <v>120</v>
      </c>
      <c r="G11" s="251">
        <f>280000*(1+$D$35)*(1+민감도!$D$49)</f>
        <v>280000</v>
      </c>
      <c r="H11" s="256" t="s">
        <v>120</v>
      </c>
      <c r="I11" s="256" t="s">
        <v>120</v>
      </c>
      <c r="J11" s="251">
        <f>18000*(1+$D$35)*(1+민감도!$D$49)</f>
        <v>18000</v>
      </c>
      <c r="K11" s="251">
        <f>80000*(1+$D$35)*(1+민감도!$D$49)</f>
        <v>80000</v>
      </c>
      <c r="L11" s="257">
        <f>50000*(1+$D$35)*(1+민감도!$D$49)</f>
        <v>50000</v>
      </c>
      <c r="N11" s="288" t="s">
        <v>322</v>
      </c>
      <c r="O11" s="364">
        <f>운영기간!D10</f>
        <v>1123.5168000000001</v>
      </c>
      <c r="P11" s="364">
        <f>운영기간!E10</f>
        <v>2836.8799199999999</v>
      </c>
      <c r="Q11" s="364">
        <f>운영기간!F10</f>
        <v>3404.2559039999996</v>
      </c>
      <c r="R11" s="364">
        <f>운영기간!G10</f>
        <v>3971.6318879999994</v>
      </c>
      <c r="S11" s="364">
        <f>운영기간!H10</f>
        <v>4255.31988</v>
      </c>
      <c r="T11" s="365">
        <f>운영기간!I10</f>
        <v>4297.8730788000003</v>
      </c>
      <c r="U11" s="365">
        <f>운영기간!J10</f>
        <v>4340.8518095879999</v>
      </c>
      <c r="V11" s="365">
        <f>운영기간!K10</f>
        <v>4384.26032768388</v>
      </c>
      <c r="W11" s="365">
        <f>운영기간!L10</f>
        <v>4428.1029309607184</v>
      </c>
      <c r="X11" s="365">
        <f>운영기간!M10</f>
        <v>4472.3839602703256</v>
      </c>
      <c r="Y11" s="365">
        <f>운영기간!N10</f>
        <v>4517.1077998730289</v>
      </c>
      <c r="Z11" s="365">
        <f>운영기간!O10</f>
        <v>4562.2788778717595</v>
      </c>
      <c r="AA11" s="365">
        <f>운영기간!P10</f>
        <v>4607.9016666504767</v>
      </c>
      <c r="AB11" s="365">
        <f>운영기간!Q10</f>
        <v>4653.9806833169814</v>
      </c>
      <c r="AC11" s="365">
        <f>운영기간!R10</f>
        <v>4700.5204901501511</v>
      </c>
      <c r="AD11" s="365">
        <f>SUM(O11:AC11)</f>
        <v>60556.86601716531</v>
      </c>
    </row>
    <row r="12" spans="2:30" x14ac:dyDescent="0.3">
      <c r="C12" s="56" t="s">
        <v>267</v>
      </c>
      <c r="D12" s="252" t="s">
        <v>120</v>
      </c>
      <c r="E12" s="251">
        <f>500*(1+$D$34)</f>
        <v>500</v>
      </c>
      <c r="F12" s="256" t="s">
        <v>120</v>
      </c>
      <c r="G12" s="251">
        <f>180000*(1+$D$35)*(1+민감도!$D$49)</f>
        <v>180000</v>
      </c>
      <c r="H12" s="251">
        <f>50000/I12*(1+$D$35)*(1+민감도!$D$49)</f>
        <v>1666.6666666666667</v>
      </c>
      <c r="I12" s="251">
        <v>30</v>
      </c>
      <c r="J12" s="251">
        <f>18000*(1+$D$35)*(1+민감도!$D$49)</f>
        <v>18000</v>
      </c>
      <c r="K12" s="251">
        <f>50000*(1+$D$35)*(1+민감도!$D$49)</f>
        <v>50000</v>
      </c>
      <c r="L12" s="257">
        <f>30000*(1+$D$35)*(1+민감도!$D$49)</f>
        <v>30000</v>
      </c>
      <c r="N12" s="288" t="s">
        <v>321</v>
      </c>
      <c r="O12" s="364">
        <f>운영기간!D11</f>
        <v>849.64173913043476</v>
      </c>
      <c r="P12" s="364">
        <f>운영기간!E11</f>
        <v>2145.3453913043477</v>
      </c>
      <c r="Q12" s="364">
        <f>운영기간!F11</f>
        <v>2574.4144695652171</v>
      </c>
      <c r="R12" s="364">
        <f>운영기간!G11</f>
        <v>3003.4835478260866</v>
      </c>
      <c r="S12" s="364">
        <f>운영기간!H11</f>
        <v>3218.0180869565215</v>
      </c>
      <c r="T12" s="365">
        <f>운영기간!I11</f>
        <v>3250.198267826087</v>
      </c>
      <c r="U12" s="365">
        <f>운영기간!J11</f>
        <v>3282.7002505043479</v>
      </c>
      <c r="V12" s="365">
        <f>운영기간!K11</f>
        <v>3315.5272530093912</v>
      </c>
      <c r="W12" s="365">
        <f>운영기간!L11</f>
        <v>3348.6825255394851</v>
      </c>
      <c r="X12" s="365">
        <f>운영기간!M11</f>
        <v>3382.1693507948798</v>
      </c>
      <c r="Y12" s="365">
        <f>운영기간!N11</f>
        <v>3415.9910443028289</v>
      </c>
      <c r="Z12" s="365">
        <f>운영기간!O11</f>
        <v>3450.1509547458572</v>
      </c>
      <c r="AA12" s="365">
        <f>운영기간!P11</f>
        <v>3484.6524642933159</v>
      </c>
      <c r="AB12" s="365">
        <f>운영기간!Q11</f>
        <v>3519.4989889362491</v>
      </c>
      <c r="AC12" s="365">
        <f>운영기간!R11</f>
        <v>3554.6939788256118</v>
      </c>
      <c r="AD12" s="365">
        <f>SUM(O12:AC12)</f>
        <v>45795.168313560658</v>
      </c>
    </row>
    <row r="13" spans="2:30" x14ac:dyDescent="0.3">
      <c r="C13" s="56" t="s">
        <v>269</v>
      </c>
      <c r="D13" s="252" t="s">
        <v>120</v>
      </c>
      <c r="E13" s="251">
        <f>400*(1+$D$34)</f>
        <v>400</v>
      </c>
      <c r="F13" s="256" t="s">
        <v>120</v>
      </c>
      <c r="G13" s="251">
        <f>40000*(1+$D$35)*(1+민감도!$D$49)</f>
        <v>40000</v>
      </c>
      <c r="H13" s="251">
        <f>5000*(1+$D$35)*(1+민감도!$D$49)</f>
        <v>5000</v>
      </c>
      <c r="I13" s="251">
        <v>10</v>
      </c>
      <c r="J13" s="256" t="s">
        <v>120</v>
      </c>
      <c r="K13" s="251">
        <f>80000*(1+$D$35)*(1+민감도!$D$49)</f>
        <v>80000</v>
      </c>
      <c r="L13" s="257">
        <f>50000*(1+$D$35)*(1+민감도!$D$49)</f>
        <v>50000</v>
      </c>
      <c r="N13" s="286" t="s">
        <v>323</v>
      </c>
      <c r="O13" s="444" t="str">
        <f>운영기간!D12</f>
        <v>-</v>
      </c>
      <c r="P13" s="366">
        <f>운영기간!E12</f>
        <v>613.20000000000005</v>
      </c>
      <c r="Q13" s="366">
        <f>운영기간!F12</f>
        <v>610.13400000000001</v>
      </c>
      <c r="R13" s="366">
        <f>운영기간!G12</f>
        <v>607.08333000000005</v>
      </c>
      <c r="S13" s="366">
        <f>운영기간!H12</f>
        <v>604.04791335000004</v>
      </c>
      <c r="T13" s="366">
        <f>운영기간!I12</f>
        <v>601.02767378325007</v>
      </c>
      <c r="U13" s="366">
        <f>운영기간!J12</f>
        <v>598.02253541433379</v>
      </c>
      <c r="V13" s="366">
        <f>운영기간!K12</f>
        <v>595.0324227372621</v>
      </c>
      <c r="W13" s="366">
        <f>운영기간!L12</f>
        <v>592.05726062357576</v>
      </c>
      <c r="X13" s="366">
        <f>운영기간!M12</f>
        <v>589.09697432045789</v>
      </c>
      <c r="Y13" s="366">
        <f>운영기간!N12</f>
        <v>586.15148944885561</v>
      </c>
      <c r="Z13" s="366">
        <f>운영기간!O12</f>
        <v>583.22073200161128</v>
      </c>
      <c r="AA13" s="366">
        <f>운영기간!P12</f>
        <v>580.30462834160323</v>
      </c>
      <c r="AB13" s="367">
        <f>운영기간!Q12</f>
        <v>577.40310519989521</v>
      </c>
      <c r="AC13" s="367">
        <f>운영기간!R12</f>
        <v>574.51608967389575</v>
      </c>
      <c r="AD13" s="367">
        <f>SUM(O13:AC13)</f>
        <v>8311.2981548947409</v>
      </c>
    </row>
    <row r="14" spans="2:30" x14ac:dyDescent="0.3">
      <c r="N14" s="283" t="s">
        <v>104</v>
      </c>
      <c r="O14" s="360">
        <f>O15+O26</f>
        <v>-4754.6132399668832</v>
      </c>
      <c r="P14" s="360">
        <f t="shared" ref="P14:AB14" si="5">P15+P26</f>
        <v>-11649.626654512476</v>
      </c>
      <c r="Q14" s="360">
        <f t="shared" si="5"/>
        <v>-13942.521452628822</v>
      </c>
      <c r="R14" s="360">
        <f t="shared" si="5"/>
        <v>-17355.751756116682</v>
      </c>
      <c r="S14" s="360">
        <f t="shared" si="5"/>
        <v>-18111.679660231122</v>
      </c>
      <c r="T14" s="360">
        <f t="shared" si="5"/>
        <v>-18167.317367158033</v>
      </c>
      <c r="U14" s="360">
        <f t="shared" si="5"/>
        <v>-18224.900475513125</v>
      </c>
      <c r="V14" s="360">
        <f t="shared" si="5"/>
        <v>-18284.347312124242</v>
      </c>
      <c r="W14" s="360">
        <f t="shared" si="5"/>
        <v>-18345.787027276299</v>
      </c>
      <c r="X14" s="360">
        <f t="shared" si="5"/>
        <v>-18408.928146915234</v>
      </c>
      <c r="Y14" s="360">
        <f t="shared" si="5"/>
        <v>-18474.111000290304</v>
      </c>
      <c r="Z14" s="360">
        <f t="shared" si="5"/>
        <v>-18541.255303516045</v>
      </c>
      <c r="AA14" s="360">
        <f t="shared" si="5"/>
        <v>-18610.491618576209</v>
      </c>
      <c r="AB14" s="433">
        <f t="shared" si="5"/>
        <v>-18681.529905922216</v>
      </c>
      <c r="AC14" s="433">
        <f t="shared" ref="AC14" si="6">AC15+AC26</f>
        <v>-18192.211952517308</v>
      </c>
      <c r="AD14" s="433">
        <f>AD15+AD26</f>
        <v>-249745.07287326496</v>
      </c>
    </row>
    <row r="15" spans="2:30" x14ac:dyDescent="0.3">
      <c r="B15" t="s">
        <v>580</v>
      </c>
      <c r="C15" s="616" t="s">
        <v>102</v>
      </c>
      <c r="D15" s="600" t="s">
        <v>283</v>
      </c>
      <c r="E15" s="597"/>
      <c r="F15" s="619" t="s">
        <v>259</v>
      </c>
      <c r="G15" s="620"/>
      <c r="N15" s="239" t="s">
        <v>378</v>
      </c>
      <c r="O15" s="361">
        <f>SUM(O16:O25)</f>
        <v>-4140.496302808413</v>
      </c>
      <c r="P15" s="361">
        <f t="shared" ref="P15:AB15" si="7">SUM(P16:P25)</f>
        <v>-10420.397654512477</v>
      </c>
      <c r="Q15" s="361">
        <f t="shared" si="7"/>
        <v>-12150.792452628823</v>
      </c>
      <c r="R15" s="361">
        <f t="shared" si="7"/>
        <v>-13940.650342075587</v>
      </c>
      <c r="S15" s="361">
        <f t="shared" si="7"/>
        <v>-14798.908753981123</v>
      </c>
      <c r="T15" s="361">
        <f t="shared" si="7"/>
        <v>-14957.087453116937</v>
      </c>
      <c r="U15" s="361">
        <f t="shared" si="7"/>
        <v>-15117.106311472029</v>
      </c>
      <c r="V15" s="361">
        <f t="shared" si="7"/>
        <v>-15278.988898083146</v>
      </c>
      <c r="W15" s="361">
        <f t="shared" si="7"/>
        <v>-15442.7591210263</v>
      </c>
      <c r="X15" s="361">
        <f t="shared" si="7"/>
        <v>-15608.44123287414</v>
      </c>
      <c r="Y15" s="361">
        <f t="shared" si="7"/>
        <v>-15776.059836249207</v>
      </c>
      <c r="Z15" s="361">
        <f t="shared" si="7"/>
        <v>-15945.639889474949</v>
      </c>
      <c r="AA15" s="361">
        <f t="shared" si="7"/>
        <v>-16117.20671232621</v>
      </c>
      <c r="AB15" s="434">
        <f t="shared" si="7"/>
        <v>-16290.785991881119</v>
      </c>
      <c r="AC15" s="434">
        <f t="shared" ref="AC15" si="8">SUM(AC16:AC25)</f>
        <v>-16466.403788476211</v>
      </c>
      <c r="AD15" s="434">
        <f>SUM(AD16:AD25)</f>
        <v>-212451.72474098662</v>
      </c>
    </row>
    <row r="16" spans="2:30" x14ac:dyDescent="0.3">
      <c r="C16" s="617"/>
      <c r="D16" s="232" t="s">
        <v>280</v>
      </c>
      <c r="E16" s="232" t="s">
        <v>285</v>
      </c>
      <c r="F16" s="621"/>
      <c r="G16" s="622"/>
      <c r="N16" s="287" t="s">
        <v>310</v>
      </c>
      <c r="O16" s="362">
        <f>운영기간!D15</f>
        <v>-21.235720000000001</v>
      </c>
      <c r="P16" s="362">
        <f>운영기간!E15</f>
        <v>-272.89998000000003</v>
      </c>
      <c r="Q16" s="362">
        <f>운영기간!F15</f>
        <v>-272.89998000000003</v>
      </c>
      <c r="R16" s="362">
        <f>운영기간!G15</f>
        <v>-272.89998000000003</v>
      </c>
      <c r="S16" s="362">
        <f>운영기간!H15</f>
        <v>-272.89998000000003</v>
      </c>
      <c r="T16" s="362">
        <f>운영기간!I15</f>
        <v>-272.89998000000003</v>
      </c>
      <c r="U16" s="362">
        <f>운영기간!J15</f>
        <v>-272.89998000000003</v>
      </c>
      <c r="V16" s="362">
        <f>운영기간!K15</f>
        <v>-272.89998000000003</v>
      </c>
      <c r="W16" s="362">
        <f>운영기간!L15</f>
        <v>-272.89998000000003</v>
      </c>
      <c r="X16" s="362">
        <f>운영기간!M15</f>
        <v>-272.89998000000003</v>
      </c>
      <c r="Y16" s="362">
        <f>운영기간!N15</f>
        <v>-272.89998000000003</v>
      </c>
      <c r="Z16" s="362">
        <f>운영기간!O15</f>
        <v>-272.89998000000003</v>
      </c>
      <c r="AA16" s="362">
        <f>운영기간!P15</f>
        <v>-272.89998000000003</v>
      </c>
      <c r="AB16" s="363">
        <f>운영기간!Q15</f>
        <v>-272.89998000000003</v>
      </c>
      <c r="AC16" s="363">
        <f>운영기간!R15</f>
        <v>-272.89998000000003</v>
      </c>
      <c r="AD16" s="363">
        <f t="shared" ref="AD16:AD25" si="9">SUM(O16:AC16)</f>
        <v>-3841.8354400000017</v>
      </c>
    </row>
    <row r="17" spans="2:30" x14ac:dyDescent="0.3">
      <c r="C17" s="56" t="s">
        <v>260</v>
      </c>
      <c r="D17" s="422">
        <f>10000*(1+$D$35)*(1+민감도!$D$50)</f>
        <v>10000</v>
      </c>
      <c r="E17" s="256" t="s">
        <v>120</v>
      </c>
      <c r="F17" s="236">
        <f>K7*G17*(1+민감도!$D$50)</f>
        <v>63000</v>
      </c>
      <c r="G17" s="57">
        <v>0.9</v>
      </c>
      <c r="J17" s="249"/>
      <c r="K17" s="249"/>
      <c r="L17" s="249"/>
      <c r="N17" s="288" t="s">
        <v>311</v>
      </c>
      <c r="O17" s="364">
        <f>운영기간!D16</f>
        <v>-3237.0678260869568</v>
      </c>
      <c r="P17" s="364">
        <f>운영기간!E16</f>
        <v>-8173.5962608695654</v>
      </c>
      <c r="Q17" s="364">
        <f>운영기간!F16</f>
        <v>-9808.3155130434789</v>
      </c>
      <c r="R17" s="364">
        <f>운영기간!G16</f>
        <v>-11443.034765217391</v>
      </c>
      <c r="S17" s="364">
        <f>운영기간!H16</f>
        <v>-12260.394391304348</v>
      </c>
      <c r="T17" s="365">
        <f>운영기간!I16</f>
        <v>-12382.998335217391</v>
      </c>
      <c r="U17" s="365">
        <f>운영기간!J16</f>
        <v>-12506.828318569565</v>
      </c>
      <c r="V17" s="365">
        <f>운영기간!K16</f>
        <v>-12631.896601755261</v>
      </c>
      <c r="W17" s="365">
        <f>운영기간!L16</f>
        <v>-12758.215567772813</v>
      </c>
      <c r="X17" s="365">
        <f>운영기간!M16</f>
        <v>-12885.797723450542</v>
      </c>
      <c r="Y17" s="365">
        <f>운영기간!N16</f>
        <v>-13014.655700685047</v>
      </c>
      <c r="Z17" s="365">
        <f>운영기간!O16</f>
        <v>-13144.802257691897</v>
      </c>
      <c r="AA17" s="365">
        <f>운영기간!P16</f>
        <v>-13276.250280268816</v>
      </c>
      <c r="AB17" s="365">
        <f>운영기간!Q16</f>
        <v>-13409.012783071505</v>
      </c>
      <c r="AC17" s="365">
        <f>운영기간!R16</f>
        <v>-13543.10291090222</v>
      </c>
      <c r="AD17" s="365">
        <f t="shared" si="9"/>
        <v>-174475.96923590678</v>
      </c>
    </row>
    <row r="18" spans="2:30" x14ac:dyDescent="0.3">
      <c r="C18" s="56" t="s">
        <v>262</v>
      </c>
      <c r="D18" s="236">
        <f>D17</f>
        <v>10000</v>
      </c>
      <c r="E18" s="256" t="s">
        <v>120</v>
      </c>
      <c r="F18" s="236">
        <f>K8*G18*(1+민감도!$D$50)</f>
        <v>63000</v>
      </c>
      <c r="G18" s="258">
        <f>G17</f>
        <v>0.9</v>
      </c>
      <c r="J18" s="249"/>
      <c r="K18" s="249"/>
      <c r="L18" s="249"/>
      <c r="N18" s="288" t="s">
        <v>312</v>
      </c>
      <c r="O18" s="445" t="str">
        <f>운영기간!D17</f>
        <v>-</v>
      </c>
      <c r="P18" s="364">
        <f>운영기간!E17</f>
        <v>-60</v>
      </c>
      <c r="Q18" s="364">
        <f>운영기간!F17</f>
        <v>-60.6</v>
      </c>
      <c r="R18" s="364">
        <f>운영기간!G17</f>
        <v>-61.206000000000003</v>
      </c>
      <c r="S18" s="364">
        <f>운영기간!H17</f>
        <v>-61.818060000000003</v>
      </c>
      <c r="T18" s="365">
        <f>운영기간!I17</f>
        <v>-62.436240600000005</v>
      </c>
      <c r="U18" s="364">
        <f>운영기간!J17</f>
        <v>-63.060603006000008</v>
      </c>
      <c r="V18" s="364">
        <f>운영기간!K17</f>
        <v>-63.691209036060009</v>
      </c>
      <c r="W18" s="364">
        <f>운영기간!L17</f>
        <v>-64.328121126420612</v>
      </c>
      <c r="X18" s="364">
        <f>운영기간!M17</f>
        <v>-64.971402337684822</v>
      </c>
      <c r="Y18" s="365">
        <f>운영기간!N17</f>
        <v>-65.621116361061667</v>
      </c>
      <c r="Z18" s="364">
        <f>운영기간!O17</f>
        <v>-66.277327524672287</v>
      </c>
      <c r="AA18" s="364">
        <f>운영기간!P17</f>
        <v>-66.940100799919009</v>
      </c>
      <c r="AB18" s="365">
        <f>운영기간!Q17</f>
        <v>-67.609501807918193</v>
      </c>
      <c r="AC18" s="365">
        <f>운영기간!R17</f>
        <v>-68.285596825997374</v>
      </c>
      <c r="AD18" s="365">
        <f t="shared" si="9"/>
        <v>-896.84527942573391</v>
      </c>
    </row>
    <row r="19" spans="2:30" x14ac:dyDescent="0.3">
      <c r="C19" s="56" t="s">
        <v>263</v>
      </c>
      <c r="D19" s="236">
        <f t="shared" ref="D19" si="10">D18</f>
        <v>10000</v>
      </c>
      <c r="E19" s="256" t="s">
        <v>120</v>
      </c>
      <c r="F19" s="236">
        <f>K9*G19*(1+민감도!$D$50)</f>
        <v>63000</v>
      </c>
      <c r="G19" s="258">
        <f>G18</f>
        <v>0.9</v>
      </c>
      <c r="J19" s="249"/>
      <c r="K19" s="249"/>
      <c r="L19" s="249"/>
      <c r="M19" s="249"/>
      <c r="N19" s="288" t="s">
        <v>572</v>
      </c>
      <c r="O19" s="364">
        <f>운영기간!D18</f>
        <v>-439.63510460000003</v>
      </c>
      <c r="P19" s="364">
        <f>운영기간!E18</f>
        <v>-1028.7861094</v>
      </c>
      <c r="Q19" s="364">
        <f>운영기간!F18</f>
        <v>-1115.0105023000001</v>
      </c>
      <c r="R19" s="364">
        <f>운영기간!G18</f>
        <v>-1260.6034750000001</v>
      </c>
      <c r="S19" s="364">
        <f>운영기간!H18</f>
        <v>-1291.8611395999999</v>
      </c>
      <c r="T19" s="365">
        <f>운영기간!I18</f>
        <v>-1317.6983623919998</v>
      </c>
      <c r="U19" s="365">
        <f>운영기간!J18</f>
        <v>-1344.0523296398399</v>
      </c>
      <c r="V19" s="365">
        <f>운영기간!K18</f>
        <v>-1370.9333762326366</v>
      </c>
      <c r="W19" s="365">
        <f>운영기간!L18</f>
        <v>-1398.3520437572895</v>
      </c>
      <c r="X19" s="365">
        <f>운영기간!M18</f>
        <v>-1426.3190846324353</v>
      </c>
      <c r="Y19" s="365">
        <f>운영기간!N18</f>
        <v>-1454.8454663250841</v>
      </c>
      <c r="Z19" s="365">
        <f>운영기간!O18</f>
        <v>-1483.9423756515857</v>
      </c>
      <c r="AA19" s="365">
        <f>운영기간!P18</f>
        <v>-1513.6212231646175</v>
      </c>
      <c r="AB19" s="365">
        <f>운영기간!Q18</f>
        <v>-1543.8936476279098</v>
      </c>
      <c r="AC19" s="365">
        <f>운영기간!R18</f>
        <v>-1574.7715205804679</v>
      </c>
      <c r="AD19" s="365">
        <f t="shared" si="9"/>
        <v>-19564.325760903863</v>
      </c>
    </row>
    <row r="20" spans="2:30" x14ac:dyDescent="0.3">
      <c r="C20" s="56" t="s">
        <v>264</v>
      </c>
      <c r="D20" s="251">
        <f>6500*(1+$D$35)*(1+민감도!$D$50)</f>
        <v>6500</v>
      </c>
      <c r="E20" s="251">
        <f>140000*(1+$D$35)*(1+민감도!$D$50)</f>
        <v>140000</v>
      </c>
      <c r="F20" s="236">
        <f>K10*G20*(1+민감도!$D$50)</f>
        <v>45000</v>
      </c>
      <c r="G20" s="258">
        <f>G19</f>
        <v>0.9</v>
      </c>
      <c r="J20" s="249"/>
      <c r="K20" s="249"/>
      <c r="L20" s="249"/>
      <c r="M20" s="249"/>
      <c r="N20" s="288" t="s">
        <v>573</v>
      </c>
      <c r="O20" s="364">
        <f>운영기간!D19</f>
        <v>-30</v>
      </c>
      <c r="P20" s="364">
        <f>운영기간!E19</f>
        <v>-60</v>
      </c>
      <c r="Q20" s="364">
        <f>운영기간!F19</f>
        <v>-60.6</v>
      </c>
      <c r="R20" s="364">
        <f>운영기간!G19</f>
        <v>-61.206000000000003</v>
      </c>
      <c r="S20" s="364">
        <f>운영기간!H19</f>
        <v>-61.818060000000003</v>
      </c>
      <c r="T20" s="365">
        <f>운영기간!I19</f>
        <v>-62.436240600000005</v>
      </c>
      <c r="U20" s="365">
        <f>운영기간!J19</f>
        <v>-63.060603006000008</v>
      </c>
      <c r="V20" s="365">
        <f>운영기간!K19</f>
        <v>-63.691209036060009</v>
      </c>
      <c r="W20" s="365">
        <f>운영기간!L19</f>
        <v>-64.328121126420612</v>
      </c>
      <c r="X20" s="365">
        <f>운영기간!M19</f>
        <v>-64.971402337684822</v>
      </c>
      <c r="Y20" s="365">
        <f>운영기간!N19</f>
        <v>-65.621116361061667</v>
      </c>
      <c r="Z20" s="365">
        <f>운영기간!O19</f>
        <v>-66.277327524672287</v>
      </c>
      <c r="AA20" s="365">
        <f>운영기간!P19</f>
        <v>-66.940100799919009</v>
      </c>
      <c r="AB20" s="365">
        <f>운영기간!Q19</f>
        <v>-67.609501807918193</v>
      </c>
      <c r="AC20" s="365">
        <f>운영기간!R19</f>
        <v>-68.285596825997374</v>
      </c>
      <c r="AD20" s="365">
        <f t="shared" si="9"/>
        <v>-926.84527942573391</v>
      </c>
    </row>
    <row r="21" spans="2:30" x14ac:dyDescent="0.3">
      <c r="C21" s="56" t="s">
        <v>265</v>
      </c>
      <c r="D21" s="256" t="s">
        <v>120</v>
      </c>
      <c r="E21" s="251">
        <f>180000*(1+$D$35)*(1+민감도!$D$50)</f>
        <v>180000</v>
      </c>
      <c r="F21" s="251">
        <f>70000*(1+$D$35)*(1+민감도!$D$50)</f>
        <v>70000</v>
      </c>
      <c r="G21" s="257">
        <f>45000*(1+$D$35)*(1+민감도!$D$50)</f>
        <v>45000</v>
      </c>
      <c r="J21" s="249"/>
      <c r="K21" s="249"/>
      <c r="L21" s="249"/>
      <c r="M21" s="249"/>
      <c r="N21" s="288" t="s">
        <v>574</v>
      </c>
      <c r="O21" s="364">
        <f>운영기간!D20</f>
        <v>-30</v>
      </c>
      <c r="P21" s="364">
        <f>운영기간!E20</f>
        <v>-60</v>
      </c>
      <c r="Q21" s="364">
        <f>운영기간!F20</f>
        <v>-60.6</v>
      </c>
      <c r="R21" s="364">
        <f>운영기간!G20</f>
        <v>-61.206000000000003</v>
      </c>
      <c r="S21" s="364">
        <f>운영기간!H20</f>
        <v>-61.818060000000003</v>
      </c>
      <c r="T21" s="365">
        <f>운영기간!I20</f>
        <v>-62.436240600000005</v>
      </c>
      <c r="U21" s="365">
        <f>운영기간!J20</f>
        <v>-63.060603006000008</v>
      </c>
      <c r="V21" s="365">
        <f>운영기간!K20</f>
        <v>-63.691209036060009</v>
      </c>
      <c r="W21" s="365">
        <f>운영기간!L20</f>
        <v>-64.328121126420612</v>
      </c>
      <c r="X21" s="365">
        <f>운영기간!M20</f>
        <v>-64.971402337684822</v>
      </c>
      <c r="Y21" s="365">
        <f>운영기간!N20</f>
        <v>-65.621116361061667</v>
      </c>
      <c r="Z21" s="365">
        <f>운영기간!O20</f>
        <v>-66.277327524672287</v>
      </c>
      <c r="AA21" s="365">
        <f>운영기간!P20</f>
        <v>-66.940100799919009</v>
      </c>
      <c r="AB21" s="365">
        <f>운영기간!Q20</f>
        <v>-67.609501807918193</v>
      </c>
      <c r="AC21" s="365">
        <f>운영기간!R20</f>
        <v>-68.285596825997374</v>
      </c>
      <c r="AD21" s="365">
        <f t="shared" si="9"/>
        <v>-926.84527942573391</v>
      </c>
    </row>
    <row r="22" spans="2:30" x14ac:dyDescent="0.3">
      <c r="C22" s="56" t="s">
        <v>267</v>
      </c>
      <c r="D22" s="256" t="s">
        <v>120</v>
      </c>
      <c r="E22" s="251">
        <f>140000*(1+$D$35)*(1+민감도!$D$50)</f>
        <v>140000</v>
      </c>
      <c r="F22" s="236">
        <f>K12*$G$17*(1+민감도!$D$50)</f>
        <v>45000</v>
      </c>
      <c r="G22" s="238">
        <f>L12*$G$17*(1+민감도!$D$50)</f>
        <v>27000</v>
      </c>
      <c r="J22" s="249"/>
      <c r="K22" s="249"/>
      <c r="L22" s="249"/>
      <c r="M22" s="249"/>
      <c r="N22" s="288" t="s">
        <v>575</v>
      </c>
      <c r="O22" s="364">
        <f>운영기간!D21</f>
        <v>-30</v>
      </c>
      <c r="P22" s="364">
        <f>운영기간!E21</f>
        <v>-60</v>
      </c>
      <c r="Q22" s="364">
        <f>운영기간!F21</f>
        <v>-60.6</v>
      </c>
      <c r="R22" s="364">
        <f>운영기간!G21</f>
        <v>-61.206000000000003</v>
      </c>
      <c r="S22" s="364">
        <f>운영기간!H21</f>
        <v>-61.818060000000003</v>
      </c>
      <c r="T22" s="365">
        <f>운영기간!I21</f>
        <v>-62.436240600000005</v>
      </c>
      <c r="U22" s="365">
        <f>운영기간!J21</f>
        <v>-63.060603006000008</v>
      </c>
      <c r="V22" s="365">
        <f>운영기간!K21</f>
        <v>-63.691209036060009</v>
      </c>
      <c r="W22" s="365">
        <f>운영기간!L21</f>
        <v>-64.328121126420612</v>
      </c>
      <c r="X22" s="365">
        <f>운영기간!M21</f>
        <v>-64.971402337684822</v>
      </c>
      <c r="Y22" s="365">
        <f>운영기간!N21</f>
        <v>-65.621116361061667</v>
      </c>
      <c r="Z22" s="365">
        <f>운영기간!O21</f>
        <v>-66.277327524672287</v>
      </c>
      <c r="AA22" s="365">
        <f>운영기간!P21</f>
        <v>-66.940100799919009</v>
      </c>
      <c r="AB22" s="365">
        <f>운영기간!Q21</f>
        <v>-67.609501807918193</v>
      </c>
      <c r="AC22" s="365">
        <f>운영기간!R21</f>
        <v>-68.285596825997374</v>
      </c>
      <c r="AD22" s="365">
        <f t="shared" si="9"/>
        <v>-926.84527942573391</v>
      </c>
    </row>
    <row r="23" spans="2:30" x14ac:dyDescent="0.3">
      <c r="C23" s="56" t="s">
        <v>269</v>
      </c>
      <c r="D23" s="256" t="s">
        <v>120</v>
      </c>
      <c r="E23" s="251">
        <f>20000*(1+$D$35)*(1+민감도!$D$50)</f>
        <v>20000</v>
      </c>
      <c r="F23" s="236">
        <f>F21*(1+민감도!$D$50)</f>
        <v>70000</v>
      </c>
      <c r="G23" s="238">
        <f>G21*(1+민감도!$D$50)</f>
        <v>45000</v>
      </c>
      <c r="J23" s="249"/>
      <c r="K23" s="249"/>
      <c r="L23" s="249"/>
      <c r="M23" s="249"/>
      <c r="N23" s="288" t="s">
        <v>576</v>
      </c>
      <c r="O23" s="364">
        <f>운영기간!D22</f>
        <v>-28.213999999999999</v>
      </c>
      <c r="P23" s="364">
        <f>운영기간!E22</f>
        <v>-56.427999999999997</v>
      </c>
      <c r="Q23" s="364">
        <f>운영기간!F22</f>
        <v>-56.992280000000001</v>
      </c>
      <c r="R23" s="364">
        <f>운영기간!G22</f>
        <v>-57.562202800000001</v>
      </c>
      <c r="S23" s="364">
        <f>운영기간!H22</f>
        <v>-58.137824827999999</v>
      </c>
      <c r="T23" s="365">
        <f>운영기간!I22</f>
        <v>-58.719203076280003</v>
      </c>
      <c r="U23" s="365">
        <f>운영기간!J22</f>
        <v>-59.306395107042803</v>
      </c>
      <c r="V23" s="365">
        <f>운영기간!K22</f>
        <v>-59.89945905811323</v>
      </c>
      <c r="W23" s="365">
        <f>운영기간!L22</f>
        <v>-60.498453648694365</v>
      </c>
      <c r="X23" s="365">
        <f>운영기간!M22</f>
        <v>-61.103438185181311</v>
      </c>
      <c r="Y23" s="365">
        <f>운영기간!N22</f>
        <v>-61.714472567033127</v>
      </c>
      <c r="Z23" s="365">
        <f>운영기간!O22</f>
        <v>-62.331617292703456</v>
      </c>
      <c r="AA23" s="365">
        <f>운영기간!P22</f>
        <v>-62.954933465630489</v>
      </c>
      <c r="AB23" s="365">
        <f>운영기간!Q22</f>
        <v>-63.584482800286793</v>
      </c>
      <c r="AC23" s="365">
        <f>운영기간!R22</f>
        <v>-64.220327628289667</v>
      </c>
      <c r="AD23" s="365">
        <f t="shared" si="9"/>
        <v>-871.66709045725509</v>
      </c>
    </row>
    <row r="24" spans="2:30" x14ac:dyDescent="0.3">
      <c r="J24" s="431"/>
      <c r="K24" s="249"/>
      <c r="L24" s="249"/>
      <c r="M24" s="249"/>
      <c r="N24" s="288" t="s">
        <v>577</v>
      </c>
      <c r="O24" s="364">
        <f>운영기간!D23</f>
        <v>-261.34365212145627</v>
      </c>
      <c r="P24" s="364">
        <f>운영기간!E23</f>
        <v>-522.68730424291255</v>
      </c>
      <c r="Q24" s="364">
        <f>운영기간!F23</f>
        <v>-527.91417728534168</v>
      </c>
      <c r="R24" s="364">
        <f>운영기간!G23</f>
        <v>-533.19331905819513</v>
      </c>
      <c r="S24" s="364">
        <f>운영기간!H23</f>
        <v>-538.52525224877706</v>
      </c>
      <c r="T24" s="365">
        <f>운영기간!I23</f>
        <v>-543.91050477126487</v>
      </c>
      <c r="U24" s="365">
        <f>운영기간!J23</f>
        <v>-549.34960981897757</v>
      </c>
      <c r="V24" s="365">
        <f>운영기간!K23</f>
        <v>-554.84310591716735</v>
      </c>
      <c r="W24" s="365">
        <f>운영기간!L23</f>
        <v>-560.39153697633901</v>
      </c>
      <c r="X24" s="365">
        <f>운영기간!M23</f>
        <v>-565.99545234610241</v>
      </c>
      <c r="Y24" s="365">
        <f>운영기간!N23</f>
        <v>-571.65540686956342</v>
      </c>
      <c r="Z24" s="365">
        <f>운영기간!O23</f>
        <v>-577.37196093825901</v>
      </c>
      <c r="AA24" s="365">
        <f>운영기간!P23</f>
        <v>-583.14568054764163</v>
      </c>
      <c r="AB24" s="365">
        <f>운영기간!Q23</f>
        <v>-588.97713735311811</v>
      </c>
      <c r="AC24" s="365">
        <f>운영기간!R23</f>
        <v>-594.86690872664929</v>
      </c>
      <c r="AD24" s="365">
        <f t="shared" si="9"/>
        <v>-8074.1710092217645</v>
      </c>
    </row>
    <row r="25" spans="2:30" x14ac:dyDescent="0.3">
      <c r="B25" t="s">
        <v>581</v>
      </c>
      <c r="C25" s="54" t="s">
        <v>102</v>
      </c>
      <c r="D25" s="232" t="s">
        <v>289</v>
      </c>
      <c r="E25" s="232" t="s">
        <v>290</v>
      </c>
      <c r="F25" s="232" t="s">
        <v>291</v>
      </c>
      <c r="G25" s="232" t="s">
        <v>292</v>
      </c>
      <c r="H25" s="55" t="s">
        <v>293</v>
      </c>
      <c r="I25" s="249"/>
      <c r="J25" s="249"/>
      <c r="K25" s="249"/>
      <c r="L25" s="249"/>
      <c r="M25" s="249"/>
      <c r="N25" s="286" t="s">
        <v>578</v>
      </c>
      <c r="O25" s="366">
        <f>운영기간!D24</f>
        <v>-63</v>
      </c>
      <c r="P25" s="366">
        <f>운영기간!E24</f>
        <v>-126</v>
      </c>
      <c r="Q25" s="366">
        <f>운영기간!F24</f>
        <v>-127.26</v>
      </c>
      <c r="R25" s="366">
        <f>운영기간!G24</f>
        <v>-128.5326</v>
      </c>
      <c r="S25" s="366">
        <f>운영기간!H24</f>
        <v>-129.817926</v>
      </c>
      <c r="T25" s="367">
        <f>운영기간!I24</f>
        <v>-131.11610526000001</v>
      </c>
      <c r="U25" s="367">
        <f>운영기간!J24</f>
        <v>-132.42726631260001</v>
      </c>
      <c r="V25" s="367">
        <f>운영기간!K24</f>
        <v>-133.75153897572602</v>
      </c>
      <c r="W25" s="367">
        <f>운영기간!L24</f>
        <v>-135.08905436548329</v>
      </c>
      <c r="X25" s="367">
        <f>운영기간!M24</f>
        <v>-136.43994490913812</v>
      </c>
      <c r="Y25" s="367">
        <f>운영기간!N24</f>
        <v>-137.80434435822951</v>
      </c>
      <c r="Z25" s="367">
        <f>운영기간!O24</f>
        <v>-139.18238780181181</v>
      </c>
      <c r="AA25" s="367">
        <f>운영기간!P24</f>
        <v>-140.57421167982994</v>
      </c>
      <c r="AB25" s="367">
        <f>운영기간!Q24</f>
        <v>-141.97995379662825</v>
      </c>
      <c r="AC25" s="367">
        <f>운영기간!R24</f>
        <v>-143.39975333459452</v>
      </c>
      <c r="AD25" s="367">
        <f t="shared" si="9"/>
        <v>-1946.3750867940414</v>
      </c>
    </row>
    <row r="26" spans="2:30" x14ac:dyDescent="0.3">
      <c r="C26" s="56" t="s">
        <v>570</v>
      </c>
      <c r="D26" s="270">
        <v>0.4</v>
      </c>
      <c r="E26" s="270">
        <v>0.5</v>
      </c>
      <c r="F26" s="270">
        <v>0.6</v>
      </c>
      <c r="G26" s="270">
        <v>0.7</v>
      </c>
      <c r="H26" s="57">
        <v>0.75</v>
      </c>
      <c r="I26" s="249"/>
      <c r="J26" s="249"/>
      <c r="K26" s="249"/>
      <c r="L26" s="249"/>
      <c r="M26" s="249"/>
      <c r="N26" s="239" t="s">
        <v>318</v>
      </c>
      <c r="O26" s="361">
        <f>SUM(O27:O28)</f>
        <v>-614.11693715846991</v>
      </c>
      <c r="P26" s="361">
        <f t="shared" ref="P26:AB26" si="11">SUM(P27:P28)</f>
        <v>-1229.229</v>
      </c>
      <c r="Q26" s="361">
        <f t="shared" si="11"/>
        <v>-1791.729</v>
      </c>
      <c r="R26" s="361">
        <f t="shared" si="11"/>
        <v>-3415.1014140410957</v>
      </c>
      <c r="S26" s="361">
        <f t="shared" si="11"/>
        <v>-3312.7709062499998</v>
      </c>
      <c r="T26" s="361">
        <f t="shared" si="11"/>
        <v>-3210.229914041096</v>
      </c>
      <c r="U26" s="361">
        <f t="shared" si="11"/>
        <v>-3107.7941640410959</v>
      </c>
      <c r="V26" s="361">
        <f t="shared" si="11"/>
        <v>-3005.3584140410958</v>
      </c>
      <c r="W26" s="361">
        <f t="shared" si="11"/>
        <v>-2903.0279062499999</v>
      </c>
      <c r="X26" s="361">
        <f t="shared" si="11"/>
        <v>-2800.4869140410956</v>
      </c>
      <c r="Y26" s="361">
        <f t="shared" si="11"/>
        <v>-2698.0511640410959</v>
      </c>
      <c r="Z26" s="361">
        <f t="shared" si="11"/>
        <v>-2595.6154140410958</v>
      </c>
      <c r="AA26" s="361">
        <f t="shared" si="11"/>
        <v>-2493.2849062499999</v>
      </c>
      <c r="AB26" s="434">
        <f t="shared" si="11"/>
        <v>-2390.7439140410961</v>
      </c>
      <c r="AC26" s="434">
        <f t="shared" ref="AC26" si="12">SUM(AC27:AC28)</f>
        <v>-1725.808164041096</v>
      </c>
      <c r="AD26" s="434">
        <f>SUM(AD27:AD28)</f>
        <v>-37293.348132278334</v>
      </c>
    </row>
    <row r="27" spans="2:30" x14ac:dyDescent="0.3">
      <c r="C27" s="56" t="s">
        <v>571</v>
      </c>
      <c r="D27" s="438">
        <f>D26+$D$36</f>
        <v>0.4</v>
      </c>
      <c r="E27" s="438">
        <f t="shared" ref="E27:H27" si="13">E26+$D$36</f>
        <v>0.5</v>
      </c>
      <c r="F27" s="438">
        <f t="shared" si="13"/>
        <v>0.6</v>
      </c>
      <c r="G27" s="438">
        <f t="shared" si="13"/>
        <v>0.7</v>
      </c>
      <c r="H27" s="439">
        <f t="shared" si="13"/>
        <v>0.75</v>
      </c>
      <c r="I27" s="249"/>
      <c r="J27" s="249"/>
      <c r="K27" s="249"/>
      <c r="L27" s="249"/>
      <c r="M27" s="249"/>
      <c r="N27" s="287" t="s">
        <v>115</v>
      </c>
      <c r="O27" s="362">
        <f>운영기간!D26</f>
        <v>-614.11693715846991</v>
      </c>
      <c r="P27" s="362">
        <f>운영기간!E26</f>
        <v>-1229.229</v>
      </c>
      <c r="Q27" s="362">
        <f>운영기간!F26</f>
        <v>-1229.229</v>
      </c>
      <c r="R27" s="362">
        <f>운영기간!G26</f>
        <v>-1165.1014140410957</v>
      </c>
      <c r="S27" s="362">
        <f>운영기간!H26</f>
        <v>-1062.7709062500001</v>
      </c>
      <c r="T27" s="362">
        <f>운영기간!I26</f>
        <v>-960.22991404109587</v>
      </c>
      <c r="U27" s="362">
        <f>운영기간!J26</f>
        <v>-857.79416404109588</v>
      </c>
      <c r="V27" s="362">
        <f>운영기간!K26</f>
        <v>-755.35841404109578</v>
      </c>
      <c r="W27" s="362">
        <f>운영기간!L26</f>
        <v>-653.02790624999989</v>
      </c>
      <c r="X27" s="362">
        <f>운영기간!M26</f>
        <v>-550.48691404109582</v>
      </c>
      <c r="Y27" s="362">
        <f>운영기간!N26</f>
        <v>-448.05116404109583</v>
      </c>
      <c r="Z27" s="362">
        <f>운영기간!O26</f>
        <v>-345.61541404109585</v>
      </c>
      <c r="AA27" s="362">
        <f>운영기간!P26</f>
        <v>-243.28490624999998</v>
      </c>
      <c r="AB27" s="363">
        <f>운영기간!Q26</f>
        <v>-140.74391404109588</v>
      </c>
      <c r="AC27" s="363">
        <f>운영기간!R26</f>
        <v>-38.308164041095893</v>
      </c>
      <c r="AD27" s="363">
        <f>SUM(O27:AC27)</f>
        <v>-10293.348132278332</v>
      </c>
    </row>
    <row r="28" spans="2:30" x14ac:dyDescent="0.3">
      <c r="I28" s="249"/>
      <c r="J28" s="249"/>
      <c r="K28" s="249"/>
      <c r="L28" s="249"/>
      <c r="M28" s="249"/>
      <c r="N28" s="286" t="s">
        <v>319</v>
      </c>
      <c r="O28" s="366">
        <f>운영기간!D27</f>
        <v>0</v>
      </c>
      <c r="P28" s="366">
        <f>운영기간!E27</f>
        <v>0</v>
      </c>
      <c r="Q28" s="366">
        <f>운영기간!F27</f>
        <v>-562.5</v>
      </c>
      <c r="R28" s="366">
        <f>운영기간!G27</f>
        <v>-2250</v>
      </c>
      <c r="S28" s="366">
        <f>운영기간!H27</f>
        <v>-2250</v>
      </c>
      <c r="T28" s="366">
        <f>운영기간!I27</f>
        <v>-2250</v>
      </c>
      <c r="U28" s="366">
        <f>운영기간!J27</f>
        <v>-2250</v>
      </c>
      <c r="V28" s="366">
        <f>운영기간!K27</f>
        <v>-2250</v>
      </c>
      <c r="W28" s="366">
        <f>운영기간!L27</f>
        <v>-2250</v>
      </c>
      <c r="X28" s="366">
        <f>운영기간!M27</f>
        <v>-2250</v>
      </c>
      <c r="Y28" s="366">
        <f>운영기간!N27</f>
        <v>-2250</v>
      </c>
      <c r="Z28" s="366">
        <f>운영기간!O27</f>
        <v>-2250</v>
      </c>
      <c r="AA28" s="366">
        <f>운영기간!P27</f>
        <v>-2250</v>
      </c>
      <c r="AB28" s="367">
        <f>운영기간!Q27</f>
        <v>-2250</v>
      </c>
      <c r="AC28" s="367">
        <f>운영기간!R27</f>
        <v>-1687.5</v>
      </c>
      <c r="AD28" s="367">
        <f>SUM(O28:AC28)</f>
        <v>-27000</v>
      </c>
    </row>
    <row r="29" spans="2:30" x14ac:dyDescent="0.3">
      <c r="C29" s="54" t="s">
        <v>102</v>
      </c>
      <c r="D29" s="234" t="s">
        <v>117</v>
      </c>
      <c r="E29" s="272" t="s">
        <v>137</v>
      </c>
      <c r="F29" s="249"/>
      <c r="G29" s="249"/>
      <c r="H29" s="249"/>
      <c r="I29" s="249"/>
      <c r="J29" s="249"/>
      <c r="K29" s="249"/>
      <c r="L29" s="249"/>
      <c r="M29" s="249"/>
      <c r="N29" s="283" t="s">
        <v>99</v>
      </c>
      <c r="O29" s="360">
        <f t="shared" ref="O29:AD29" si="14">O8+O14</f>
        <v>275.98877742442164</v>
      </c>
      <c r="P29" s="360">
        <f t="shared" si="14"/>
        <v>1665.843439400569</v>
      </c>
      <c r="Q29" s="360">
        <f t="shared" si="14"/>
        <v>1910.3366600668305</v>
      </c>
      <c r="R29" s="360">
        <f t="shared" si="14"/>
        <v>1034.5097053615791</v>
      </c>
      <c r="S29" s="360">
        <f t="shared" si="14"/>
        <v>1545.7733939884456</v>
      </c>
      <c r="T29" s="360">
        <f t="shared" si="14"/>
        <v>1677.6494989034763</v>
      </c>
      <c r="U29" s="360">
        <f t="shared" si="14"/>
        <v>1809.5006441022524</v>
      </c>
      <c r="V29" s="360">
        <f t="shared" si="14"/>
        <v>1941.4274806560716</v>
      </c>
      <c r="W29" s="360">
        <f t="shared" si="14"/>
        <v>2073.3200270907619</v>
      </c>
      <c r="X29" s="360">
        <f t="shared" si="14"/>
        <v>2205.4891190861417</v>
      </c>
      <c r="Y29" s="360">
        <f t="shared" si="14"/>
        <v>2337.6139837562769</v>
      </c>
      <c r="Z29" s="360">
        <f t="shared" si="14"/>
        <v>2469.7946580292701</v>
      </c>
      <c r="AA29" s="360">
        <f t="shared" si="14"/>
        <v>2601.9205316045372</v>
      </c>
      <c r="AB29" s="433">
        <f t="shared" si="14"/>
        <v>2734.3017963352104</v>
      </c>
      <c r="AC29" s="433">
        <f t="shared" ref="AC29" si="15">AC8+AC14</f>
        <v>3429.117020184698</v>
      </c>
      <c r="AD29" s="433">
        <f t="shared" si="14"/>
        <v>29712.586735990539</v>
      </c>
    </row>
    <row r="30" spans="2:30" x14ac:dyDescent="0.3">
      <c r="C30" s="56" t="s">
        <v>372</v>
      </c>
      <c r="D30" s="270">
        <v>0.01</v>
      </c>
      <c r="E30" s="238" t="s">
        <v>371</v>
      </c>
      <c r="F30" s="249"/>
      <c r="G30" s="249"/>
      <c r="H30" s="249"/>
      <c r="I30" s="249"/>
      <c r="J30" s="249"/>
      <c r="K30" s="249"/>
      <c r="L30" s="249"/>
      <c r="M30" s="249"/>
      <c r="N30" s="56" t="s">
        <v>100</v>
      </c>
      <c r="O30" s="368">
        <f>운영기간!D29</f>
        <v>731.26957570873492</v>
      </c>
      <c r="P30" s="368">
        <f>O31</f>
        <v>1007.2583531331566</v>
      </c>
      <c r="Q30" s="368">
        <f t="shared" ref="Q30:AC30" si="16">P31</f>
        <v>2673.1017925337255</v>
      </c>
      <c r="R30" s="368">
        <f t="shared" si="16"/>
        <v>4583.438452600556</v>
      </c>
      <c r="S30" s="368">
        <f t="shared" si="16"/>
        <v>5617.9481579621352</v>
      </c>
      <c r="T30" s="368">
        <f t="shared" si="16"/>
        <v>7163.7215519505808</v>
      </c>
      <c r="U30" s="368">
        <f t="shared" si="16"/>
        <v>8841.3710508540571</v>
      </c>
      <c r="V30" s="368">
        <f t="shared" si="16"/>
        <v>10650.87169495631</v>
      </c>
      <c r="W30" s="368">
        <f>V31</f>
        <v>12592.299175612381</v>
      </c>
      <c r="X30" s="368">
        <f t="shared" si="16"/>
        <v>14665.619202703143</v>
      </c>
      <c r="Y30" s="368">
        <f t="shared" si="16"/>
        <v>16871.108321789285</v>
      </c>
      <c r="Z30" s="368">
        <f t="shared" si="16"/>
        <v>19208.722305545562</v>
      </c>
      <c r="AA30" s="368">
        <f t="shared" si="16"/>
        <v>21678.516963574832</v>
      </c>
      <c r="AB30" s="435">
        <f t="shared" si="16"/>
        <v>24280.437495179369</v>
      </c>
      <c r="AC30" s="435">
        <f t="shared" si="16"/>
        <v>27014.739291514579</v>
      </c>
      <c r="AD30" s="435">
        <f>O30</f>
        <v>731.26957570873492</v>
      </c>
    </row>
    <row r="31" spans="2:30" x14ac:dyDescent="0.3">
      <c r="C31" s="56" t="s">
        <v>370</v>
      </c>
      <c r="D31" s="270">
        <v>0.02</v>
      </c>
      <c r="E31" s="238" t="s">
        <v>371</v>
      </c>
      <c r="F31" s="249"/>
      <c r="G31" s="249"/>
      <c r="H31" s="249"/>
      <c r="I31" s="249"/>
      <c r="J31" s="249"/>
      <c r="K31" s="249"/>
      <c r="L31" s="249"/>
      <c r="M31" s="249"/>
      <c r="N31" s="91" t="s">
        <v>101</v>
      </c>
      <c r="O31" s="369">
        <f>O29+O30</f>
        <v>1007.2583531331566</v>
      </c>
      <c r="P31" s="369">
        <f>P29+P30</f>
        <v>2673.1017925337255</v>
      </c>
      <c r="Q31" s="369">
        <f t="shared" ref="Q31:AB31" si="17">Q29+Q30</f>
        <v>4583.438452600556</v>
      </c>
      <c r="R31" s="369">
        <f t="shared" si="17"/>
        <v>5617.9481579621352</v>
      </c>
      <c r="S31" s="369">
        <f t="shared" si="17"/>
        <v>7163.7215519505808</v>
      </c>
      <c r="T31" s="369">
        <f t="shared" si="17"/>
        <v>8841.3710508540571</v>
      </c>
      <c r="U31" s="369">
        <f t="shared" si="17"/>
        <v>10650.87169495631</v>
      </c>
      <c r="V31" s="369">
        <f t="shared" si="17"/>
        <v>12592.299175612381</v>
      </c>
      <c r="W31" s="369">
        <f t="shared" si="17"/>
        <v>14665.619202703143</v>
      </c>
      <c r="X31" s="369">
        <f t="shared" si="17"/>
        <v>16871.108321789285</v>
      </c>
      <c r="Y31" s="369">
        <f t="shared" si="17"/>
        <v>19208.722305545562</v>
      </c>
      <c r="Z31" s="369">
        <f t="shared" si="17"/>
        <v>21678.516963574832</v>
      </c>
      <c r="AA31" s="369">
        <f t="shared" si="17"/>
        <v>24280.437495179369</v>
      </c>
      <c r="AB31" s="436">
        <f t="shared" si="17"/>
        <v>27014.739291514579</v>
      </c>
      <c r="AC31" s="436">
        <f t="shared" ref="AC31" si="18">AC29+AC30</f>
        <v>30443.856311699277</v>
      </c>
      <c r="AD31" s="436">
        <f>AD29+AD30</f>
        <v>30443.856311699274</v>
      </c>
    </row>
    <row r="32" spans="2:30" x14ac:dyDescent="0.3">
      <c r="I32" s="249"/>
      <c r="J32" s="249"/>
      <c r="K32" s="249"/>
      <c r="L32" s="249"/>
      <c r="M32" s="249"/>
      <c r="N32" s="239" t="s">
        <v>587</v>
      </c>
      <c r="O32" s="370">
        <f>O33/O34</f>
        <v>2.6401735438103358</v>
      </c>
      <c r="P32" s="370">
        <f t="shared" ref="P32:AB32" si="19">P33/P34</f>
        <v>3.1746166031990173</v>
      </c>
      <c r="Q32" s="370">
        <f t="shared" si="19"/>
        <v>3.5581092076985721</v>
      </c>
      <c r="R32" s="370">
        <f t="shared" si="19"/>
        <v>2.6450311357853371</v>
      </c>
      <c r="S32" s="370">
        <f t="shared" si="19"/>
        <v>3.1624560691580665</v>
      </c>
      <c r="T32" s="370">
        <f t="shared" si="19"/>
        <v>3.7541239374111925</v>
      </c>
      <c r="U32" s="370">
        <f t="shared" si="19"/>
        <v>4.4271483672222596</v>
      </c>
      <c r="V32" s="370">
        <f t="shared" si="19"/>
        <v>5.1899492309406101</v>
      </c>
      <c r="W32" s="370">
        <f t="shared" si="19"/>
        <v>6.0518354202276763</v>
      </c>
      <c r="X32" s="370">
        <f t="shared" si="19"/>
        <v>7.0243482078780062</v>
      </c>
      <c r="Y32" s="370">
        <f t="shared" si="19"/>
        <v>8.1194803721865156</v>
      </c>
      <c r="Z32" s="370">
        <f t="shared" si="19"/>
        <v>9.3519757381251232</v>
      </c>
      <c r="AA32" s="370">
        <f t="shared" si="19"/>
        <v>10.738332524419809</v>
      </c>
      <c r="AB32" s="437">
        <f t="shared" si="19"/>
        <v>12.299721033630625</v>
      </c>
      <c r="AC32" s="437">
        <f t="shared" ref="AC32" si="20">AC33/AC34</f>
        <v>18.640347835887471</v>
      </c>
      <c r="AD32" s="437"/>
    </row>
    <row r="33" spans="2:30" x14ac:dyDescent="0.3">
      <c r="B33" t="s">
        <v>725</v>
      </c>
      <c r="C33" s="54" t="s">
        <v>102</v>
      </c>
      <c r="D33" s="272" t="s">
        <v>569</v>
      </c>
      <c r="I33" s="249"/>
      <c r="J33" s="249"/>
      <c r="K33" s="249"/>
      <c r="L33" s="249"/>
      <c r="M33" s="249"/>
      <c r="N33" s="287" t="s">
        <v>338</v>
      </c>
      <c r="O33" s="362">
        <f>O9+O15+O30</f>
        <v>1621.3752902916267</v>
      </c>
      <c r="P33" s="362">
        <f t="shared" ref="P33:AC33" si="21">P9+P15+P30</f>
        <v>3902.3307925337249</v>
      </c>
      <c r="Q33" s="362">
        <f t="shared" si="21"/>
        <v>6375.1674526005554</v>
      </c>
      <c r="R33" s="362">
        <f t="shared" si="21"/>
        <v>9033.0495720032304</v>
      </c>
      <c r="S33" s="362">
        <f t="shared" si="21"/>
        <v>10476.492458200581</v>
      </c>
      <c r="T33" s="362">
        <f t="shared" si="21"/>
        <v>12051.600964895153</v>
      </c>
      <c r="U33" s="362">
        <f t="shared" si="21"/>
        <v>13758.665858997405</v>
      </c>
      <c r="V33" s="362">
        <f t="shared" si="21"/>
        <v>15597.657589653478</v>
      </c>
      <c r="W33" s="362">
        <f t="shared" si="21"/>
        <v>17568.647108953141</v>
      </c>
      <c r="X33" s="362">
        <f t="shared" si="21"/>
        <v>19671.595235830377</v>
      </c>
      <c r="Y33" s="362">
        <f t="shared" si="21"/>
        <v>21906.77346958666</v>
      </c>
      <c r="Z33" s="362">
        <f t="shared" si="21"/>
        <v>24274.132377615926</v>
      </c>
      <c r="AA33" s="362">
        <f t="shared" si="21"/>
        <v>26773.722401429368</v>
      </c>
      <c r="AB33" s="362">
        <f t="shared" si="21"/>
        <v>29405.483205555676</v>
      </c>
      <c r="AC33" s="362">
        <f t="shared" si="21"/>
        <v>32169.664475740374</v>
      </c>
      <c r="AD33" s="363"/>
    </row>
    <row r="34" spans="2:30" x14ac:dyDescent="0.3">
      <c r="C34" s="56" t="s">
        <v>252</v>
      </c>
      <c r="D34" s="57">
        <v>0</v>
      </c>
      <c r="F34" s="249"/>
      <c r="G34" s="249"/>
      <c r="H34" s="249"/>
      <c r="I34" s="249"/>
      <c r="J34" s="249"/>
      <c r="K34" s="249"/>
      <c r="L34" s="249"/>
      <c r="M34" s="249"/>
      <c r="N34" s="286" t="s">
        <v>339</v>
      </c>
      <c r="O34" s="366">
        <f>-O26</f>
        <v>614.11693715846991</v>
      </c>
      <c r="P34" s="366">
        <f t="shared" ref="P34:AB34" si="22">-P26</f>
        <v>1229.229</v>
      </c>
      <c r="Q34" s="366">
        <f t="shared" si="22"/>
        <v>1791.729</v>
      </c>
      <c r="R34" s="366">
        <f t="shared" si="22"/>
        <v>3415.1014140410957</v>
      </c>
      <c r="S34" s="366">
        <f t="shared" si="22"/>
        <v>3312.7709062499998</v>
      </c>
      <c r="T34" s="366">
        <f t="shared" si="22"/>
        <v>3210.229914041096</v>
      </c>
      <c r="U34" s="366">
        <f t="shared" si="22"/>
        <v>3107.7941640410959</v>
      </c>
      <c r="V34" s="366">
        <f t="shared" si="22"/>
        <v>3005.3584140410958</v>
      </c>
      <c r="W34" s="366">
        <f t="shared" si="22"/>
        <v>2903.0279062499999</v>
      </c>
      <c r="X34" s="366">
        <f t="shared" si="22"/>
        <v>2800.4869140410956</v>
      </c>
      <c r="Y34" s="366">
        <f t="shared" si="22"/>
        <v>2698.0511640410959</v>
      </c>
      <c r="Z34" s="366">
        <f t="shared" si="22"/>
        <v>2595.6154140410958</v>
      </c>
      <c r="AA34" s="366">
        <f t="shared" si="22"/>
        <v>2493.2849062499999</v>
      </c>
      <c r="AB34" s="367">
        <f t="shared" si="22"/>
        <v>2390.7439140410961</v>
      </c>
      <c r="AC34" s="367">
        <f t="shared" ref="AC34" si="23">-AC26</f>
        <v>1725.808164041096</v>
      </c>
      <c r="AD34" s="367"/>
    </row>
    <row r="35" spans="2:30" x14ac:dyDescent="0.3">
      <c r="C35" s="56" t="s">
        <v>568</v>
      </c>
      <c r="D35" s="57">
        <v>0</v>
      </c>
      <c r="F35" s="249"/>
      <c r="G35" s="249"/>
      <c r="H35" s="249"/>
      <c r="I35" s="249"/>
      <c r="J35" s="249"/>
      <c r="K35" s="249"/>
      <c r="L35" s="249"/>
      <c r="M35" s="249"/>
      <c r="N35" s="239" t="s">
        <v>588</v>
      </c>
      <c r="O35" s="370">
        <f>O36/O37</f>
        <v>2.6401735438103358</v>
      </c>
      <c r="P35" s="370">
        <f t="shared" ref="P35:AB35" si="24">P36/P37</f>
        <v>3.1746166031990173</v>
      </c>
      <c r="Q35" s="370">
        <f t="shared" si="24"/>
        <v>5.1863139029428655</v>
      </c>
      <c r="R35" s="370">
        <f t="shared" si="24"/>
        <v>7.7530157144626166</v>
      </c>
      <c r="S35" s="370">
        <f t="shared" si="24"/>
        <v>9.8577147686202764</v>
      </c>
      <c r="T35" s="370">
        <f t="shared" si="24"/>
        <v>12.550745179533502</v>
      </c>
      <c r="U35" s="370">
        <f t="shared" si="24"/>
        <v>16.039589024690827</v>
      </c>
      <c r="V35" s="370">
        <f t="shared" si="24"/>
        <v>20.649346455555438</v>
      </c>
      <c r="W35" s="370">
        <f t="shared" si="24"/>
        <v>26.903363456304273</v>
      </c>
      <c r="X35" s="370">
        <f t="shared" si="24"/>
        <v>35.734900747089917</v>
      </c>
      <c r="Y35" s="370">
        <f t="shared" si="24"/>
        <v>48.893464023178709</v>
      </c>
      <c r="Z35" s="370">
        <f t="shared" si="24"/>
        <v>70.234519038926834</v>
      </c>
      <c r="AA35" s="370">
        <f t="shared" si="24"/>
        <v>110.05089799494854</v>
      </c>
      <c r="AB35" s="437">
        <f t="shared" si="24"/>
        <v>208.92898571066851</v>
      </c>
      <c r="AC35" s="437">
        <f t="shared" ref="AC35" si="25">AC36/AC37</f>
        <v>839.76001672201483</v>
      </c>
      <c r="AD35" s="437"/>
    </row>
    <row r="36" spans="2:30" x14ac:dyDescent="0.3">
      <c r="C36" s="56" t="s">
        <v>309</v>
      </c>
      <c r="D36" s="57">
        <v>0</v>
      </c>
      <c r="E36" s="249"/>
      <c r="F36" s="249"/>
      <c r="G36" s="249"/>
      <c r="H36" s="249"/>
      <c r="I36" s="249"/>
      <c r="J36" s="249"/>
      <c r="K36" s="249"/>
      <c r="L36" s="249"/>
      <c r="M36" s="249"/>
      <c r="N36" s="287" t="s">
        <v>585</v>
      </c>
      <c r="O36" s="362">
        <f>O33</f>
        <v>1621.3752902916267</v>
      </c>
      <c r="P36" s="362">
        <f t="shared" ref="P36:AC36" si="26">P33</f>
        <v>3902.3307925337249</v>
      </c>
      <c r="Q36" s="362">
        <f t="shared" si="26"/>
        <v>6375.1674526005554</v>
      </c>
      <c r="R36" s="362">
        <f t="shared" si="26"/>
        <v>9033.0495720032304</v>
      </c>
      <c r="S36" s="362">
        <f t="shared" si="26"/>
        <v>10476.492458200581</v>
      </c>
      <c r="T36" s="362">
        <f t="shared" si="26"/>
        <v>12051.600964895153</v>
      </c>
      <c r="U36" s="362">
        <f t="shared" si="26"/>
        <v>13758.665858997405</v>
      </c>
      <c r="V36" s="362">
        <f t="shared" si="26"/>
        <v>15597.657589653478</v>
      </c>
      <c r="W36" s="362">
        <f t="shared" si="26"/>
        <v>17568.647108953141</v>
      </c>
      <c r="X36" s="362">
        <f t="shared" si="26"/>
        <v>19671.595235830377</v>
      </c>
      <c r="Y36" s="362">
        <f t="shared" si="26"/>
        <v>21906.77346958666</v>
      </c>
      <c r="Z36" s="362">
        <f t="shared" si="26"/>
        <v>24274.132377615926</v>
      </c>
      <c r="AA36" s="362">
        <f t="shared" si="26"/>
        <v>26773.722401429368</v>
      </c>
      <c r="AB36" s="362">
        <f t="shared" si="26"/>
        <v>29405.483205555676</v>
      </c>
      <c r="AC36" s="362">
        <f t="shared" si="26"/>
        <v>32169.664475740374</v>
      </c>
      <c r="AD36" s="363"/>
    </row>
    <row r="37" spans="2:30" x14ac:dyDescent="0.3">
      <c r="E37" s="249"/>
      <c r="F37" s="249"/>
      <c r="G37" s="249"/>
      <c r="H37" s="249"/>
      <c r="I37" s="249"/>
      <c r="J37" s="249"/>
      <c r="K37" s="249"/>
      <c r="L37" s="249"/>
      <c r="M37" s="249"/>
      <c r="N37" s="286" t="s">
        <v>586</v>
      </c>
      <c r="O37" s="366">
        <f>-O27</f>
        <v>614.11693715846991</v>
      </c>
      <c r="P37" s="366">
        <f t="shared" ref="P37:AC37" si="27">-P27</f>
        <v>1229.229</v>
      </c>
      <c r="Q37" s="366">
        <f t="shared" si="27"/>
        <v>1229.229</v>
      </c>
      <c r="R37" s="366">
        <f t="shared" si="27"/>
        <v>1165.1014140410957</v>
      </c>
      <c r="S37" s="366">
        <f t="shared" si="27"/>
        <v>1062.7709062500001</v>
      </c>
      <c r="T37" s="366">
        <f t="shared" si="27"/>
        <v>960.22991404109587</v>
      </c>
      <c r="U37" s="366">
        <f t="shared" si="27"/>
        <v>857.79416404109588</v>
      </c>
      <c r="V37" s="366">
        <f t="shared" si="27"/>
        <v>755.35841404109578</v>
      </c>
      <c r="W37" s="366">
        <f t="shared" si="27"/>
        <v>653.02790624999989</v>
      </c>
      <c r="X37" s="366">
        <f t="shared" si="27"/>
        <v>550.48691404109582</v>
      </c>
      <c r="Y37" s="366">
        <f t="shared" si="27"/>
        <v>448.05116404109583</v>
      </c>
      <c r="Z37" s="366">
        <f t="shared" si="27"/>
        <v>345.61541404109585</v>
      </c>
      <c r="AA37" s="366">
        <f t="shared" si="27"/>
        <v>243.28490624999998</v>
      </c>
      <c r="AB37" s="366">
        <f t="shared" si="27"/>
        <v>140.74391404109588</v>
      </c>
      <c r="AC37" s="366">
        <f t="shared" si="27"/>
        <v>38.308164041095893</v>
      </c>
      <c r="AD37" s="367"/>
    </row>
    <row r="38" spans="2:30" x14ac:dyDescent="0.3">
      <c r="E38" s="249"/>
      <c r="F38" s="249"/>
      <c r="G38" s="249"/>
      <c r="H38" s="249"/>
      <c r="I38" s="249"/>
      <c r="J38" s="249"/>
      <c r="K38" s="249"/>
      <c r="L38" s="249"/>
      <c r="M38" s="249"/>
      <c r="N38" s="249" t="str">
        <f>운영기간!B40</f>
        <v>주) 회사는 부분 준공을 통해 조기 운영을 계획하고 있으나, 보수적 관점에서 2024년 6월 개발 완료 및 2024년 7월 운영 개시 적용</v>
      </c>
      <c r="O38" s="249"/>
      <c r="P38" s="249"/>
      <c r="Q38" s="249"/>
    </row>
    <row r="39" spans="2:30" x14ac:dyDescent="0.3">
      <c r="B39" s="1" t="s">
        <v>592</v>
      </c>
      <c r="C39" s="54" t="s">
        <v>102</v>
      </c>
      <c r="D39" s="55" t="s">
        <v>117</v>
      </c>
      <c r="E39" s="249"/>
      <c r="F39" s="249"/>
      <c r="G39" s="249"/>
      <c r="H39" s="249"/>
      <c r="I39" s="249"/>
      <c r="J39" s="249"/>
      <c r="K39" s="249"/>
      <c r="L39" s="249"/>
      <c r="M39" s="249"/>
      <c r="N39" s="249" t="str">
        <f>운영기간!B41</f>
        <v xml:space="preserve">주) 운영1년차는 6개월치(2024년 7~12월), 그외 운영기간은 12개월치 </v>
      </c>
      <c r="O39" s="249"/>
      <c r="P39" s="249"/>
      <c r="Q39" s="249"/>
    </row>
    <row r="40" spans="2:30" x14ac:dyDescent="0.3">
      <c r="C40" s="56" t="s">
        <v>114</v>
      </c>
      <c r="D40" s="57">
        <v>0</v>
      </c>
      <c r="E40" s="249"/>
      <c r="F40" s="249"/>
      <c r="G40" s="249"/>
      <c r="H40" s="249"/>
      <c r="I40" s="249"/>
      <c r="J40" s="249"/>
      <c r="K40" s="249"/>
      <c r="L40" s="249"/>
      <c r="M40" s="249"/>
      <c r="N40" s="249" t="str">
        <f>운영기간!B42</f>
        <v>주) 본건차입금은 3년 거치, 12년 분할상환 적용</v>
      </c>
      <c r="O40" s="249"/>
      <c r="P40" s="249"/>
      <c r="Q40" s="249"/>
    </row>
    <row r="41" spans="2:30" x14ac:dyDescent="0.3">
      <c r="C41" s="56" t="s">
        <v>116</v>
      </c>
      <c r="D41" s="492">
        <f>IF(E41=C42,D42,D43)</f>
        <v>4.5526999999999998E-2</v>
      </c>
      <c r="E41" s="274" t="str">
        <f>Assumption!D16</f>
        <v>고정부</v>
      </c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9"/>
      <c r="Q41" s="249"/>
    </row>
    <row r="42" spans="2:30" x14ac:dyDescent="0.3">
      <c r="C42" s="56" t="s">
        <v>682</v>
      </c>
      <c r="D42" s="493">
        <v>4.5526999999999998E-2</v>
      </c>
      <c r="E42" s="249"/>
      <c r="F42" s="249"/>
      <c r="G42" s="249"/>
      <c r="H42" s="249"/>
      <c r="I42" s="249"/>
      <c r="J42" s="249"/>
      <c r="K42" s="249"/>
      <c r="L42" s="249"/>
      <c r="M42" s="249"/>
      <c r="N42" s="249"/>
      <c r="O42" s="249"/>
      <c r="P42" s="249"/>
      <c r="Q42" s="249"/>
    </row>
    <row r="43" spans="2:30" x14ac:dyDescent="0.3">
      <c r="J43" s="249"/>
      <c r="K43" s="249"/>
      <c r="L43" s="249"/>
      <c r="M43" s="249"/>
      <c r="N43" s="2" t="s">
        <v>374</v>
      </c>
    </row>
    <row r="44" spans="2:30" x14ac:dyDescent="0.3">
      <c r="J44" s="249"/>
      <c r="K44" s="249"/>
      <c r="L44" s="249"/>
      <c r="M44" s="249"/>
    </row>
    <row r="45" spans="2:30" x14ac:dyDescent="0.3">
      <c r="M45" s="249"/>
      <c r="N45" s="597" t="s">
        <v>102</v>
      </c>
      <c r="O45" s="231" t="str">
        <f>O5</f>
        <v>1년차</v>
      </c>
      <c r="P45" s="231" t="str">
        <f t="shared" ref="P45:AB45" si="28">P5</f>
        <v>2년차</v>
      </c>
      <c r="Q45" s="231" t="str">
        <f t="shared" si="28"/>
        <v>3년차</v>
      </c>
      <c r="R45" s="231" t="str">
        <f t="shared" si="28"/>
        <v>4년차</v>
      </c>
      <c r="S45" s="231" t="str">
        <f t="shared" si="28"/>
        <v>5년차</v>
      </c>
      <c r="T45" s="231" t="str">
        <f t="shared" si="28"/>
        <v>6년차</v>
      </c>
      <c r="U45" s="231" t="str">
        <f t="shared" si="28"/>
        <v>7년차</v>
      </c>
      <c r="V45" s="231" t="str">
        <f t="shared" si="28"/>
        <v>8년차</v>
      </c>
      <c r="W45" s="231" t="str">
        <f t="shared" si="28"/>
        <v>9년차</v>
      </c>
      <c r="X45" s="231" t="str">
        <f t="shared" si="28"/>
        <v>10년차</v>
      </c>
      <c r="Y45" s="231" t="str">
        <f t="shared" si="28"/>
        <v>11년차</v>
      </c>
      <c r="Z45" s="231" t="str">
        <f t="shared" si="28"/>
        <v>12년차</v>
      </c>
      <c r="AA45" s="231" t="str">
        <f t="shared" si="28"/>
        <v>13년차</v>
      </c>
      <c r="AB45" s="295" t="str">
        <f t="shared" si="28"/>
        <v>14년차</v>
      </c>
      <c r="AC45" s="295" t="str">
        <f t="shared" ref="AC45" si="29">AC5</f>
        <v>15년차</v>
      </c>
    </row>
    <row r="46" spans="2:30" x14ac:dyDescent="0.3">
      <c r="M46" s="249"/>
      <c r="N46" s="597"/>
      <c r="O46" s="291" t="str">
        <f t="shared" ref="O46:AB46" si="30">O6</f>
        <v>2024</v>
      </c>
      <c r="P46" s="291" t="str">
        <f t="shared" si="30"/>
        <v>2025</v>
      </c>
      <c r="Q46" s="291" t="str">
        <f t="shared" si="30"/>
        <v>2026</v>
      </c>
      <c r="R46" s="291" t="str">
        <f t="shared" si="30"/>
        <v>2027</v>
      </c>
      <c r="S46" s="291" t="str">
        <f t="shared" si="30"/>
        <v>2028</v>
      </c>
      <c r="T46" s="291" t="str">
        <f t="shared" si="30"/>
        <v>2029</v>
      </c>
      <c r="U46" s="291" t="str">
        <f t="shared" si="30"/>
        <v>2030</v>
      </c>
      <c r="V46" s="291" t="str">
        <f t="shared" si="30"/>
        <v>2031</v>
      </c>
      <c r="W46" s="291" t="str">
        <f t="shared" si="30"/>
        <v>2032</v>
      </c>
      <c r="X46" s="291" t="str">
        <f t="shared" si="30"/>
        <v>2033</v>
      </c>
      <c r="Y46" s="291" t="str">
        <f t="shared" si="30"/>
        <v>2034</v>
      </c>
      <c r="Z46" s="291" t="str">
        <f t="shared" si="30"/>
        <v>2035</v>
      </c>
      <c r="AA46" s="291" t="str">
        <f t="shared" si="30"/>
        <v>2036</v>
      </c>
      <c r="AB46" s="296" t="str">
        <f t="shared" si="30"/>
        <v>2037</v>
      </c>
      <c r="AC46" s="296" t="str">
        <f t="shared" ref="AC46" si="31">AC6</f>
        <v>2038</v>
      </c>
    </row>
    <row r="47" spans="2:30" x14ac:dyDescent="0.3">
      <c r="E47" s="249"/>
      <c r="F47" s="249"/>
      <c r="G47" s="249"/>
      <c r="H47" s="249"/>
      <c r="I47" s="249"/>
      <c r="J47" s="249"/>
      <c r="K47" s="249"/>
      <c r="L47" s="249"/>
      <c r="M47" s="249"/>
      <c r="N47" s="283" t="s">
        <v>375</v>
      </c>
      <c r="O47" s="284"/>
      <c r="P47" s="284"/>
      <c r="Q47" s="284"/>
      <c r="R47" s="284"/>
      <c r="S47" s="284"/>
      <c r="T47" s="284"/>
      <c r="U47" s="284"/>
      <c r="V47" s="284"/>
      <c r="W47" s="284"/>
      <c r="X47" s="284"/>
      <c r="Y47" s="284"/>
      <c r="Z47" s="284"/>
      <c r="AA47" s="284"/>
      <c r="AB47" s="285"/>
      <c r="AC47" s="285"/>
    </row>
    <row r="48" spans="2:30" x14ac:dyDescent="0.3">
      <c r="B48" t="s">
        <v>725</v>
      </c>
      <c r="C48" s="54" t="s">
        <v>102</v>
      </c>
      <c r="D48" s="55" t="s">
        <v>117</v>
      </c>
      <c r="E48" s="272" t="s">
        <v>137</v>
      </c>
      <c r="F48" s="249"/>
      <c r="G48" s="249"/>
      <c r="H48" s="249"/>
      <c r="I48" s="249"/>
      <c r="J48" s="249"/>
      <c r="K48" s="249"/>
      <c r="L48" s="249"/>
      <c r="M48" s="249"/>
      <c r="N48" s="239" t="s">
        <v>376</v>
      </c>
      <c r="O48" s="276">
        <f>O49+O50+O51</f>
        <v>1621.3752902916267</v>
      </c>
      <c r="P48" s="276">
        <f t="shared" ref="P48:AB48" si="32">P49+P50+P51</f>
        <v>3902.3307925337249</v>
      </c>
      <c r="Q48" s="276">
        <f t="shared" si="32"/>
        <v>6375.1674526005554</v>
      </c>
      <c r="R48" s="276">
        <f t="shared" si="32"/>
        <v>9033.0495720032304</v>
      </c>
      <c r="S48" s="276">
        <f t="shared" si="32"/>
        <v>10476.492458200581</v>
      </c>
      <c r="T48" s="276">
        <f t="shared" si="32"/>
        <v>12051.600964895153</v>
      </c>
      <c r="U48" s="276">
        <f t="shared" si="32"/>
        <v>13758.665858997405</v>
      </c>
      <c r="V48" s="276">
        <f t="shared" si="32"/>
        <v>15597.657589653478</v>
      </c>
      <c r="W48" s="276">
        <f t="shared" si="32"/>
        <v>17568.647108953141</v>
      </c>
      <c r="X48" s="276">
        <f t="shared" si="32"/>
        <v>19671.595235830377</v>
      </c>
      <c r="Y48" s="276">
        <f t="shared" si="32"/>
        <v>21906.77346958666</v>
      </c>
      <c r="Z48" s="276">
        <f t="shared" si="32"/>
        <v>24274.132377615926</v>
      </c>
      <c r="AA48" s="276">
        <f t="shared" si="32"/>
        <v>26773.722401429368</v>
      </c>
      <c r="AB48" s="241">
        <f t="shared" si="32"/>
        <v>29405.483205555676</v>
      </c>
      <c r="AC48" s="241">
        <f t="shared" ref="AC48" si="33">AC49+AC50+AC51</f>
        <v>32169.664475740374</v>
      </c>
    </row>
    <row r="49" spans="3:33" x14ac:dyDescent="0.3">
      <c r="C49" s="56" t="s">
        <v>695</v>
      </c>
      <c r="D49" s="494">
        <v>0</v>
      </c>
      <c r="E49" s="238" t="s">
        <v>569</v>
      </c>
      <c r="F49" s="249"/>
      <c r="G49" s="249"/>
      <c r="H49" s="249"/>
      <c r="I49" s="249"/>
      <c r="J49" s="249"/>
      <c r="K49" s="249"/>
      <c r="L49" s="249"/>
      <c r="M49" s="249"/>
      <c r="N49" s="287" t="s">
        <v>377</v>
      </c>
      <c r="O49" s="281">
        <f>상환가능성!C8</f>
        <v>5030.6020173913048</v>
      </c>
      <c r="P49" s="281">
        <f>상환가능성!D8</f>
        <v>13315.470093913045</v>
      </c>
      <c r="Q49" s="281">
        <f>상환가능성!E8</f>
        <v>15852.858112695652</v>
      </c>
      <c r="R49" s="281">
        <f>상환가능성!F8</f>
        <v>18390.261461478261</v>
      </c>
      <c r="S49" s="281">
        <f>상환가능성!G8</f>
        <v>19657.453054219568</v>
      </c>
      <c r="T49" s="281">
        <f>상환가능성!H8</f>
        <v>19844.96686606151</v>
      </c>
      <c r="U49" s="281">
        <f>상환가능성!I8</f>
        <v>20034.401119615377</v>
      </c>
      <c r="V49" s="281">
        <f>상환가능성!J8</f>
        <v>20225.774792780314</v>
      </c>
      <c r="W49" s="281">
        <f>상환가능성!K8</f>
        <v>20419.107054367061</v>
      </c>
      <c r="X49" s="281">
        <f>상환가능성!L8</f>
        <v>20614.417266001376</v>
      </c>
      <c r="Y49" s="281">
        <f>상환가능성!M8</f>
        <v>20811.724984046581</v>
      </c>
      <c r="Z49" s="281">
        <f>상환가능성!N8</f>
        <v>21011.049961545315</v>
      </c>
      <c r="AA49" s="281">
        <f>상환가능성!O8</f>
        <v>21212.412150180746</v>
      </c>
      <c r="AB49" s="282">
        <f>상환가능성!P8</f>
        <v>21415.831702257427</v>
      </c>
      <c r="AC49" s="282">
        <f>상환가능성!Q8</f>
        <v>21621.328972702006</v>
      </c>
    </row>
    <row r="50" spans="3:33" x14ac:dyDescent="0.3">
      <c r="C50" s="56" t="s">
        <v>378</v>
      </c>
      <c r="D50" s="494">
        <v>0</v>
      </c>
      <c r="E50" s="238" t="s">
        <v>569</v>
      </c>
      <c r="N50" s="288" t="s">
        <v>378</v>
      </c>
      <c r="O50" s="277">
        <f>상환가능성!C9</f>
        <v>-4140.496302808413</v>
      </c>
      <c r="P50" s="277">
        <f>상환가능성!D9</f>
        <v>-10420.397654512477</v>
      </c>
      <c r="Q50" s="277">
        <f>상환가능성!E9</f>
        <v>-12150.792452628823</v>
      </c>
      <c r="R50" s="277">
        <f>상환가능성!F9</f>
        <v>-13940.650342075587</v>
      </c>
      <c r="S50" s="277">
        <f>상환가능성!G9</f>
        <v>-14798.908753981123</v>
      </c>
      <c r="T50" s="277">
        <f>상환가능성!H9</f>
        <v>-14957.087453116937</v>
      </c>
      <c r="U50" s="277">
        <f>상환가능성!I9</f>
        <v>-15117.106311472029</v>
      </c>
      <c r="V50" s="277">
        <f>상환가능성!J9</f>
        <v>-15278.988898083146</v>
      </c>
      <c r="W50" s="277">
        <f>상환가능성!K9</f>
        <v>-15442.7591210263</v>
      </c>
      <c r="X50" s="277">
        <f>상환가능성!L9</f>
        <v>-15608.44123287414</v>
      </c>
      <c r="Y50" s="277">
        <f>상환가능성!M9</f>
        <v>-15776.059836249207</v>
      </c>
      <c r="Z50" s="277">
        <f>상환가능성!N9</f>
        <v>-15945.639889474949</v>
      </c>
      <c r="AA50" s="277">
        <f>상환가능성!O9</f>
        <v>-16117.20671232621</v>
      </c>
      <c r="AB50" s="278">
        <f>상환가능성!P9</f>
        <v>-16290.785991881119</v>
      </c>
      <c r="AC50" s="278">
        <f>상환가능성!Q9</f>
        <v>-16466.403788476211</v>
      </c>
    </row>
    <row r="51" spans="3:33" x14ac:dyDescent="0.3">
      <c r="C51" s="56" t="s">
        <v>683</v>
      </c>
      <c r="D51" s="494">
        <v>0</v>
      </c>
      <c r="E51" s="238" t="s">
        <v>569</v>
      </c>
      <c r="N51" s="286" t="s">
        <v>100</v>
      </c>
      <c r="O51" s="246">
        <f>상환가능성!C10</f>
        <v>731.26957570873492</v>
      </c>
      <c r="P51" s="246">
        <f>상환가능성!D10</f>
        <v>1007.2583531331566</v>
      </c>
      <c r="Q51" s="246">
        <f>상환가능성!E10</f>
        <v>2673.1017925337255</v>
      </c>
      <c r="R51" s="246">
        <f>상환가능성!F10</f>
        <v>4583.438452600556</v>
      </c>
      <c r="S51" s="246">
        <f>상환가능성!G10</f>
        <v>5617.9481579621352</v>
      </c>
      <c r="T51" s="246">
        <f>상환가능성!H10</f>
        <v>7163.7215519505808</v>
      </c>
      <c r="U51" s="246">
        <f>상환가능성!I10</f>
        <v>8841.3710508540571</v>
      </c>
      <c r="V51" s="246">
        <f>상환가능성!J10</f>
        <v>10650.87169495631</v>
      </c>
      <c r="W51" s="246">
        <f>상환가능성!K10</f>
        <v>12592.299175612381</v>
      </c>
      <c r="X51" s="246">
        <f>상환가능성!L10</f>
        <v>14665.619202703143</v>
      </c>
      <c r="Y51" s="246">
        <f>상환가능성!M10</f>
        <v>16871.108321789285</v>
      </c>
      <c r="Z51" s="246">
        <f>상환가능성!N10</f>
        <v>19208.722305545562</v>
      </c>
      <c r="AA51" s="246">
        <f>상환가능성!O10</f>
        <v>21678.516963574832</v>
      </c>
      <c r="AB51" s="248">
        <f>상환가능성!P10</f>
        <v>24280.437495179369</v>
      </c>
      <c r="AC51" s="248">
        <f>상환가능성!Q10</f>
        <v>27014.739291514579</v>
      </c>
    </row>
    <row r="52" spans="3:33" x14ac:dyDescent="0.3">
      <c r="N52" s="239" t="s">
        <v>379</v>
      </c>
      <c r="O52" s="276">
        <f>O53+O54</f>
        <v>1210.6698618216324</v>
      </c>
      <c r="P52" s="276">
        <f t="shared" ref="P52:AB52" si="34">P53+P54</f>
        <v>2477.3486630451953</v>
      </c>
      <c r="Q52" s="276">
        <f t="shared" si="34"/>
        <v>2350.0724117926293</v>
      </c>
      <c r="R52" s="276">
        <f t="shared" si="34"/>
        <v>2350.0724117926293</v>
      </c>
      <c r="S52" s="276">
        <f t="shared" si="34"/>
        <v>2350.0724117926293</v>
      </c>
      <c r="T52" s="276">
        <f t="shared" si="34"/>
        <v>2350.0724117926293</v>
      </c>
      <c r="U52" s="276">
        <f t="shared" si="34"/>
        <v>2350.0724117926293</v>
      </c>
      <c r="V52" s="276">
        <f t="shared" si="34"/>
        <v>2350.0724117926293</v>
      </c>
      <c r="W52" s="276">
        <f t="shared" si="34"/>
        <v>2350.0724117926293</v>
      </c>
      <c r="X52" s="276">
        <f t="shared" si="34"/>
        <v>2350.0724117926293</v>
      </c>
      <c r="Y52" s="276">
        <f t="shared" si="34"/>
        <v>2350.0724117926293</v>
      </c>
      <c r="Z52" s="276">
        <f t="shared" si="34"/>
        <v>2350.0724117926293</v>
      </c>
      <c r="AA52" s="276">
        <f t="shared" si="34"/>
        <v>2350.0724117926293</v>
      </c>
      <c r="AB52" s="241">
        <f t="shared" si="34"/>
        <v>2350.0724117926293</v>
      </c>
      <c r="AC52" s="241">
        <f t="shared" ref="AC52" si="35">AC53+AC54</f>
        <v>2350.0724117926293</v>
      </c>
    </row>
    <row r="53" spans="3:33" x14ac:dyDescent="0.3">
      <c r="N53" s="287" t="s">
        <v>345</v>
      </c>
      <c r="O53" s="281">
        <f>상환가능성!C12</f>
        <v>1210.6698618216324</v>
      </c>
      <c r="P53" s="281">
        <f>상환가능성!D12</f>
        <v>2477.3486630451953</v>
      </c>
      <c r="Q53" s="281">
        <f>상환가능성!E12</f>
        <v>2350.0724117926293</v>
      </c>
      <c r="R53" s="281">
        <f>상환가능성!F12</f>
        <v>2350.0724117926293</v>
      </c>
      <c r="S53" s="281">
        <f>상환가능성!G12</f>
        <v>2350.0724117926293</v>
      </c>
      <c r="T53" s="281">
        <f>상환가능성!H12</f>
        <v>2350.0724117926293</v>
      </c>
      <c r="U53" s="281">
        <f>상환가능성!I12</f>
        <v>2350.0724117926293</v>
      </c>
      <c r="V53" s="281">
        <f>상환가능성!J12</f>
        <v>2350.0724117926293</v>
      </c>
      <c r="W53" s="281">
        <f>상환가능성!K12</f>
        <v>2350.0724117926293</v>
      </c>
      <c r="X53" s="281">
        <f>상환가능성!L12</f>
        <v>2350.0724117926293</v>
      </c>
      <c r="Y53" s="281">
        <f>상환가능성!M12</f>
        <v>2350.0724117926293</v>
      </c>
      <c r="Z53" s="281">
        <f>상환가능성!N12</f>
        <v>2350.0724117926293</v>
      </c>
      <c r="AA53" s="281">
        <f>상환가능성!O12</f>
        <v>2350.0724117926293</v>
      </c>
      <c r="AB53" s="282">
        <f>상환가능성!P12</f>
        <v>2350.0724117926293</v>
      </c>
      <c r="AC53" s="282">
        <f>상환가능성!Q12</f>
        <v>2350.0724117926293</v>
      </c>
    </row>
    <row r="54" spans="3:33" x14ac:dyDescent="0.3">
      <c r="N54" s="288" t="s">
        <v>100</v>
      </c>
      <c r="O54" s="277">
        <f>상환가능성!C13</f>
        <v>0</v>
      </c>
      <c r="P54" s="277">
        <f>상환가능성!D13</f>
        <v>0</v>
      </c>
      <c r="Q54" s="277">
        <f>상환가능성!E13</f>
        <v>0</v>
      </c>
      <c r="R54" s="277">
        <f>상환가능성!F13</f>
        <v>0</v>
      </c>
      <c r="S54" s="277">
        <f>상환가능성!G13</f>
        <v>0</v>
      </c>
      <c r="T54" s="277">
        <f>상환가능성!H13</f>
        <v>0</v>
      </c>
      <c r="U54" s="277">
        <f>상환가능성!I13</f>
        <v>0</v>
      </c>
      <c r="V54" s="277">
        <f>상환가능성!J13</f>
        <v>0</v>
      </c>
      <c r="W54" s="277">
        <f>상환가능성!K13</f>
        <v>0</v>
      </c>
      <c r="X54" s="277">
        <f>상환가능성!L13</f>
        <v>0</v>
      </c>
      <c r="Y54" s="277">
        <f>상환가능성!M13</f>
        <v>0</v>
      </c>
      <c r="Z54" s="277">
        <f>상환가능성!N13</f>
        <v>0</v>
      </c>
      <c r="AA54" s="277">
        <f>상환가능성!O13</f>
        <v>0</v>
      </c>
      <c r="AB54" s="278">
        <f>상환가능성!P13</f>
        <v>0</v>
      </c>
      <c r="AC54" s="278">
        <f>상환가능성!Q13</f>
        <v>0</v>
      </c>
    </row>
    <row r="55" spans="3:33" x14ac:dyDescent="0.3">
      <c r="N55" s="239" t="s">
        <v>382</v>
      </c>
      <c r="O55" s="276">
        <f>O48</f>
        <v>1621.3752902916267</v>
      </c>
      <c r="P55" s="276">
        <f t="shared" ref="P55:AB55" si="36">P48</f>
        <v>3902.3307925337249</v>
      </c>
      <c r="Q55" s="276">
        <f t="shared" si="36"/>
        <v>6375.1674526005554</v>
      </c>
      <c r="R55" s="276">
        <f t="shared" si="36"/>
        <v>9033.0495720032304</v>
      </c>
      <c r="S55" s="276">
        <f t="shared" si="36"/>
        <v>10476.492458200581</v>
      </c>
      <c r="T55" s="276">
        <f t="shared" si="36"/>
        <v>12051.600964895153</v>
      </c>
      <c r="U55" s="276">
        <f t="shared" si="36"/>
        <v>13758.665858997405</v>
      </c>
      <c r="V55" s="276">
        <f t="shared" si="36"/>
        <v>15597.657589653478</v>
      </c>
      <c r="W55" s="276">
        <f t="shared" si="36"/>
        <v>17568.647108953141</v>
      </c>
      <c r="X55" s="276">
        <f t="shared" si="36"/>
        <v>19671.595235830377</v>
      </c>
      <c r="Y55" s="276">
        <f t="shared" si="36"/>
        <v>21906.77346958666</v>
      </c>
      <c r="Z55" s="276">
        <f t="shared" si="36"/>
        <v>24274.132377615926</v>
      </c>
      <c r="AA55" s="276">
        <f t="shared" si="36"/>
        <v>26773.722401429368</v>
      </c>
      <c r="AB55" s="241">
        <f t="shared" si="36"/>
        <v>29405.483205555676</v>
      </c>
      <c r="AC55" s="241">
        <f t="shared" ref="AC55" si="37">AC48</f>
        <v>32169.664475740374</v>
      </c>
    </row>
    <row r="56" spans="3:33" x14ac:dyDescent="0.3">
      <c r="N56" s="298" t="s">
        <v>383</v>
      </c>
      <c r="O56" s="246">
        <f t="shared" ref="O56:AC56" si="38">O55+O52</f>
        <v>2832.0451521132591</v>
      </c>
      <c r="P56" s="246">
        <f t="shared" si="38"/>
        <v>6379.6794555789202</v>
      </c>
      <c r="Q56" s="246">
        <f t="shared" si="38"/>
        <v>8725.2398643931847</v>
      </c>
      <c r="R56" s="246">
        <f t="shared" si="38"/>
        <v>11383.12198379586</v>
      </c>
      <c r="S56" s="246">
        <f t="shared" si="38"/>
        <v>12826.56486999321</v>
      </c>
      <c r="T56" s="246">
        <f t="shared" si="38"/>
        <v>14401.673376687782</v>
      </c>
      <c r="U56" s="246">
        <f t="shared" si="38"/>
        <v>16108.738270790034</v>
      </c>
      <c r="V56" s="246">
        <f t="shared" si="38"/>
        <v>17947.730001446107</v>
      </c>
      <c r="W56" s="246">
        <f t="shared" si="38"/>
        <v>19918.71952074577</v>
      </c>
      <c r="X56" s="246">
        <f t="shared" si="38"/>
        <v>22021.667647623006</v>
      </c>
      <c r="Y56" s="246">
        <f t="shared" si="38"/>
        <v>24256.845881379289</v>
      </c>
      <c r="Z56" s="246">
        <f t="shared" si="38"/>
        <v>26624.204789408555</v>
      </c>
      <c r="AA56" s="246">
        <f t="shared" si="38"/>
        <v>29123.794813221997</v>
      </c>
      <c r="AB56" s="248">
        <f t="shared" si="38"/>
        <v>31755.555617348306</v>
      </c>
      <c r="AC56" s="248">
        <f t="shared" si="38"/>
        <v>34519.736887532999</v>
      </c>
    </row>
    <row r="57" spans="3:33" x14ac:dyDescent="0.3">
      <c r="N57" s="283" t="s">
        <v>339</v>
      </c>
      <c r="O57" s="284">
        <f>O58+O59</f>
        <v>614.11693715846991</v>
      </c>
      <c r="P57" s="284">
        <f t="shared" ref="P57:AB57" si="39">P58+P59</f>
        <v>1229.229</v>
      </c>
      <c r="Q57" s="284">
        <f t="shared" si="39"/>
        <v>1791.729</v>
      </c>
      <c r="R57" s="284">
        <f t="shared" si="39"/>
        <v>3415.1014140410957</v>
      </c>
      <c r="S57" s="284">
        <f t="shared" si="39"/>
        <v>3312.7709062499998</v>
      </c>
      <c r="T57" s="284">
        <f t="shared" si="39"/>
        <v>3210.229914041096</v>
      </c>
      <c r="U57" s="284">
        <f t="shared" si="39"/>
        <v>3107.7941640410959</v>
      </c>
      <c r="V57" s="284">
        <f t="shared" si="39"/>
        <v>3005.3584140410958</v>
      </c>
      <c r="W57" s="284">
        <f t="shared" si="39"/>
        <v>2903.0279062499999</v>
      </c>
      <c r="X57" s="284">
        <f t="shared" si="39"/>
        <v>2800.4869140410956</v>
      </c>
      <c r="Y57" s="284">
        <f t="shared" si="39"/>
        <v>2698.0511640410959</v>
      </c>
      <c r="Z57" s="284">
        <f t="shared" si="39"/>
        <v>2595.6154140410958</v>
      </c>
      <c r="AA57" s="284">
        <f t="shared" si="39"/>
        <v>2493.2849062499999</v>
      </c>
      <c r="AB57" s="285">
        <f t="shared" si="39"/>
        <v>2390.7439140410961</v>
      </c>
      <c r="AC57" s="285">
        <f t="shared" ref="AC57" si="40">AC58+AC59</f>
        <v>1725.808164041096</v>
      </c>
    </row>
    <row r="58" spans="3:33" x14ac:dyDescent="0.3">
      <c r="N58" s="308" t="s">
        <v>115</v>
      </c>
      <c r="O58" s="277">
        <f>상환가능성!C17</f>
        <v>614.11693715846991</v>
      </c>
      <c r="P58" s="277">
        <f>상환가능성!D17</f>
        <v>1229.229</v>
      </c>
      <c r="Q58" s="277">
        <f>상환가능성!E17</f>
        <v>1229.229</v>
      </c>
      <c r="R58" s="277">
        <f>상환가능성!F17</f>
        <v>1165.1014140410957</v>
      </c>
      <c r="S58" s="277">
        <f>상환가능성!G17</f>
        <v>1062.7709062500001</v>
      </c>
      <c r="T58" s="277">
        <f>상환가능성!H17</f>
        <v>960.22991404109587</v>
      </c>
      <c r="U58" s="277">
        <f>상환가능성!I17</f>
        <v>857.79416404109588</v>
      </c>
      <c r="V58" s="277">
        <f>상환가능성!J17</f>
        <v>755.35841404109578</v>
      </c>
      <c r="W58" s="277">
        <f>상환가능성!K17</f>
        <v>653.02790624999989</v>
      </c>
      <c r="X58" s="277">
        <f>상환가능성!L17</f>
        <v>550.48691404109582</v>
      </c>
      <c r="Y58" s="277">
        <f>상환가능성!M17</f>
        <v>448.05116404109583</v>
      </c>
      <c r="Z58" s="277">
        <f>상환가능성!N17</f>
        <v>345.61541404109585</v>
      </c>
      <c r="AA58" s="277">
        <f>상환가능성!O17</f>
        <v>243.28490624999998</v>
      </c>
      <c r="AB58" s="278">
        <f>상환가능성!P17</f>
        <v>140.74391404109588</v>
      </c>
      <c r="AC58" s="278">
        <f>상환가능성!Q17</f>
        <v>38.308164041095893</v>
      </c>
    </row>
    <row r="59" spans="3:33" ht="13.8" thickBot="1" x14ac:dyDescent="0.35">
      <c r="N59" s="308" t="s">
        <v>319</v>
      </c>
      <c r="O59" s="277">
        <f>상환가능성!C18</f>
        <v>0</v>
      </c>
      <c r="P59" s="277">
        <f>상환가능성!D18</f>
        <v>0</v>
      </c>
      <c r="Q59" s="277">
        <f>상환가능성!E18</f>
        <v>562.5</v>
      </c>
      <c r="R59" s="277">
        <f>상환가능성!F18</f>
        <v>2250</v>
      </c>
      <c r="S59" s="277">
        <f>상환가능성!G18</f>
        <v>2250</v>
      </c>
      <c r="T59" s="277">
        <f>상환가능성!H18</f>
        <v>2250</v>
      </c>
      <c r="U59" s="277">
        <f>상환가능성!I18</f>
        <v>2250</v>
      </c>
      <c r="V59" s="277">
        <f>상환가능성!J18</f>
        <v>2250</v>
      </c>
      <c r="W59" s="277">
        <f>상환가능성!K18</f>
        <v>2250</v>
      </c>
      <c r="X59" s="277">
        <f>상환가능성!L18</f>
        <v>2250</v>
      </c>
      <c r="Y59" s="277">
        <f>상환가능성!M18</f>
        <v>2250</v>
      </c>
      <c r="Z59" s="277">
        <f>상환가능성!N18</f>
        <v>2250</v>
      </c>
      <c r="AA59" s="277">
        <f>상환가능성!O18</f>
        <v>2250</v>
      </c>
      <c r="AB59" s="278">
        <f>상환가능성!P18</f>
        <v>2250</v>
      </c>
      <c r="AC59" s="278">
        <f>상환가능성!Q18</f>
        <v>1687.5</v>
      </c>
    </row>
    <row r="60" spans="3:33" ht="13.8" thickTop="1" x14ac:dyDescent="0.3">
      <c r="N60" s="301" t="s">
        <v>731</v>
      </c>
      <c r="O60" s="302">
        <f>(O49+O50)/O57</f>
        <v>1.4494075325481608</v>
      </c>
      <c r="P60" s="302">
        <f t="shared" ref="P60:AC60" si="41">(P49+P50)/P57</f>
        <v>2.355193734772421</v>
      </c>
      <c r="Q60" s="302">
        <f t="shared" si="41"/>
        <v>2.0661973211723592</v>
      </c>
      <c r="R60" s="302">
        <f t="shared" si="41"/>
        <v>1.302922103896599</v>
      </c>
      <c r="S60" s="302">
        <f t="shared" si="41"/>
        <v>1.466610410962053</v>
      </c>
      <c r="T60" s="302">
        <f t="shared" si="41"/>
        <v>1.5225948121552517</v>
      </c>
      <c r="U60" s="302">
        <f t="shared" si="41"/>
        <v>1.5822459753091691</v>
      </c>
      <c r="V60" s="302">
        <f t="shared" si="41"/>
        <v>1.6459886686345575</v>
      </c>
      <c r="W60" s="302">
        <f t="shared" si="41"/>
        <v>1.7141922482477898</v>
      </c>
      <c r="X60" s="302">
        <f t="shared" si="41"/>
        <v>1.787537734251943</v>
      </c>
      <c r="Y60" s="302">
        <f t="shared" si="41"/>
        <v>1.8664083227595427</v>
      </c>
      <c r="Z60" s="302">
        <f t="shared" si="41"/>
        <v>1.9515256554067324</v>
      </c>
      <c r="AA60" s="302">
        <f t="shared" si="41"/>
        <v>2.0435712842452203</v>
      </c>
      <c r="AB60" s="302">
        <f t="shared" si="41"/>
        <v>2.1437033386454996</v>
      </c>
      <c r="AC60" s="303">
        <f t="shared" si="41"/>
        <v>2.9869630307896968</v>
      </c>
      <c r="AE60" s="371">
        <f>AVERAGE(O60:AC60)</f>
        <v>1.8590041449197998</v>
      </c>
      <c r="AF60" s="371">
        <f>MIN(O60:AC60)</f>
        <v>1.302922103896599</v>
      </c>
      <c r="AG60" s="371">
        <f>MAX(O60:AC60)</f>
        <v>2.9869630307896968</v>
      </c>
    </row>
    <row r="61" spans="3:33" ht="13.8" thickBot="1" x14ac:dyDescent="0.35">
      <c r="N61" s="298" t="s">
        <v>732</v>
      </c>
      <c r="O61" s="546">
        <f>(O49+O50+O53)/O57</f>
        <v>3.4208070959984438</v>
      </c>
      <c r="P61" s="546">
        <f t="shared" ref="P61:AC61" si="42">(P49+P50+P53)/P57</f>
        <v>4.3705616304575985</v>
      </c>
      <c r="Q61" s="546">
        <f t="shared" si="42"/>
        <v>3.3778200117648702</v>
      </c>
      <c r="R61" s="546">
        <f t="shared" si="42"/>
        <v>1.9910634288160789</v>
      </c>
      <c r="S61" s="546">
        <f t="shared" si="42"/>
        <v>2.1760082166958856</v>
      </c>
      <c r="T61" s="546">
        <f t="shared" si="42"/>
        <v>2.2546521646563114</v>
      </c>
      <c r="U61" s="546">
        <f t="shared" si="42"/>
        <v>2.3384326105066582</v>
      </c>
      <c r="V61" s="546">
        <f t="shared" si="42"/>
        <v>2.4279494493564315</v>
      </c>
      <c r="W61" s="546">
        <f t="shared" si="42"/>
        <v>2.5237168162800505</v>
      </c>
      <c r="X61" s="546">
        <f t="shared" si="42"/>
        <v>2.6267033807721334</v>
      </c>
      <c r="Y61" s="546">
        <f t="shared" si="42"/>
        <v>2.7374342110428214</v>
      </c>
      <c r="Z61" s="546">
        <f t="shared" si="42"/>
        <v>2.8569265091232765</v>
      </c>
      <c r="AA61" s="546">
        <f t="shared" si="42"/>
        <v>2.9861320023972553</v>
      </c>
      <c r="AB61" s="546">
        <f t="shared" si="42"/>
        <v>3.1266912688836159</v>
      </c>
      <c r="AC61" s="547">
        <f t="shared" si="42"/>
        <v>4.3486858808484063</v>
      </c>
      <c r="AE61" s="371">
        <f>AVERAGE(O61:AC61)</f>
        <v>2.904238978506656</v>
      </c>
      <c r="AF61" s="371">
        <f>MIN(O61:AC61)</f>
        <v>1.9910634288160789</v>
      </c>
      <c r="AG61" s="371">
        <f>MAX(O61:AC61)</f>
        <v>4.3705616304575985</v>
      </c>
    </row>
    <row r="62" spans="3:33" ht="13.8" thickTop="1" x14ac:dyDescent="0.3">
      <c r="N62" s="301" t="s">
        <v>729</v>
      </c>
      <c r="O62" s="302">
        <f>O55/O57</f>
        <v>2.6401735438103358</v>
      </c>
      <c r="P62" s="302">
        <f t="shared" ref="P62:AB62" si="43">P55/P57</f>
        <v>3.1746166031990173</v>
      </c>
      <c r="Q62" s="302">
        <f t="shared" si="43"/>
        <v>3.5581092076985721</v>
      </c>
      <c r="R62" s="302">
        <f t="shared" si="43"/>
        <v>2.6450311357853371</v>
      </c>
      <c r="S62" s="302">
        <f t="shared" si="43"/>
        <v>3.1624560691580665</v>
      </c>
      <c r="T62" s="302">
        <f t="shared" si="43"/>
        <v>3.7541239374111925</v>
      </c>
      <c r="U62" s="302">
        <f t="shared" si="43"/>
        <v>4.4271483672222596</v>
      </c>
      <c r="V62" s="302">
        <f t="shared" si="43"/>
        <v>5.1899492309406101</v>
      </c>
      <c r="W62" s="302">
        <f t="shared" si="43"/>
        <v>6.0518354202276763</v>
      </c>
      <c r="X62" s="302">
        <f t="shared" si="43"/>
        <v>7.0243482078780062</v>
      </c>
      <c r="Y62" s="302">
        <f t="shared" si="43"/>
        <v>8.1194803721865156</v>
      </c>
      <c r="Z62" s="302">
        <f t="shared" si="43"/>
        <v>9.3519757381251232</v>
      </c>
      <c r="AA62" s="302">
        <f t="shared" si="43"/>
        <v>10.738332524419809</v>
      </c>
      <c r="AB62" s="303">
        <f t="shared" si="43"/>
        <v>12.299721033630625</v>
      </c>
      <c r="AC62" s="303">
        <f t="shared" ref="AC62" si="44">AC55/AC57</f>
        <v>18.640347835887471</v>
      </c>
      <c r="AE62" s="371">
        <f>AVERAGE(O62:AC62)</f>
        <v>6.7185099485053739</v>
      </c>
      <c r="AF62" s="371">
        <f>MIN(O62:AC62)</f>
        <v>2.6401735438103358</v>
      </c>
      <c r="AG62" s="371">
        <f>MAX(O62:AC62)</f>
        <v>18.640347835887471</v>
      </c>
    </row>
    <row r="63" spans="3:33" x14ac:dyDescent="0.3">
      <c r="N63" s="298" t="s">
        <v>730</v>
      </c>
      <c r="O63" s="299">
        <f>O56/O57</f>
        <v>4.6115731072606181</v>
      </c>
      <c r="P63" s="299">
        <f t="shared" ref="P63:AB63" si="45">P56/P57</f>
        <v>5.1899844988841952</v>
      </c>
      <c r="Q63" s="299">
        <f t="shared" si="45"/>
        <v>4.8697318982910831</v>
      </c>
      <c r="R63" s="299">
        <f t="shared" si="45"/>
        <v>3.3331724607048172</v>
      </c>
      <c r="S63" s="299">
        <f t="shared" si="45"/>
        <v>3.8718538748918991</v>
      </c>
      <c r="T63" s="299">
        <f t="shared" si="45"/>
        <v>4.4861812899122517</v>
      </c>
      <c r="U63" s="299">
        <f t="shared" si="45"/>
        <v>5.1833350024197484</v>
      </c>
      <c r="V63" s="299">
        <f t="shared" si="45"/>
        <v>5.9719100116624846</v>
      </c>
      <c r="W63" s="299">
        <f t="shared" si="45"/>
        <v>6.8613599882599372</v>
      </c>
      <c r="X63" s="299">
        <f t="shared" si="45"/>
        <v>7.8635138543981959</v>
      </c>
      <c r="Y63" s="299">
        <f t="shared" si="45"/>
        <v>8.990506260469795</v>
      </c>
      <c r="Z63" s="299">
        <f t="shared" si="45"/>
        <v>10.257376591841668</v>
      </c>
      <c r="AA63" s="299">
        <f t="shared" si="45"/>
        <v>11.680893242571843</v>
      </c>
      <c r="AB63" s="300">
        <f t="shared" si="45"/>
        <v>13.282708963868741</v>
      </c>
      <c r="AC63" s="300">
        <f t="shared" ref="AC63" si="46">AC56/AC57</f>
        <v>20.00207068594618</v>
      </c>
      <c r="AE63" s="371">
        <f>AVERAGE(O63:AC63)</f>
        <v>7.7637447820922301</v>
      </c>
      <c r="AF63" s="371">
        <f>MIN(O63:AC63)</f>
        <v>3.3331724607048172</v>
      </c>
      <c r="AG63" s="371">
        <f>MAX(O63:AC63)</f>
        <v>20.00207068594618</v>
      </c>
    </row>
    <row r="64" spans="3:33" x14ac:dyDescent="0.3">
      <c r="N64" t="str">
        <f>상환가능성!B23</f>
        <v>주) 원리금상환재원(1)은 본건 물류센터에서 예상되는 영업현금흐름 및 기초현금을 고려하였으며, 원리금상환재원(2)는 차주 기존사업에서 예상되는 영업현금흐름 및 기초현금을 추가함</v>
      </c>
    </row>
    <row r="65" spans="1:22" x14ac:dyDescent="0.3">
      <c r="N65" t="str">
        <f>상환가능성!B24</f>
        <v>주) 차주 기존사업은 감가상각비 수준의 재투자를 가정하여 영업이익을 영업현금흐름 대용치로 적용, 2027년부터 전기와 동일한 수준이 유지되는 것으로 가정</v>
      </c>
    </row>
    <row r="66" spans="1:22" x14ac:dyDescent="0.3">
      <c r="N66" t="str">
        <f>상환가능성!B25</f>
        <v>주) 기존사업에서의 잔여현금은 보수적 관점에서 2022년말 현금성자산이 유지됨을 가정</v>
      </c>
    </row>
    <row r="71" spans="1:22" s="542" customFormat="1" x14ac:dyDescent="0.3">
      <c r="B71" s="543" t="s">
        <v>733</v>
      </c>
    </row>
    <row r="74" spans="1:22" x14ac:dyDescent="0.3">
      <c r="A74" s="489" t="s">
        <v>754</v>
      </c>
      <c r="B74" s="2" t="s">
        <v>755</v>
      </c>
    </row>
    <row r="75" spans="1:22" x14ac:dyDescent="0.3">
      <c r="A75" s="489"/>
      <c r="B75" s="2"/>
    </row>
    <row r="76" spans="1:22" x14ac:dyDescent="0.3">
      <c r="A76" s="489"/>
      <c r="B76" t="s">
        <v>738</v>
      </c>
      <c r="M76" t="s">
        <v>739</v>
      </c>
    </row>
    <row r="77" spans="1:22" x14ac:dyDescent="0.3">
      <c r="A77" s="489"/>
    </row>
    <row r="78" spans="1:22" x14ac:dyDescent="0.3">
      <c r="A78" s="489"/>
      <c r="B78" t="s">
        <v>740</v>
      </c>
      <c r="M78" t="s">
        <v>741</v>
      </c>
    </row>
    <row r="79" spans="1:22" x14ac:dyDescent="0.3">
      <c r="A79" s="489"/>
      <c r="B79" s="563" t="s">
        <v>742</v>
      </c>
      <c r="C79" s="258">
        <v>-0.1</v>
      </c>
      <c r="D79" s="564">
        <v>-7.4999999999999997E-2</v>
      </c>
      <c r="E79" s="564">
        <v>-0.05</v>
      </c>
      <c r="F79" s="564">
        <v>-2.5000000000000001E-2</v>
      </c>
      <c r="G79" s="564">
        <v>0</v>
      </c>
      <c r="H79" s="564">
        <v>2.5000000000000001E-2</v>
      </c>
      <c r="I79" s="564">
        <v>0.05</v>
      </c>
      <c r="J79" s="564">
        <v>7.4999999999999997E-2</v>
      </c>
      <c r="K79" s="565">
        <v>0.1</v>
      </c>
      <c r="M79" s="563" t="s">
        <v>743</v>
      </c>
      <c r="N79" s="258">
        <v>-0.1</v>
      </c>
      <c r="O79" s="564">
        <v>-7.4999999999999997E-2</v>
      </c>
      <c r="P79" s="564">
        <v>-0.05</v>
      </c>
      <c r="Q79" s="564">
        <v>-2.5000000000000001E-2</v>
      </c>
      <c r="R79" s="564">
        <v>0</v>
      </c>
      <c r="S79" s="564">
        <v>2.5000000000000001E-2</v>
      </c>
      <c r="T79" s="564">
        <v>0.05</v>
      </c>
      <c r="U79" s="564">
        <v>7.4999999999999997E-2</v>
      </c>
      <c r="V79" s="565">
        <v>0.1</v>
      </c>
    </row>
    <row r="80" spans="1:22" x14ac:dyDescent="0.3">
      <c r="A80" s="489"/>
      <c r="B80" s="566">
        <f>AF62</f>
        <v>2.6401735438103358</v>
      </c>
      <c r="C80" s="567">
        <f t="dataTable" ref="C80:K80" dt2D="0" dtr="1" r1="D36" ca="1"/>
        <v>1.7180929679649182</v>
      </c>
      <c r="D80" s="567">
        <v>1.9498275099200224</v>
      </c>
      <c r="E80" s="567">
        <v>2.1815620518751264</v>
      </c>
      <c r="F80" s="567">
        <v>2.4132965938302315</v>
      </c>
      <c r="G80" s="567">
        <v>2.6401735438103358</v>
      </c>
      <c r="H80" s="567">
        <v>2.8227053715029409</v>
      </c>
      <c r="I80" s="567">
        <v>3.00523719919555</v>
      </c>
      <c r="J80" s="567">
        <v>3.1877690268881582</v>
      </c>
      <c r="K80" s="568">
        <v>3.3703008545807647</v>
      </c>
      <c r="M80" s="566">
        <f>AF63</f>
        <v>3.3331724607048172</v>
      </c>
      <c r="N80" s="567">
        <f t="dataTable" ref="N80:V80" dt2D="0" dtr="1" r1="D36" ca="1"/>
        <v>2.4062342928843981</v>
      </c>
      <c r="O80" s="567">
        <v>2.6379688348395023</v>
      </c>
      <c r="P80" s="567">
        <v>2.8697033767946065</v>
      </c>
      <c r="Q80" s="567">
        <v>3.1014379187497112</v>
      </c>
      <c r="R80" s="567">
        <v>3.3331724607048172</v>
      </c>
      <c r="S80" s="567">
        <v>3.5649070026599206</v>
      </c>
      <c r="T80" s="567">
        <v>3.7966415446150257</v>
      </c>
      <c r="U80" s="567">
        <v>4.0283760865701304</v>
      </c>
      <c r="V80" s="568">
        <v>4.2601106285252346</v>
      </c>
    </row>
    <row r="81" spans="1:22" x14ac:dyDescent="0.3">
      <c r="A81" s="489"/>
      <c r="B81" s="371"/>
      <c r="C81" s="371"/>
      <c r="D81" s="371"/>
      <c r="E81" s="371"/>
      <c r="F81" s="371"/>
      <c r="G81" s="371"/>
      <c r="H81" s="371"/>
      <c r="I81" s="371"/>
      <c r="J81" s="371"/>
      <c r="K81" s="371"/>
      <c r="M81" s="371"/>
      <c r="N81" s="371"/>
      <c r="O81" s="371"/>
      <c r="P81" s="371"/>
      <c r="Q81" s="371"/>
      <c r="R81" s="371"/>
      <c r="S81" s="371"/>
      <c r="T81" s="371"/>
      <c r="U81" s="371"/>
      <c r="V81" s="371"/>
    </row>
    <row r="82" spans="1:22" outlineLevel="1" x14ac:dyDescent="0.3">
      <c r="A82" s="489"/>
      <c r="B82" s="563" t="s">
        <v>744</v>
      </c>
      <c r="C82" s="258">
        <v>-0.1</v>
      </c>
      <c r="D82" s="564">
        <v>-7.4999999999999997E-2</v>
      </c>
      <c r="E82" s="564">
        <v>-0.05</v>
      </c>
      <c r="F82" s="564">
        <v>-2.5000000000000001E-2</v>
      </c>
      <c r="G82" s="564">
        <v>0</v>
      </c>
      <c r="H82" s="564">
        <v>2.5000000000000001E-2</v>
      </c>
      <c r="I82" s="564">
        <v>0.05</v>
      </c>
      <c r="J82" s="564">
        <v>7.4999999999999997E-2</v>
      </c>
      <c r="K82" s="565">
        <v>0.1</v>
      </c>
      <c r="M82" s="563" t="s">
        <v>745</v>
      </c>
      <c r="N82" s="258">
        <v>-0.1</v>
      </c>
      <c r="O82" s="564">
        <v>-7.4999999999999997E-2</v>
      </c>
      <c r="P82" s="564">
        <v>-0.05</v>
      </c>
      <c r="Q82" s="564">
        <v>-2.5000000000000001E-2</v>
      </c>
      <c r="R82" s="564">
        <v>0</v>
      </c>
      <c r="S82" s="564">
        <v>2.5000000000000001E-2</v>
      </c>
      <c r="T82" s="564">
        <v>0.05</v>
      </c>
      <c r="U82" s="564">
        <v>7.4999999999999997E-2</v>
      </c>
      <c r="V82" s="565">
        <v>0.1</v>
      </c>
    </row>
    <row r="83" spans="1:22" outlineLevel="1" x14ac:dyDescent="0.3">
      <c r="A83" s="489"/>
      <c r="B83" s="566">
        <f>AF60</f>
        <v>1.302922103896599</v>
      </c>
      <c r="C83" s="567">
        <f t="dataTable" ref="C83:K83" dt2D="0" dtr="1" r1="D36"/>
        <v>0.71928022177773021</v>
      </c>
      <c r="D83" s="567">
        <v>0.90181204947033822</v>
      </c>
      <c r="E83" s="567">
        <v>1.0843438771629454</v>
      </c>
      <c r="F83" s="567">
        <v>1.2366184530822484</v>
      </c>
      <c r="G83" s="567">
        <v>1.302922103896599</v>
      </c>
      <c r="H83" s="567">
        <v>1.3692257547109488</v>
      </c>
      <c r="I83" s="567">
        <v>1.4355294055252998</v>
      </c>
      <c r="J83" s="567">
        <v>1.5018330563396487</v>
      </c>
      <c r="K83" s="568">
        <v>1.5681367071539984</v>
      </c>
      <c r="M83" s="566">
        <f>AF61</f>
        <v>1.9910634288160789</v>
      </c>
      <c r="N83" s="567">
        <f t="dataTable" ref="N83:V83" dt2D="0" dtr="1" r1="D36" ca="1"/>
        <v>1.7258488255586784</v>
      </c>
      <c r="O83" s="567">
        <v>1.7921524763730281</v>
      </c>
      <c r="P83" s="567">
        <v>1.8584561271873785</v>
      </c>
      <c r="Q83" s="567">
        <v>1.9247597780017285</v>
      </c>
      <c r="R83" s="567">
        <v>1.9910634288160789</v>
      </c>
      <c r="S83" s="567">
        <v>2.0573670796304286</v>
      </c>
      <c r="T83" s="567">
        <v>2.1236707304447799</v>
      </c>
      <c r="U83" s="567">
        <v>2.1899743812591286</v>
      </c>
      <c r="V83" s="568">
        <v>2.2562780320734785</v>
      </c>
    </row>
    <row r="84" spans="1:22" x14ac:dyDescent="0.3">
      <c r="A84" s="489"/>
      <c r="B84" s="2"/>
    </row>
    <row r="85" spans="1:22" x14ac:dyDescent="0.3">
      <c r="A85" s="489"/>
      <c r="B85" s="2"/>
    </row>
    <row r="86" spans="1:22" x14ac:dyDescent="0.3">
      <c r="A86" s="489"/>
      <c r="B86" t="s">
        <v>746</v>
      </c>
      <c r="M86" t="s">
        <v>747</v>
      </c>
    </row>
    <row r="87" spans="1:22" x14ac:dyDescent="0.3">
      <c r="A87" s="489"/>
      <c r="B87" s="563" t="s">
        <v>742</v>
      </c>
      <c r="C87" s="258">
        <v>-0.1</v>
      </c>
      <c r="D87" s="564">
        <v>-7.4999999999999997E-2</v>
      </c>
      <c r="E87" s="564">
        <v>-0.05</v>
      </c>
      <c r="F87" s="564">
        <v>-2.5000000000000001E-2</v>
      </c>
      <c r="G87" s="564">
        <v>0</v>
      </c>
      <c r="H87" s="564">
        <v>2.5000000000000001E-2</v>
      </c>
      <c r="I87" s="564">
        <v>0.05</v>
      </c>
      <c r="J87" s="564">
        <v>7.4999999999999997E-2</v>
      </c>
      <c r="K87" s="565">
        <v>0.1</v>
      </c>
      <c r="M87" s="563" t="s">
        <v>743</v>
      </c>
      <c r="N87" s="258">
        <v>-0.1</v>
      </c>
      <c r="O87" s="564">
        <v>-7.4999999999999997E-2</v>
      </c>
      <c r="P87" s="564">
        <v>-0.05</v>
      </c>
      <c r="Q87" s="564">
        <v>-2.5000000000000001E-2</v>
      </c>
      <c r="R87" s="564">
        <v>0</v>
      </c>
      <c r="S87" s="564">
        <v>2.5000000000000001E-2</v>
      </c>
      <c r="T87" s="564">
        <v>0.05</v>
      </c>
      <c r="U87" s="564">
        <v>7.4999999999999997E-2</v>
      </c>
      <c r="V87" s="565">
        <v>0.1</v>
      </c>
    </row>
    <row r="88" spans="1:22" x14ac:dyDescent="0.3">
      <c r="A88" s="489"/>
      <c r="B88" s="566">
        <f>AF62</f>
        <v>2.6401735438103358</v>
      </c>
      <c r="C88" s="567">
        <f t="dataTable" ref="C88:K88" dt2D="0" dtr="1" r1="D49" ca="1"/>
        <v>1.3240262160661553</v>
      </c>
      <c r="D88" s="567">
        <v>1.6725614868524918</v>
      </c>
      <c r="E88" s="567">
        <v>1.9967180364967729</v>
      </c>
      <c r="F88" s="567">
        <v>2.320874586141052</v>
      </c>
      <c r="G88" s="567">
        <v>2.6401735438103358</v>
      </c>
      <c r="H88" s="567">
        <v>2.8188289507300723</v>
      </c>
      <c r="I88" s="567">
        <v>2.9974843576498058</v>
      </c>
      <c r="J88" s="567">
        <v>3.1761397645695393</v>
      </c>
      <c r="K88" s="568">
        <v>3.3547951714892772</v>
      </c>
      <c r="M88" s="566">
        <f>AF63</f>
        <v>3.3331724607048172</v>
      </c>
      <c r="N88" s="567">
        <f t="dataTable" ref="N88:V88" dt2D="0" dtr="1" r1="D49" ca="1"/>
        <v>2.0334240217999877</v>
      </c>
      <c r="O88" s="567">
        <v>2.3607028117719717</v>
      </c>
      <c r="P88" s="567">
        <v>2.6848593614162528</v>
      </c>
      <c r="Q88" s="567">
        <v>3.0090159110605317</v>
      </c>
      <c r="R88" s="567">
        <v>3.3331724607048172</v>
      </c>
      <c r="S88" s="567">
        <v>3.6573290103490996</v>
      </c>
      <c r="T88" s="567">
        <v>3.9814855599933825</v>
      </c>
      <c r="U88" s="567">
        <v>4.3056421096376623</v>
      </c>
      <c r="V88" s="568">
        <v>4.6297986592819447</v>
      </c>
    </row>
    <row r="89" spans="1:22" x14ac:dyDescent="0.3">
      <c r="A89" s="489"/>
      <c r="B89" s="371"/>
      <c r="C89" s="371"/>
      <c r="D89" s="371"/>
      <c r="E89" s="371"/>
      <c r="F89" s="371"/>
      <c r="G89" s="371"/>
      <c r="H89" s="371"/>
      <c r="I89" s="371"/>
      <c r="J89" s="371"/>
      <c r="K89" s="371"/>
      <c r="M89" s="371"/>
      <c r="N89" s="371"/>
      <c r="O89" s="371"/>
      <c r="P89" s="371"/>
      <c r="Q89" s="371"/>
      <c r="R89" s="371"/>
      <c r="S89" s="371"/>
      <c r="T89" s="371"/>
      <c r="U89" s="371"/>
      <c r="V89" s="371"/>
    </row>
    <row r="90" spans="1:22" outlineLevel="1" x14ac:dyDescent="0.3">
      <c r="A90" s="489"/>
      <c r="B90" s="563" t="s">
        <v>744</v>
      </c>
      <c r="C90" s="258">
        <v>-0.1</v>
      </c>
      <c r="D90" s="564">
        <v>-7.4999999999999997E-2</v>
      </c>
      <c r="E90" s="564">
        <v>-0.05</v>
      </c>
      <c r="F90" s="564">
        <v>-2.5000000000000001E-2</v>
      </c>
      <c r="G90" s="564">
        <v>0</v>
      </c>
      <c r="H90" s="564">
        <v>2.5000000000000001E-2</v>
      </c>
      <c r="I90" s="564">
        <v>0.05</v>
      </c>
      <c r="J90" s="564">
        <v>7.4999999999999997E-2</v>
      </c>
      <c r="K90" s="565">
        <v>0.1</v>
      </c>
      <c r="M90" s="563" t="s">
        <v>745</v>
      </c>
      <c r="N90" s="258">
        <v>-0.1</v>
      </c>
      <c r="O90" s="564">
        <v>-7.4999999999999997E-2</v>
      </c>
      <c r="P90" s="564">
        <v>-0.05</v>
      </c>
      <c r="Q90" s="564">
        <v>-2.5000000000000001E-2</v>
      </c>
      <c r="R90" s="564">
        <v>0</v>
      </c>
      <c r="S90" s="564">
        <v>2.5000000000000001E-2</v>
      </c>
      <c r="T90" s="564">
        <v>0.05</v>
      </c>
      <c r="U90" s="564">
        <v>7.4999999999999997E-2</v>
      </c>
      <c r="V90" s="565">
        <v>0.1</v>
      </c>
    </row>
    <row r="91" spans="1:22" outlineLevel="1" x14ac:dyDescent="0.3">
      <c r="A91" s="489"/>
      <c r="B91" s="566">
        <f>AF60</f>
        <v>1.302922103896599</v>
      </c>
      <c r="C91" s="567">
        <f t="dataTable" ref="C91:K91" dt2D="0" dtr="1" r1="D49" ca="1"/>
        <v>0.73478590486922146</v>
      </c>
      <c r="D91" s="567">
        <v>0.91344131178895649</v>
      </c>
      <c r="E91" s="567">
        <v>1.0757876335313781</v>
      </c>
      <c r="F91" s="567">
        <v>1.1893548687139877</v>
      </c>
      <c r="G91" s="567">
        <v>1.302922103896599</v>
      </c>
      <c r="H91" s="567">
        <v>1.416489339079209</v>
      </c>
      <c r="I91" s="567">
        <v>1.5300565742618202</v>
      </c>
      <c r="J91" s="567">
        <v>1.6436238094444293</v>
      </c>
      <c r="K91" s="568">
        <v>1.7571910446270396</v>
      </c>
      <c r="M91" s="566">
        <f>AF61</f>
        <v>1.9910634288160789</v>
      </c>
      <c r="N91" s="567">
        <f t="dataTable" ref="N91:V91" dt2D="0" dtr="1" r1="D49" ca="1"/>
        <v>1.5367944880856388</v>
      </c>
      <c r="O91" s="567">
        <v>1.650361723268249</v>
      </c>
      <c r="P91" s="567">
        <v>1.7639289584508582</v>
      </c>
      <c r="Q91" s="567">
        <v>1.8774961936334678</v>
      </c>
      <c r="R91" s="567">
        <v>1.9910634288160789</v>
      </c>
      <c r="S91" s="567">
        <v>2.1046306639986891</v>
      </c>
      <c r="T91" s="567">
        <v>2.2181978991813001</v>
      </c>
      <c r="U91" s="567">
        <v>2.3317651343639092</v>
      </c>
      <c r="V91" s="568">
        <v>2.4453323695465197</v>
      </c>
    </row>
    <row r="92" spans="1:22" x14ac:dyDescent="0.3">
      <c r="A92" s="489"/>
      <c r="B92" s="2"/>
    </row>
    <row r="93" spans="1:22" x14ac:dyDescent="0.3">
      <c r="A93" s="489"/>
      <c r="B93" s="2"/>
    </row>
    <row r="94" spans="1:22" x14ac:dyDescent="0.3">
      <c r="A94" s="489"/>
      <c r="B94" t="s">
        <v>748</v>
      </c>
      <c r="M94" t="s">
        <v>749</v>
      </c>
    </row>
    <row r="95" spans="1:22" x14ac:dyDescent="0.3">
      <c r="A95" s="489"/>
      <c r="B95" s="563" t="s">
        <v>742</v>
      </c>
      <c r="C95" s="258">
        <v>-0.1</v>
      </c>
      <c r="D95" s="564">
        <v>-7.4999999999999997E-2</v>
      </c>
      <c r="E95" s="564">
        <v>-0.05</v>
      </c>
      <c r="F95" s="564">
        <v>-2.5000000000000001E-2</v>
      </c>
      <c r="G95" s="564">
        <v>0</v>
      </c>
      <c r="H95" s="564">
        <v>2.5000000000000001E-2</v>
      </c>
      <c r="I95" s="564">
        <v>0.05</v>
      </c>
      <c r="J95" s="564">
        <v>7.4999999999999997E-2</v>
      </c>
      <c r="K95" s="565">
        <v>0.1</v>
      </c>
      <c r="M95" s="563" t="s">
        <v>743</v>
      </c>
      <c r="N95" s="258">
        <v>-0.1</v>
      </c>
      <c r="O95" s="564">
        <v>-7.4999999999999997E-2</v>
      </c>
      <c r="P95" s="564">
        <v>-0.05</v>
      </c>
      <c r="Q95" s="564">
        <v>-2.5000000000000001E-2</v>
      </c>
      <c r="R95" s="564">
        <v>0</v>
      </c>
      <c r="S95" s="564">
        <v>2.5000000000000001E-2</v>
      </c>
      <c r="T95" s="564">
        <v>0.05</v>
      </c>
      <c r="U95" s="564">
        <v>7.4999999999999997E-2</v>
      </c>
      <c r="V95" s="565">
        <v>0.1</v>
      </c>
    </row>
    <row r="96" spans="1:22" x14ac:dyDescent="0.3">
      <c r="A96" s="489"/>
      <c r="B96" s="566">
        <f>AF62</f>
        <v>2.6401735438103358</v>
      </c>
      <c r="C96" s="567">
        <f t="dataTable" ref="C96:K96" dt2D="0" dtr="1" r1="D50" ca="1"/>
        <v>3.2229275440745453</v>
      </c>
      <c r="D96" s="567">
        <v>3.077422233875426</v>
      </c>
      <c r="E96" s="567">
        <v>2.9317947970983522</v>
      </c>
      <c r="F96" s="567">
        <v>2.7860452337433212</v>
      </c>
      <c r="G96" s="567">
        <v>2.6401735438103358</v>
      </c>
      <c r="H96" s="567">
        <v>2.3942850522418748</v>
      </c>
      <c r="I96" s="567">
        <v>2.1433173793784368</v>
      </c>
      <c r="J96" s="567">
        <v>1.8921281171950075</v>
      </c>
      <c r="K96" s="568">
        <v>1.6407172656916058</v>
      </c>
      <c r="M96" s="566">
        <f>AF63</f>
        <v>3.3331724607048172</v>
      </c>
      <c r="N96" s="567">
        <f t="dataTable" ref="N96:V96" dt2D="0" dtr="1" r1="D50" ca="1"/>
        <v>4.3339409016788686</v>
      </c>
      <c r="O96" s="567">
        <v>4.0840811754153243</v>
      </c>
      <c r="P96" s="567">
        <v>3.8339998598318039</v>
      </c>
      <c r="Q96" s="567">
        <v>3.583696954928302</v>
      </c>
      <c r="R96" s="567">
        <v>3.3331724607048172</v>
      </c>
      <c r="S96" s="567">
        <v>3.0824263771613545</v>
      </c>
      <c r="T96" s="567">
        <v>2.8314587042979169</v>
      </c>
      <c r="U96" s="567">
        <v>2.5802694421144872</v>
      </c>
      <c r="V96" s="568">
        <v>2.3288585906110857</v>
      </c>
    </row>
    <row r="97" spans="1:22" x14ac:dyDescent="0.3">
      <c r="A97" s="489"/>
      <c r="B97" s="371"/>
      <c r="C97" s="371"/>
      <c r="D97" s="371"/>
      <c r="E97" s="371"/>
      <c r="F97" s="371"/>
      <c r="G97" s="371"/>
      <c r="H97" s="371"/>
      <c r="I97" s="371"/>
      <c r="J97" s="371"/>
      <c r="K97" s="371"/>
      <c r="M97" s="371"/>
      <c r="N97" s="371"/>
      <c r="O97" s="371"/>
      <c r="P97" s="371"/>
      <c r="Q97" s="371"/>
      <c r="R97" s="371"/>
      <c r="S97" s="371"/>
      <c r="T97" s="371"/>
      <c r="U97" s="371"/>
      <c r="V97" s="371"/>
    </row>
    <row r="98" spans="1:22" outlineLevel="1" x14ac:dyDescent="0.3">
      <c r="A98" s="489"/>
      <c r="B98" s="563" t="s">
        <v>744</v>
      </c>
      <c r="C98" s="258">
        <v>-0.1</v>
      </c>
      <c r="D98" s="564">
        <v>-7.4999999999999997E-2</v>
      </c>
      <c r="E98" s="564">
        <v>-0.05</v>
      </c>
      <c r="F98" s="564">
        <v>-2.5000000000000001E-2</v>
      </c>
      <c r="G98" s="564">
        <v>0</v>
      </c>
      <c r="H98" s="564">
        <v>2.5000000000000001E-2</v>
      </c>
      <c r="I98" s="564">
        <v>0.05</v>
      </c>
      <c r="J98" s="564">
        <v>7.4999999999999997E-2</v>
      </c>
      <c r="K98" s="565">
        <v>0.1</v>
      </c>
      <c r="M98" s="563" t="s">
        <v>745</v>
      </c>
      <c r="N98" s="258">
        <v>-0.1</v>
      </c>
      <c r="O98" s="564">
        <v>-7.4999999999999997E-2</v>
      </c>
      <c r="P98" s="564">
        <v>-0.05</v>
      </c>
      <c r="Q98" s="564">
        <v>-2.5000000000000001E-2</v>
      </c>
      <c r="R98" s="564">
        <v>0</v>
      </c>
      <c r="S98" s="564">
        <v>2.5000000000000001E-2</v>
      </c>
      <c r="T98" s="564">
        <v>0.05</v>
      </c>
      <c r="U98" s="564">
        <v>7.4999999999999997E-2</v>
      </c>
      <c r="V98" s="565">
        <v>0.1</v>
      </c>
    </row>
    <row r="99" spans="1:22" outlineLevel="1" x14ac:dyDescent="0.3">
      <c r="A99" s="489"/>
      <c r="B99" s="566">
        <f>AF60</f>
        <v>1.302922103896599</v>
      </c>
      <c r="C99" s="567">
        <f t="dataTable" ref="C99:K99" dt2D="0" dtr="1" r1="D50" ca="1"/>
        <v>1.6454004970987572</v>
      </c>
      <c r="D99" s="567">
        <v>1.5598973484879288</v>
      </c>
      <c r="E99" s="567">
        <v>1.4743165667506282</v>
      </c>
      <c r="F99" s="567">
        <v>1.3886581518868506</v>
      </c>
      <c r="G99" s="567">
        <v>1.302922103896599</v>
      </c>
      <c r="H99" s="567">
        <v>1.2171084227798727</v>
      </c>
      <c r="I99" s="567">
        <v>1.131217108536674</v>
      </c>
      <c r="J99" s="567">
        <v>1.0110597032814643</v>
      </c>
      <c r="K99" s="568">
        <v>0.86469950703665299</v>
      </c>
      <c r="M99" s="566">
        <f>AF61</f>
        <v>1.9910634288160789</v>
      </c>
      <c r="N99" s="567">
        <f t="dataTable" ref="N99:V99" dt2D="0" dtr="1" r1="D50" ca="1"/>
        <v>2.3335418220182373</v>
      </c>
      <c r="O99" s="567">
        <v>2.2480386734074087</v>
      </c>
      <c r="P99" s="567">
        <v>2.1624578916701083</v>
      </c>
      <c r="Q99" s="567">
        <v>2.0767994768063307</v>
      </c>
      <c r="R99" s="567">
        <v>1.9910634288160789</v>
      </c>
      <c r="S99" s="567">
        <v>1.9052497476993526</v>
      </c>
      <c r="T99" s="567">
        <v>1.8193584334561539</v>
      </c>
      <c r="U99" s="567">
        <v>1.7333894860864769</v>
      </c>
      <c r="V99" s="568">
        <v>1.6473429055903268</v>
      </c>
    </row>
    <row r="100" spans="1:22" x14ac:dyDescent="0.3">
      <c r="A100" s="489"/>
      <c r="B100" s="2"/>
    </row>
    <row r="101" spans="1:22" x14ac:dyDescent="0.3">
      <c r="A101" s="489"/>
      <c r="B101" s="2"/>
    </row>
    <row r="102" spans="1:22" x14ac:dyDescent="0.3">
      <c r="A102" s="489"/>
      <c r="B102" t="s">
        <v>750</v>
      </c>
      <c r="M102" t="s">
        <v>751</v>
      </c>
    </row>
    <row r="103" spans="1:22" x14ac:dyDescent="0.3">
      <c r="A103" s="489"/>
      <c r="B103" s="563" t="s">
        <v>742</v>
      </c>
      <c r="C103" s="258">
        <v>-0.1</v>
      </c>
      <c r="D103" s="564">
        <v>-7.4999999999999997E-2</v>
      </c>
      <c r="E103" s="564">
        <v>-0.05</v>
      </c>
      <c r="F103" s="564">
        <v>-2.5000000000000001E-2</v>
      </c>
      <c r="G103" s="564">
        <v>0</v>
      </c>
      <c r="H103" s="564">
        <v>2.5000000000000001E-2</v>
      </c>
      <c r="I103" s="564">
        <v>0.05</v>
      </c>
      <c r="J103" s="564">
        <v>7.4999999999999997E-2</v>
      </c>
      <c r="K103" s="565">
        <v>0.1</v>
      </c>
      <c r="M103" s="563" t="s">
        <v>743</v>
      </c>
      <c r="N103" s="258">
        <v>-0.1</v>
      </c>
      <c r="O103" s="564">
        <v>-7.4999999999999997E-2</v>
      </c>
      <c r="P103" s="564">
        <v>-0.05</v>
      </c>
      <c r="Q103" s="564">
        <v>-2.5000000000000001E-2</v>
      </c>
      <c r="R103" s="564">
        <v>0</v>
      </c>
      <c r="S103" s="564">
        <v>2.5000000000000001E-2</v>
      </c>
      <c r="T103" s="564">
        <v>0.05</v>
      </c>
      <c r="U103" s="564">
        <v>7.4999999999999997E-2</v>
      </c>
      <c r="V103" s="565">
        <v>0.1</v>
      </c>
    </row>
    <row r="104" spans="1:22" x14ac:dyDescent="0.3">
      <c r="A104" s="489"/>
      <c r="B104" s="566">
        <f>AF62</f>
        <v>2.6401735438103358</v>
      </c>
      <c r="C104" s="567">
        <f t="dataTable" ref="C104:K104" dt2D="0" dtr="1" r1="D34" ca="1"/>
        <v>2.1556385979958379</v>
      </c>
      <c r="D104" s="567">
        <v>2.2779867324432126</v>
      </c>
      <c r="E104" s="567">
        <v>2.4003348668905851</v>
      </c>
      <c r="F104" s="567">
        <v>2.5226830013379598</v>
      </c>
      <c r="G104" s="567">
        <v>2.6401735438103358</v>
      </c>
      <c r="H104" s="567">
        <v>2.7076044063659501</v>
      </c>
      <c r="I104" s="567">
        <v>2.775035268921568</v>
      </c>
      <c r="J104" s="567">
        <v>2.8424661314771824</v>
      </c>
      <c r="K104" s="568">
        <v>2.9098969940328017</v>
      </c>
      <c r="M104" s="566">
        <f>AF63</f>
        <v>3.3331724607048172</v>
      </c>
      <c r="N104" s="567">
        <f t="dataTable" ref="N104:V104" dt2D="0" dtr="1" r1="D34" ca="1"/>
        <v>2.843779922915318</v>
      </c>
      <c r="O104" s="567">
        <v>2.9661280573626927</v>
      </c>
      <c r="P104" s="567">
        <v>3.0884761918100647</v>
      </c>
      <c r="Q104" s="567">
        <v>3.2108243262574399</v>
      </c>
      <c r="R104" s="567">
        <v>3.3331724607048172</v>
      </c>
      <c r="S104" s="567">
        <v>3.455520595152191</v>
      </c>
      <c r="T104" s="567">
        <v>3.5778687295995684</v>
      </c>
      <c r="U104" s="567">
        <v>3.7002168640469404</v>
      </c>
      <c r="V104" s="568">
        <v>3.8225649984943195</v>
      </c>
    </row>
    <row r="105" spans="1:22" x14ac:dyDescent="0.3">
      <c r="A105" s="489"/>
      <c r="B105" s="371"/>
      <c r="C105" s="371"/>
      <c r="D105" s="371"/>
      <c r="E105" s="371"/>
      <c r="F105" s="371"/>
      <c r="G105" s="371"/>
      <c r="H105" s="371"/>
      <c r="I105" s="371"/>
      <c r="J105" s="371"/>
      <c r="K105" s="371"/>
      <c r="M105" s="371"/>
      <c r="N105" s="371"/>
      <c r="O105" s="371"/>
      <c r="P105" s="371"/>
      <c r="Q105" s="371"/>
      <c r="R105" s="371"/>
      <c r="S105" s="371"/>
      <c r="T105" s="371"/>
      <c r="U105" s="371"/>
      <c r="V105" s="371"/>
    </row>
    <row r="106" spans="1:22" outlineLevel="1" x14ac:dyDescent="0.3">
      <c r="A106" s="489"/>
      <c r="B106" s="563" t="s">
        <v>744</v>
      </c>
      <c r="C106" s="258">
        <v>-0.1</v>
      </c>
      <c r="D106" s="564">
        <v>-7.4999999999999997E-2</v>
      </c>
      <c r="E106" s="564">
        <v>-0.05</v>
      </c>
      <c r="F106" s="564">
        <v>-2.5000000000000001E-2</v>
      </c>
      <c r="G106" s="564">
        <v>0</v>
      </c>
      <c r="H106" s="564">
        <v>2.5000000000000001E-2</v>
      </c>
      <c r="I106" s="564">
        <v>0.05</v>
      </c>
      <c r="J106" s="564">
        <v>7.4999999999999997E-2</v>
      </c>
      <c r="K106" s="565">
        <v>0.1</v>
      </c>
      <c r="M106" s="563" t="s">
        <v>745</v>
      </c>
      <c r="N106" s="258">
        <v>-0.1</v>
      </c>
      <c r="O106" s="564">
        <v>-7.4999999999999997E-2</v>
      </c>
      <c r="P106" s="564">
        <v>-0.05</v>
      </c>
      <c r="Q106" s="564">
        <v>-2.5000000000000001E-2</v>
      </c>
      <c r="R106" s="564">
        <v>0</v>
      </c>
      <c r="S106" s="564">
        <v>2.5000000000000001E-2</v>
      </c>
      <c r="T106" s="564">
        <v>0.05</v>
      </c>
      <c r="U106" s="564">
        <v>7.4999999999999997E-2</v>
      </c>
      <c r="V106" s="565">
        <v>0.1</v>
      </c>
    </row>
    <row r="107" spans="1:22" outlineLevel="1" x14ac:dyDescent="0.3">
      <c r="A107" s="489"/>
      <c r="B107" s="566">
        <f>AF60</f>
        <v>1.302922103896599</v>
      </c>
      <c r="C107" s="567">
        <f t="dataTable" ref="C107:K107" dt2D="0" dtr="1" r1="D34" ca="1"/>
        <v>1.1314649561180181</v>
      </c>
      <c r="D107" s="567">
        <v>1.174329243062664</v>
      </c>
      <c r="E107" s="567">
        <v>1.2171935300073076</v>
      </c>
      <c r="F107" s="567">
        <v>1.2600578169519527</v>
      </c>
      <c r="G107" s="567">
        <v>1.302922103896599</v>
      </c>
      <c r="H107" s="567">
        <v>1.3457863908412442</v>
      </c>
      <c r="I107" s="567">
        <v>1.3886506777858909</v>
      </c>
      <c r="J107" s="567">
        <v>1.431514964730535</v>
      </c>
      <c r="K107" s="568">
        <v>1.4743792516751801</v>
      </c>
      <c r="M107" s="566">
        <f>AF61</f>
        <v>1.9910634288160789</v>
      </c>
      <c r="N107" s="567">
        <f t="dataTable" ref="N107:V107" dt2D="0" dtr="1" r1="D34" ca="1"/>
        <v>1.8196062810374982</v>
      </c>
      <c r="O107" s="567">
        <v>1.8624705679821438</v>
      </c>
      <c r="P107" s="567">
        <v>1.9053348549267874</v>
      </c>
      <c r="Q107" s="567">
        <v>1.9481991418714326</v>
      </c>
      <c r="R107" s="567">
        <v>1.9910634288160789</v>
      </c>
      <c r="S107" s="567">
        <v>2.0339277157607243</v>
      </c>
      <c r="T107" s="567">
        <v>2.0767920027053708</v>
      </c>
      <c r="U107" s="567">
        <v>2.1196562896500151</v>
      </c>
      <c r="V107" s="568">
        <v>2.1625205765946602</v>
      </c>
    </row>
    <row r="108" spans="1:22" x14ac:dyDescent="0.3">
      <c r="A108" s="489"/>
      <c r="B108" s="2"/>
    </row>
    <row r="109" spans="1:22" x14ac:dyDescent="0.3">
      <c r="A109" s="489"/>
      <c r="B109" s="2"/>
    </row>
    <row r="110" spans="1:22" x14ac:dyDescent="0.3">
      <c r="A110" s="489"/>
      <c r="B110" t="s">
        <v>752</v>
      </c>
      <c r="M110" t="s">
        <v>753</v>
      </c>
    </row>
    <row r="111" spans="1:22" x14ac:dyDescent="0.3">
      <c r="A111" s="489"/>
      <c r="B111" s="563" t="s">
        <v>742</v>
      </c>
      <c r="C111" s="258">
        <v>-0.1</v>
      </c>
      <c r="D111" s="564">
        <v>-7.4999999999999997E-2</v>
      </c>
      <c r="E111" s="564">
        <v>-0.05</v>
      </c>
      <c r="F111" s="564">
        <v>-2.5000000000000001E-2</v>
      </c>
      <c r="G111" s="564">
        <v>0</v>
      </c>
      <c r="H111" s="564">
        <v>2.5000000000000001E-2</v>
      </c>
      <c r="I111" s="564">
        <v>0.05</v>
      </c>
      <c r="J111" s="564">
        <v>7.4999999999999997E-2</v>
      </c>
      <c r="K111" s="565">
        <v>0.1</v>
      </c>
      <c r="M111" s="563" t="s">
        <v>743</v>
      </c>
      <c r="N111" s="258">
        <v>-0.1</v>
      </c>
      <c r="O111" s="564">
        <v>-7.4999999999999997E-2</v>
      </c>
      <c r="P111" s="564">
        <v>-0.05</v>
      </c>
      <c r="Q111" s="564">
        <v>-2.5000000000000001E-2</v>
      </c>
      <c r="R111" s="564">
        <v>0</v>
      </c>
      <c r="S111" s="564">
        <v>2.5000000000000001E-2</v>
      </c>
      <c r="T111" s="564">
        <v>0.05</v>
      </c>
      <c r="U111" s="564">
        <v>7.4999999999999997E-2</v>
      </c>
      <c r="V111" s="565">
        <v>0.1</v>
      </c>
    </row>
    <row r="112" spans="1:22" x14ac:dyDescent="0.3">
      <c r="A112" s="489"/>
      <c r="B112" s="566">
        <f>AF62</f>
        <v>2.6401735438103358</v>
      </c>
      <c r="C112" s="567">
        <f t="dataTable" ref="C112:K112" dt2D="0" dtr="1" r1="D35" ca="1"/>
        <v>2.1151271067027313</v>
      </c>
      <c r="D112" s="567">
        <v>2.247603113973383</v>
      </c>
      <c r="E112" s="567">
        <v>2.3800791212440324</v>
      </c>
      <c r="F112" s="567">
        <v>2.5125551285146828</v>
      </c>
      <c r="G112" s="567">
        <v>2.6401735438103358</v>
      </c>
      <c r="H112" s="567">
        <v>2.713186274887379</v>
      </c>
      <c r="I112" s="567">
        <v>2.7861990059644222</v>
      </c>
      <c r="J112" s="567">
        <v>2.8592117370414623</v>
      </c>
      <c r="K112" s="568">
        <v>2.9322244681185099</v>
      </c>
      <c r="M112" s="566">
        <f>AF63</f>
        <v>3.3331724607048172</v>
      </c>
      <c r="N112" s="567">
        <f t="dataTable" ref="N112:V112" dt2D="0" dtr="1" r1="D35" ca="1"/>
        <v>2.8032684316222114</v>
      </c>
      <c r="O112" s="567">
        <v>2.9357444388928626</v>
      </c>
      <c r="P112" s="567">
        <v>3.0682204461635125</v>
      </c>
      <c r="Q112" s="567">
        <v>3.2006964534341629</v>
      </c>
      <c r="R112" s="567">
        <v>3.3331724607048172</v>
      </c>
      <c r="S112" s="567">
        <v>3.4656484679754684</v>
      </c>
      <c r="T112" s="567">
        <v>3.5981244752461219</v>
      </c>
      <c r="U112" s="567">
        <v>3.7306004825167705</v>
      </c>
      <c r="V112" s="568">
        <v>3.8630764897874257</v>
      </c>
    </row>
    <row r="113" spans="1:31" x14ac:dyDescent="0.3">
      <c r="A113" s="489"/>
      <c r="B113" s="371"/>
      <c r="C113" s="371"/>
      <c r="D113" s="371"/>
      <c r="E113" s="371"/>
      <c r="F113" s="371"/>
      <c r="G113" s="371"/>
      <c r="H113" s="371"/>
      <c r="I113" s="371"/>
      <c r="J113" s="371"/>
      <c r="K113" s="371"/>
      <c r="M113" s="371"/>
      <c r="N113" s="371"/>
      <c r="O113" s="371"/>
      <c r="P113" s="371"/>
      <c r="Q113" s="371"/>
      <c r="R113" s="371"/>
      <c r="S113" s="371"/>
      <c r="T113" s="371"/>
      <c r="U113" s="371"/>
      <c r="V113" s="371"/>
    </row>
    <row r="114" spans="1:31" outlineLevel="1" x14ac:dyDescent="0.3">
      <c r="A114" s="489"/>
      <c r="B114" s="563" t="s">
        <v>744</v>
      </c>
      <c r="C114" s="258">
        <v>-0.1</v>
      </c>
      <c r="D114" s="564">
        <v>-7.4999999999999997E-2</v>
      </c>
      <c r="E114" s="564">
        <v>-0.05</v>
      </c>
      <c r="F114" s="564">
        <v>-2.5000000000000001E-2</v>
      </c>
      <c r="G114" s="564">
        <v>0</v>
      </c>
      <c r="H114" s="564">
        <v>2.5000000000000001E-2</v>
      </c>
      <c r="I114" s="564">
        <v>0.05</v>
      </c>
      <c r="J114" s="564">
        <v>7.4999999999999997E-2</v>
      </c>
      <c r="K114" s="565">
        <v>0.1</v>
      </c>
      <c r="M114" s="563" t="s">
        <v>745</v>
      </c>
      <c r="N114" s="258">
        <v>-0.1</v>
      </c>
      <c r="O114" s="564">
        <v>-7.4999999999999997E-2</v>
      </c>
      <c r="P114" s="564">
        <v>-0.05</v>
      </c>
      <c r="Q114" s="564">
        <v>-2.5000000000000001E-2</v>
      </c>
      <c r="R114" s="564">
        <v>0</v>
      </c>
      <c r="S114" s="564">
        <v>2.5000000000000001E-2</v>
      </c>
      <c r="T114" s="564">
        <v>0.05</v>
      </c>
      <c r="U114" s="564">
        <v>7.4999999999999997E-2</v>
      </c>
      <c r="V114" s="565">
        <v>0.1</v>
      </c>
    </row>
    <row r="115" spans="1:31" outlineLevel="1" x14ac:dyDescent="0.3">
      <c r="A115" s="489"/>
      <c r="B115" s="566">
        <f>AF60</f>
        <v>1.302922103896599</v>
      </c>
      <c r="C115" s="567">
        <f t="dataTable" ref="C115:K115" dt2D="0" dtr="1" r1="D35" ca="1"/>
        <v>1.1172718816164191</v>
      </c>
      <c r="D115" s="567">
        <v>1.1636844371864643</v>
      </c>
      <c r="E115" s="567">
        <v>1.2100969927565086</v>
      </c>
      <c r="F115" s="567">
        <v>1.2565095483265531</v>
      </c>
      <c r="G115" s="567">
        <v>1.302922103896599</v>
      </c>
      <c r="H115" s="567">
        <v>1.3493346594666435</v>
      </c>
      <c r="I115" s="567">
        <v>1.3957472150366899</v>
      </c>
      <c r="J115" s="567">
        <v>1.4421597706067335</v>
      </c>
      <c r="K115" s="568">
        <v>1.4885723261767791</v>
      </c>
      <c r="M115" s="566">
        <f>AF61</f>
        <v>1.9910634288160789</v>
      </c>
      <c r="N115" s="567">
        <f t="dataTable" ref="N115:V115" dt2D="0" dtr="1" r1="D35" ca="1"/>
        <v>1.8054132065358992</v>
      </c>
      <c r="O115" s="567">
        <v>1.8518257621059444</v>
      </c>
      <c r="P115" s="567">
        <v>1.8982383176759885</v>
      </c>
      <c r="Q115" s="567">
        <v>1.9446508732460333</v>
      </c>
      <c r="R115" s="567">
        <v>1.9910634288160789</v>
      </c>
      <c r="S115" s="567">
        <v>2.0374759843861234</v>
      </c>
      <c r="T115" s="567">
        <v>2.08388853995617</v>
      </c>
      <c r="U115" s="567">
        <v>2.1303010955262134</v>
      </c>
      <c r="V115" s="568">
        <v>2.176713651096259</v>
      </c>
    </row>
    <row r="116" spans="1:31" x14ac:dyDescent="0.3">
      <c r="A116" s="489"/>
      <c r="B116" s="2"/>
    </row>
    <row r="119" spans="1:31" collapsed="1" x14ac:dyDescent="0.3"/>
    <row r="120" spans="1:31" collapsed="1" x14ac:dyDescent="0.3">
      <c r="A120" s="489" t="s">
        <v>689</v>
      </c>
      <c r="B120" s="2" t="s">
        <v>736</v>
      </c>
    </row>
    <row r="122" spans="1:31" x14ac:dyDescent="0.3">
      <c r="A122" s="267"/>
      <c r="B122" s="2" t="s">
        <v>702</v>
      </c>
    </row>
    <row r="123" spans="1:31" x14ac:dyDescent="0.3">
      <c r="A123" s="267"/>
    </row>
    <row r="124" spans="1:31" x14ac:dyDescent="0.3">
      <c r="A124" s="267"/>
      <c r="B124" s="549" t="s">
        <v>734</v>
      </c>
      <c r="C124" s="502"/>
      <c r="D124" s="502"/>
      <c r="E124" s="502"/>
      <c r="F124" s="502"/>
      <c r="G124" s="502"/>
      <c r="H124" s="502"/>
      <c r="I124" s="502"/>
      <c r="J124" s="502"/>
      <c r="K124" s="502"/>
      <c r="L124" s="502"/>
      <c r="M124" s="502"/>
      <c r="N124" s="502"/>
      <c r="O124" s="502"/>
      <c r="P124" s="502"/>
      <c r="Q124" s="502"/>
      <c r="R124" s="502"/>
      <c r="S124" s="502"/>
      <c r="T124" s="502"/>
      <c r="U124" s="502"/>
      <c r="V124" s="502"/>
      <c r="W124" s="502"/>
      <c r="X124" s="502"/>
      <c r="Y124" s="502"/>
      <c r="Z124" s="502"/>
      <c r="AA124" s="502"/>
      <c r="AB124" s="502"/>
      <c r="AC124" s="502"/>
      <c r="AD124" s="502"/>
      <c r="AE124" s="502"/>
    </row>
    <row r="125" spans="1:31" x14ac:dyDescent="0.3">
      <c r="A125" s="267"/>
      <c r="B125" s="550"/>
      <c r="C125" s="550"/>
      <c r="D125" s="550"/>
      <c r="E125" s="550"/>
      <c r="F125" s="550"/>
      <c r="G125" s="550"/>
      <c r="H125" s="550"/>
      <c r="I125" s="550"/>
      <c r="J125" s="550"/>
      <c r="K125" s="550"/>
      <c r="L125" s="550"/>
      <c r="M125" s="550"/>
      <c r="N125" s="550"/>
      <c r="O125" s="550"/>
      <c r="P125" s="550"/>
      <c r="Q125" s="550"/>
      <c r="R125" s="550"/>
      <c r="S125" s="550"/>
      <c r="T125" s="550"/>
      <c r="U125" s="550"/>
      <c r="V125" s="550"/>
      <c r="W125" s="550"/>
      <c r="X125" s="550"/>
      <c r="Y125" s="550"/>
      <c r="Z125" s="550"/>
      <c r="AA125" s="550"/>
      <c r="AB125" s="550"/>
      <c r="AC125" s="550"/>
      <c r="AD125" s="550"/>
      <c r="AE125" s="550"/>
    </row>
    <row r="126" spans="1:31" s="2" customFormat="1" x14ac:dyDescent="0.3">
      <c r="A126" s="489"/>
      <c r="B126" s="551" t="s">
        <v>691</v>
      </c>
      <c r="C126" s="551"/>
      <c r="D126" s="551"/>
      <c r="E126" s="551"/>
      <c r="F126" s="551"/>
      <c r="G126" s="551"/>
      <c r="H126" s="551"/>
      <c r="I126" s="551"/>
      <c r="J126" s="551" t="s">
        <v>693</v>
      </c>
      <c r="K126" s="551"/>
      <c r="L126" s="551"/>
      <c r="M126" s="551"/>
      <c r="N126" s="551"/>
      <c r="O126" s="551"/>
      <c r="P126" s="551"/>
      <c r="Q126" s="551"/>
      <c r="R126" s="551" t="s">
        <v>692</v>
      </c>
      <c r="S126" s="551"/>
      <c r="T126" s="551"/>
      <c r="U126" s="551"/>
      <c r="V126" s="551"/>
      <c r="W126" s="551"/>
      <c r="X126" s="551"/>
      <c r="Y126" s="551"/>
      <c r="Z126" s="551" t="s">
        <v>694</v>
      </c>
      <c r="AA126" s="551"/>
      <c r="AB126" s="551"/>
      <c r="AC126" s="551"/>
      <c r="AD126" s="551"/>
      <c r="AE126" s="551"/>
    </row>
    <row r="127" spans="1:31" x14ac:dyDescent="0.3">
      <c r="A127" s="267"/>
      <c r="B127" s="552">
        <f>AE60</f>
        <v>1.8590041449197998</v>
      </c>
      <c r="C127" s="553">
        <v>0</v>
      </c>
      <c r="D127" s="553">
        <f>C127-0.025</f>
        <v>-2.5000000000000001E-2</v>
      </c>
      <c r="E127" s="553">
        <f t="shared" ref="E127:G127" si="47">D127-0.025</f>
        <v>-0.05</v>
      </c>
      <c r="F127" s="553">
        <f t="shared" si="47"/>
        <v>-7.5000000000000011E-2</v>
      </c>
      <c r="G127" s="553">
        <f t="shared" si="47"/>
        <v>-0.1</v>
      </c>
      <c r="H127" s="550"/>
      <c r="I127" s="550"/>
      <c r="J127" s="552">
        <f>AE61</f>
        <v>2.904238978506656</v>
      </c>
      <c r="K127" s="553">
        <v>0</v>
      </c>
      <c r="L127" s="553">
        <f>K127-0.025</f>
        <v>-2.5000000000000001E-2</v>
      </c>
      <c r="M127" s="553">
        <f t="shared" ref="M127:O127" si="48">L127-0.025</f>
        <v>-0.05</v>
      </c>
      <c r="N127" s="553">
        <f t="shared" si="48"/>
        <v>-7.5000000000000011E-2</v>
      </c>
      <c r="O127" s="553">
        <f t="shared" si="48"/>
        <v>-0.1</v>
      </c>
      <c r="P127" s="550"/>
      <c r="Q127" s="550"/>
      <c r="R127" s="554">
        <f>AF60</f>
        <v>1.302922103896599</v>
      </c>
      <c r="S127" s="553">
        <v>0</v>
      </c>
      <c r="T127" s="553">
        <f>S127-0.025</f>
        <v>-2.5000000000000001E-2</v>
      </c>
      <c r="U127" s="553">
        <f t="shared" ref="U127:W127" si="49">T127-0.025</f>
        <v>-0.05</v>
      </c>
      <c r="V127" s="553">
        <f t="shared" si="49"/>
        <v>-7.5000000000000011E-2</v>
      </c>
      <c r="W127" s="553">
        <f t="shared" si="49"/>
        <v>-0.1</v>
      </c>
      <c r="X127" s="550"/>
      <c r="Y127" s="550"/>
      <c r="Z127" s="552">
        <f>AF61</f>
        <v>1.9910634288160789</v>
      </c>
      <c r="AA127" s="553">
        <v>0</v>
      </c>
      <c r="AB127" s="553">
        <f>AA127-0.025</f>
        <v>-2.5000000000000001E-2</v>
      </c>
      <c r="AC127" s="553">
        <f t="shared" ref="AC127:AE127" si="50">AB127-0.025</f>
        <v>-0.05</v>
      </c>
      <c r="AD127" s="553">
        <f t="shared" si="50"/>
        <v>-7.5000000000000011E-2</v>
      </c>
      <c r="AE127" s="553">
        <f t="shared" si="50"/>
        <v>-0.1</v>
      </c>
    </row>
    <row r="128" spans="1:31" x14ac:dyDescent="0.3">
      <c r="B128" s="555">
        <v>0</v>
      </c>
      <c r="C128" s="556">
        <f t="dataTable" ref="C128:G132" dt2D="1" dtr="1" r1="D49" r2="D50" ca="1"/>
        <v>1.8590041449197998</v>
      </c>
      <c r="D128" s="556">
        <v>1.6913534608182832</v>
      </c>
      <c r="E128" s="556">
        <v>1.5237027767167697</v>
      </c>
      <c r="F128" s="556">
        <v>1.3560520926152548</v>
      </c>
      <c r="G128" s="556">
        <v>1.1884014085137389</v>
      </c>
      <c r="H128" s="550"/>
      <c r="I128" s="550"/>
      <c r="J128" s="555">
        <v>0</v>
      </c>
      <c r="K128" s="556">
        <f t="dataTable" ref="K128:O132" dt2D="1" dtr="1" r1="D49" r2="D50" ca="1"/>
        <v>2.904238978506656</v>
      </c>
      <c r="L128" s="556">
        <v>2.7365882944051396</v>
      </c>
      <c r="M128" s="556">
        <v>2.5689376103036259</v>
      </c>
      <c r="N128" s="556">
        <v>2.4012869262021104</v>
      </c>
      <c r="O128" s="556">
        <v>2.2336362421005949</v>
      </c>
      <c r="P128" s="550"/>
      <c r="Q128" s="550"/>
      <c r="R128" s="555">
        <v>0</v>
      </c>
      <c r="S128" s="556">
        <f t="dataTable" ref="S128:W132" dt2D="1" dtr="1" r1="D49" r2="D50" ca="1"/>
        <v>1.302922103896599</v>
      </c>
      <c r="T128" s="556">
        <v>1.1893548687139877</v>
      </c>
      <c r="U128" s="556">
        <v>1.0757876335313781</v>
      </c>
      <c r="V128" s="556">
        <v>0.91344131178895649</v>
      </c>
      <c r="W128" s="556">
        <v>0.73478590486922146</v>
      </c>
      <c r="X128" s="550"/>
      <c r="Y128" s="550"/>
      <c r="Z128" s="555">
        <v>0</v>
      </c>
      <c r="AA128" s="556">
        <f t="dataTable" ref="AA128:AE132" dt2D="1" dtr="1" r1="D49" r2="D50" ca="1"/>
        <v>1.9910634288160789</v>
      </c>
      <c r="AB128" s="556">
        <v>1.8774961936334678</v>
      </c>
      <c r="AC128" s="556">
        <v>1.7639289584508582</v>
      </c>
      <c r="AD128" s="556">
        <v>1.650361723268249</v>
      </c>
      <c r="AE128" s="556">
        <v>1.5367944880856388</v>
      </c>
    </row>
    <row r="129" spans="1:31" x14ac:dyDescent="0.3">
      <c r="B129" s="557">
        <f>B128+0.025</f>
        <v>2.5000000000000001E-2</v>
      </c>
      <c r="C129" s="556">
        <v>1.7312368863034242</v>
      </c>
      <c r="D129" s="556">
        <v>1.5636315853417699</v>
      </c>
      <c r="E129" s="556">
        <v>1.3960262843801159</v>
      </c>
      <c r="F129" s="556">
        <v>1.2284209834184618</v>
      </c>
      <c r="G129" s="556">
        <v>1.0608156824568076</v>
      </c>
      <c r="H129" s="550"/>
      <c r="I129" s="550"/>
      <c r="J129" s="555">
        <f>J128+0.025</f>
        <v>2.5000000000000001E-2</v>
      </c>
      <c r="K129" s="556">
        <v>2.7764717198902802</v>
      </c>
      <c r="L129" s="556">
        <v>2.6088664189286268</v>
      </c>
      <c r="M129" s="556">
        <v>2.4412611179669725</v>
      </c>
      <c r="N129" s="556">
        <v>2.2736558170053178</v>
      </c>
      <c r="O129" s="556">
        <v>2.106050516043664</v>
      </c>
      <c r="P129" s="550"/>
      <c r="Q129" s="550"/>
      <c r="R129" s="557">
        <f>R128+0.025</f>
        <v>2.5000000000000001E-2</v>
      </c>
      <c r="S129" s="556">
        <v>1.2171084227798727</v>
      </c>
      <c r="T129" s="556">
        <v>1.1035719303153464</v>
      </c>
      <c r="U129" s="556">
        <v>0.94619962644748945</v>
      </c>
      <c r="V129" s="556">
        <v>0.76759258165262512</v>
      </c>
      <c r="W129" s="556">
        <v>0.58898553685776223</v>
      </c>
      <c r="X129" s="550"/>
      <c r="Y129" s="550"/>
      <c r="Z129" s="555">
        <f>Z128+0.025</f>
        <v>2.5000000000000001E-2</v>
      </c>
      <c r="AA129" s="556">
        <v>1.9052497476993526</v>
      </c>
      <c r="AB129" s="556">
        <v>1.7917132552348265</v>
      </c>
      <c r="AC129" s="556">
        <v>1.6781767627702995</v>
      </c>
      <c r="AD129" s="556">
        <v>1.5646402703057738</v>
      </c>
      <c r="AE129" s="556">
        <v>1.4511037778412481</v>
      </c>
    </row>
    <row r="130" spans="1:31" x14ac:dyDescent="0.3">
      <c r="B130" s="557">
        <f t="shared" ref="B130:B132" si="51">B129+0.025</f>
        <v>0.05</v>
      </c>
      <c r="C130" s="556">
        <v>1.6033550237985117</v>
      </c>
      <c r="D130" s="556">
        <v>1.4357951059767171</v>
      </c>
      <c r="E130" s="556">
        <v>1.2682351881549248</v>
      </c>
      <c r="F130" s="556">
        <v>1.1006752703331317</v>
      </c>
      <c r="G130" s="556">
        <v>0.93311535251133759</v>
      </c>
      <c r="H130" s="550"/>
      <c r="I130" s="550"/>
      <c r="J130" s="557">
        <f t="shared" ref="J130:J132" si="52">J129+0.025</f>
        <v>0.05</v>
      </c>
      <c r="K130" s="556">
        <v>2.6485898573853675</v>
      </c>
      <c r="L130" s="556">
        <v>2.4810299395635727</v>
      </c>
      <c r="M130" s="556">
        <v>2.313470021741781</v>
      </c>
      <c r="N130" s="556">
        <v>2.1459101039199884</v>
      </c>
      <c r="O130" s="556">
        <v>1.978350186098194</v>
      </c>
      <c r="P130" s="550"/>
      <c r="Q130" s="550"/>
      <c r="R130" s="557">
        <f t="shared" ref="R130:R132" si="53">R129+0.025</f>
        <v>0.05</v>
      </c>
      <c r="S130" s="556">
        <v>1.131217108536674</v>
      </c>
      <c r="T130" s="556">
        <v>0.97873909027832617</v>
      </c>
      <c r="U130" s="556">
        <v>0.80018040760833242</v>
      </c>
      <c r="V130" s="556">
        <v>0.62162172493834023</v>
      </c>
      <c r="W130" s="556">
        <v>0.44306304226834653</v>
      </c>
      <c r="X130" s="550"/>
      <c r="Y130" s="550"/>
      <c r="Z130" s="557">
        <f t="shared" ref="Z130:Z132" si="54">Z129+0.025</f>
        <v>0.05</v>
      </c>
      <c r="AA130" s="556">
        <v>1.8193584334561539</v>
      </c>
      <c r="AB130" s="556">
        <v>1.7058526837097099</v>
      </c>
      <c r="AC130" s="556">
        <v>1.5923469339632681</v>
      </c>
      <c r="AD130" s="556">
        <v>1.4788411842168272</v>
      </c>
      <c r="AE130" s="556">
        <v>1.3653354344703843</v>
      </c>
    </row>
    <row r="131" spans="1:31" x14ac:dyDescent="0.3">
      <c r="B131" s="557">
        <f t="shared" si="51"/>
        <v>7.5000000000000011E-2</v>
      </c>
      <c r="C131" s="556">
        <v>1.4753585574050592</v>
      </c>
      <c r="D131" s="556">
        <v>1.3078440227231269</v>
      </c>
      <c r="E131" s="556">
        <v>1.1403294880411952</v>
      </c>
      <c r="F131" s="556">
        <v>0.97281495335926349</v>
      </c>
      <c r="G131" s="556">
        <v>0.80530041867732982</v>
      </c>
      <c r="H131" s="550"/>
      <c r="I131" s="550"/>
      <c r="J131" s="557">
        <f t="shared" si="52"/>
        <v>7.5000000000000011E-2</v>
      </c>
      <c r="K131" s="556">
        <v>2.5205933909919143</v>
      </c>
      <c r="L131" s="556">
        <v>2.3530788563099834</v>
      </c>
      <c r="M131" s="556">
        <v>2.1855643216280511</v>
      </c>
      <c r="N131" s="556">
        <v>2.0180497869461194</v>
      </c>
      <c r="O131" s="556">
        <v>1.850535252264186</v>
      </c>
      <c r="P131" s="550"/>
      <c r="Q131" s="550"/>
      <c r="R131" s="557">
        <f t="shared" si="53"/>
        <v>7.5000000000000011E-2</v>
      </c>
      <c r="S131" s="556">
        <v>1.0110597032814643</v>
      </c>
      <c r="T131" s="556">
        <v>0.83254938273634127</v>
      </c>
      <c r="U131" s="556">
        <v>0.65403906219121821</v>
      </c>
      <c r="V131" s="556">
        <v>0.47552874164609665</v>
      </c>
      <c r="W131" s="556">
        <v>0.29701842110097215</v>
      </c>
      <c r="X131" s="550"/>
      <c r="Y131" s="550"/>
      <c r="Z131" s="557">
        <f t="shared" si="54"/>
        <v>7.5000000000000011E-2</v>
      </c>
      <c r="AA131" s="556">
        <v>1.7333894860864769</v>
      </c>
      <c r="AB131" s="556">
        <v>1.6199144790581184</v>
      </c>
      <c r="AC131" s="556">
        <v>1.5064394720297607</v>
      </c>
      <c r="AD131" s="556">
        <v>1.3929644650014033</v>
      </c>
      <c r="AE131" s="556">
        <v>1.2794894579730443</v>
      </c>
    </row>
    <row r="132" spans="1:31" x14ac:dyDescent="0.3">
      <c r="B132" s="557">
        <f t="shared" si="51"/>
        <v>0.1</v>
      </c>
      <c r="C132" s="556">
        <v>1.3472474871230711</v>
      </c>
      <c r="D132" s="556">
        <v>1.1797783355809988</v>
      </c>
      <c r="E132" s="556">
        <v>1.0123091840389287</v>
      </c>
      <c r="F132" s="556">
        <v>0.8448400324968578</v>
      </c>
      <c r="G132" s="556">
        <v>0.67737088095478526</v>
      </c>
      <c r="H132" s="550"/>
      <c r="I132" s="550"/>
      <c r="J132" s="557">
        <f t="shared" si="52"/>
        <v>0.1</v>
      </c>
      <c r="K132" s="556">
        <v>2.3924823207099268</v>
      </c>
      <c r="L132" s="556">
        <v>2.2250131691678545</v>
      </c>
      <c r="M132" s="556">
        <v>2.0575440176257844</v>
      </c>
      <c r="N132" s="556">
        <v>1.8900748660837139</v>
      </c>
      <c r="O132" s="556">
        <v>1.722605714541642</v>
      </c>
      <c r="P132" s="550"/>
      <c r="Q132" s="550"/>
      <c r="R132" s="557">
        <f t="shared" si="53"/>
        <v>0.1</v>
      </c>
      <c r="S132" s="556">
        <v>0.86469950703665299</v>
      </c>
      <c r="T132" s="556">
        <v>0.68623754861640063</v>
      </c>
      <c r="U132" s="556">
        <v>0.50777559019614826</v>
      </c>
      <c r="V132" s="556">
        <v>0.3293136317758974</v>
      </c>
      <c r="W132" s="556">
        <v>0.15085167335564356</v>
      </c>
      <c r="X132" s="550"/>
      <c r="Y132" s="550"/>
      <c r="Z132" s="557">
        <f t="shared" si="54"/>
        <v>0.1</v>
      </c>
      <c r="AA132" s="556">
        <v>1.6473429055903268</v>
      </c>
      <c r="AB132" s="556">
        <v>1.5338986412800515</v>
      </c>
      <c r="AC132" s="556">
        <v>1.4204543769697779</v>
      </c>
      <c r="AD132" s="556">
        <v>1.3070101126595042</v>
      </c>
      <c r="AE132" s="556">
        <v>1.1935658483492295</v>
      </c>
    </row>
    <row r="133" spans="1:31" x14ac:dyDescent="0.3">
      <c r="B133" s="450"/>
    </row>
    <row r="134" spans="1:31" x14ac:dyDescent="0.3">
      <c r="B134" s="450"/>
    </row>
    <row r="135" spans="1:31" x14ac:dyDescent="0.3">
      <c r="B135" s="549" t="s">
        <v>735</v>
      </c>
      <c r="C135" s="502"/>
      <c r="D135" s="502"/>
      <c r="E135" s="502"/>
      <c r="F135" s="502"/>
      <c r="G135" s="502"/>
      <c r="H135" s="502"/>
      <c r="I135" s="502"/>
      <c r="J135" s="502"/>
      <c r="K135" s="502"/>
      <c r="L135" s="502"/>
      <c r="M135" s="502"/>
      <c r="N135" s="502"/>
      <c r="O135" s="502"/>
      <c r="P135" s="502"/>
      <c r="Q135" s="502"/>
      <c r="R135" s="502"/>
      <c r="S135" s="502"/>
      <c r="T135" s="502"/>
      <c r="U135" s="502"/>
      <c r="V135" s="502"/>
      <c r="W135" s="502"/>
      <c r="X135" s="502"/>
      <c r="Y135" s="502"/>
      <c r="Z135" s="502"/>
      <c r="AA135" s="502"/>
      <c r="AB135" s="502"/>
      <c r="AC135" s="502"/>
      <c r="AD135" s="502"/>
      <c r="AE135" s="502"/>
    </row>
    <row r="136" spans="1:31" x14ac:dyDescent="0.3">
      <c r="B136" s="558"/>
      <c r="C136" s="550"/>
      <c r="D136" s="550"/>
      <c r="E136" s="550"/>
      <c r="F136" s="550"/>
      <c r="G136" s="550"/>
      <c r="H136" s="550"/>
      <c r="I136" s="550"/>
      <c r="J136" s="550"/>
      <c r="K136" s="550"/>
      <c r="L136" s="550"/>
      <c r="M136" s="550"/>
      <c r="N136" s="550"/>
      <c r="O136" s="550"/>
      <c r="P136" s="550"/>
      <c r="Q136" s="550"/>
      <c r="R136" s="550"/>
      <c r="S136" s="550"/>
      <c r="T136" s="550"/>
      <c r="U136" s="550"/>
      <c r="V136" s="550"/>
      <c r="W136" s="550"/>
      <c r="X136" s="550"/>
      <c r="Y136" s="550"/>
      <c r="Z136" s="550"/>
      <c r="AA136" s="550"/>
      <c r="AB136" s="550"/>
      <c r="AC136" s="550"/>
      <c r="AD136" s="550"/>
      <c r="AE136" s="550"/>
    </row>
    <row r="137" spans="1:31" s="2" customFormat="1" x14ac:dyDescent="0.3">
      <c r="A137" s="489"/>
      <c r="B137" s="551" t="s">
        <v>691</v>
      </c>
      <c r="C137" s="551"/>
      <c r="D137" s="551"/>
      <c r="E137" s="551"/>
      <c r="F137" s="551"/>
      <c r="G137" s="551"/>
      <c r="H137" s="551"/>
      <c r="I137" s="551"/>
      <c r="J137" s="551" t="s">
        <v>693</v>
      </c>
      <c r="K137" s="551"/>
      <c r="L137" s="551"/>
      <c r="M137" s="551"/>
      <c r="N137" s="551"/>
      <c r="O137" s="551"/>
      <c r="P137" s="551"/>
      <c r="Q137" s="551"/>
      <c r="R137" s="551" t="s">
        <v>692</v>
      </c>
      <c r="S137" s="551"/>
      <c r="T137" s="551"/>
      <c r="U137" s="551"/>
      <c r="V137" s="551"/>
      <c r="W137" s="551"/>
      <c r="X137" s="551"/>
      <c r="Y137" s="551"/>
      <c r="Z137" s="551" t="s">
        <v>694</v>
      </c>
      <c r="AA137" s="551"/>
      <c r="AB137" s="551"/>
      <c r="AC137" s="551"/>
      <c r="AD137" s="551"/>
      <c r="AE137" s="551"/>
    </row>
    <row r="138" spans="1:31" x14ac:dyDescent="0.3">
      <c r="A138" s="267"/>
      <c r="B138" s="552">
        <f>AE62</f>
        <v>6.7185099485053739</v>
      </c>
      <c r="C138" s="553">
        <v>0</v>
      </c>
      <c r="D138" s="553">
        <f>C138-0.025</f>
        <v>-2.5000000000000001E-2</v>
      </c>
      <c r="E138" s="553">
        <f t="shared" ref="E138:G138" si="55">D138-0.025</f>
        <v>-0.05</v>
      </c>
      <c r="F138" s="553">
        <f t="shared" si="55"/>
        <v>-7.5000000000000011E-2</v>
      </c>
      <c r="G138" s="553">
        <f t="shared" si="55"/>
        <v>-0.1</v>
      </c>
      <c r="H138" s="550"/>
      <c r="I138" s="550"/>
      <c r="J138" s="552">
        <f>AE63</f>
        <v>7.7637447820922301</v>
      </c>
      <c r="K138" s="553">
        <v>0</v>
      </c>
      <c r="L138" s="553">
        <f>K138-0.025</f>
        <v>-2.5000000000000001E-2</v>
      </c>
      <c r="M138" s="553">
        <f t="shared" ref="M138:O138" si="56">L138-0.025</f>
        <v>-0.05</v>
      </c>
      <c r="N138" s="553">
        <f t="shared" si="56"/>
        <v>-7.5000000000000011E-2</v>
      </c>
      <c r="O138" s="553">
        <f t="shared" si="56"/>
        <v>-0.1</v>
      </c>
      <c r="P138" s="550"/>
      <c r="Q138" s="550"/>
      <c r="R138" s="554">
        <f>AF62</f>
        <v>2.6401735438103358</v>
      </c>
      <c r="S138" s="553">
        <v>0</v>
      </c>
      <c r="T138" s="553">
        <f>S138-0.025</f>
        <v>-2.5000000000000001E-2</v>
      </c>
      <c r="U138" s="553">
        <f t="shared" ref="U138:W138" si="57">T138-0.025</f>
        <v>-0.05</v>
      </c>
      <c r="V138" s="553">
        <f t="shared" si="57"/>
        <v>-7.5000000000000011E-2</v>
      </c>
      <c r="W138" s="553">
        <f t="shared" si="57"/>
        <v>-0.1</v>
      </c>
      <c r="X138" s="550"/>
      <c r="Y138" s="550"/>
      <c r="Z138" s="552">
        <f>AF63</f>
        <v>3.3331724607048172</v>
      </c>
      <c r="AA138" s="553">
        <v>0</v>
      </c>
      <c r="AB138" s="553">
        <f>AA138-0.025</f>
        <v>-2.5000000000000001E-2</v>
      </c>
      <c r="AC138" s="553">
        <f t="shared" ref="AC138:AE138" si="58">AB138-0.025</f>
        <v>-0.05</v>
      </c>
      <c r="AD138" s="553">
        <f t="shared" si="58"/>
        <v>-7.5000000000000011E-2</v>
      </c>
      <c r="AE138" s="553">
        <f t="shared" si="58"/>
        <v>-0.1</v>
      </c>
    </row>
    <row r="139" spans="1:31" x14ac:dyDescent="0.3">
      <c r="B139" s="555">
        <v>0</v>
      </c>
      <c r="C139" s="556">
        <f t="dataTable" ref="C139:G143" dt2D="1" dtr="1" r1="D49" r2="D50" ca="1"/>
        <v>6.7185099485053739</v>
      </c>
      <c r="D139" s="556">
        <v>5.5597029306829455</v>
      </c>
      <c r="E139" s="556">
        <v>4.4008959128605403</v>
      </c>
      <c r="F139" s="556">
        <v>3.2420888950381266</v>
      </c>
      <c r="G139" s="556">
        <v>2.0832818772157053</v>
      </c>
      <c r="H139" s="550"/>
      <c r="I139" s="550"/>
      <c r="J139" s="555">
        <v>0</v>
      </c>
      <c r="K139" s="556">
        <f t="dataTable" ref="K139:O143" dt2D="1" dtr="1" r1="D49" r2="D50" ca="1"/>
        <v>7.7637447820922301</v>
      </c>
      <c r="L139" s="556">
        <v>6.6049377642698017</v>
      </c>
      <c r="M139" s="556">
        <v>5.4461307464473974</v>
      </c>
      <c r="N139" s="556">
        <v>4.2873237286249832</v>
      </c>
      <c r="O139" s="556">
        <v>3.128516710802562</v>
      </c>
      <c r="P139" s="550"/>
      <c r="Q139" s="550"/>
      <c r="R139" s="555">
        <v>0</v>
      </c>
      <c r="S139" s="556">
        <f t="dataTable" ref="S139:W143" dt2D="1" dtr="1" r1="D49" r2="D50" ca="1"/>
        <v>2.6401735438103358</v>
      </c>
      <c r="T139" s="556">
        <v>2.320874586141052</v>
      </c>
      <c r="U139" s="556">
        <v>1.9967180364967729</v>
      </c>
      <c r="V139" s="556">
        <v>1.6725614868524918</v>
      </c>
      <c r="W139" s="556">
        <v>1.3240262160661553</v>
      </c>
      <c r="X139" s="550"/>
      <c r="Y139" s="550"/>
      <c r="Z139" s="555">
        <v>0</v>
      </c>
      <c r="AA139" s="556">
        <f t="dataTable" ref="AA139:AE143" dt2D="1" dtr="1" r1="D49" r2="D50" ca="1"/>
        <v>3.3331724607048172</v>
      </c>
      <c r="AB139" s="556">
        <v>3.0090159110605317</v>
      </c>
      <c r="AC139" s="556">
        <v>2.6848593614162528</v>
      </c>
      <c r="AD139" s="556">
        <v>2.3607028117719717</v>
      </c>
      <c r="AE139" s="556">
        <v>2.0334240217999877</v>
      </c>
    </row>
    <row r="140" spans="1:31" x14ac:dyDescent="0.3">
      <c r="B140" s="557">
        <f>B139+0.025</f>
        <v>2.5000000000000001E-2</v>
      </c>
      <c r="C140" s="556">
        <v>5.8378158153236885</v>
      </c>
      <c r="D140" s="556">
        <v>4.6793224872499515</v>
      </c>
      <c r="E140" s="556">
        <v>3.5208291591762153</v>
      </c>
      <c r="F140" s="556">
        <v>2.3623358311024756</v>
      </c>
      <c r="G140" s="556">
        <v>1.2038425030287394</v>
      </c>
      <c r="H140" s="550"/>
      <c r="I140" s="550"/>
      <c r="J140" s="555">
        <f>J139+0.025</f>
        <v>2.5000000000000001E-2</v>
      </c>
      <c r="K140" s="556">
        <v>6.883050648910543</v>
      </c>
      <c r="L140" s="556">
        <v>5.7245573208368068</v>
      </c>
      <c r="M140" s="556">
        <v>4.5660639927630724</v>
      </c>
      <c r="N140" s="556">
        <v>3.4075706646893313</v>
      </c>
      <c r="O140" s="556">
        <v>2.2490773366155952</v>
      </c>
      <c r="P140" s="550"/>
      <c r="Q140" s="550"/>
      <c r="R140" s="557">
        <f>R139+0.025</f>
        <v>2.5000000000000001E-2</v>
      </c>
      <c r="S140" s="556">
        <v>2.3942850522418748</v>
      </c>
      <c r="T140" s="556">
        <v>2.0702162519683038</v>
      </c>
      <c r="U140" s="556">
        <v>1.7461474516947342</v>
      </c>
      <c r="V140" s="556">
        <v>1.4220786514211641</v>
      </c>
      <c r="W140" s="556">
        <v>0.76417913520862857</v>
      </c>
      <c r="X140" s="550"/>
      <c r="Y140" s="550"/>
      <c r="Z140" s="555">
        <f>Z139+0.025</f>
        <v>2.5000000000000001E-2</v>
      </c>
      <c r="AA140" s="556">
        <v>3.0824263771613545</v>
      </c>
      <c r="AB140" s="556">
        <v>2.7583575768877839</v>
      </c>
      <c r="AC140" s="556">
        <v>2.4342887766142147</v>
      </c>
      <c r="AD140" s="556">
        <v>2.1102199763406442</v>
      </c>
      <c r="AE140" s="556">
        <v>1.5478520095939168</v>
      </c>
    </row>
    <row r="141" spans="1:31" x14ac:dyDescent="0.3">
      <c r="B141" s="557">
        <f t="shared" ref="B141:B143" si="59">B140+0.025</f>
        <v>0.05</v>
      </c>
      <c r="C141" s="556">
        <v>4.9563295363120128</v>
      </c>
      <c r="D141" s="556">
        <v>3.7981498979869408</v>
      </c>
      <c r="E141" s="556">
        <v>2.6399702596618915</v>
      </c>
      <c r="F141" s="556">
        <v>1.481790621336835</v>
      </c>
      <c r="G141" s="556">
        <v>0.32361098301177005</v>
      </c>
      <c r="H141" s="550"/>
      <c r="I141" s="550"/>
      <c r="J141" s="557">
        <f t="shared" ref="J141:J143" si="60">J140+0.025</f>
        <v>0.05</v>
      </c>
      <c r="K141" s="556">
        <v>6.001564369898869</v>
      </c>
      <c r="L141" s="556">
        <v>4.8433847315737966</v>
      </c>
      <c r="M141" s="556">
        <v>3.6852050932487472</v>
      </c>
      <c r="N141" s="556">
        <v>2.5270254549236908</v>
      </c>
      <c r="O141" s="556">
        <v>1.3688458165986261</v>
      </c>
      <c r="P141" s="550"/>
      <c r="Q141" s="550"/>
      <c r="R141" s="557">
        <f t="shared" ref="R141:R143" si="61">R140+0.025</f>
        <v>0.05</v>
      </c>
      <c r="S141" s="556">
        <v>2.1433173793784368</v>
      </c>
      <c r="T141" s="556">
        <v>1.8193363284755737</v>
      </c>
      <c r="U141" s="556">
        <v>1.4953552775727179</v>
      </c>
      <c r="V141" s="556">
        <v>0.9853274414303812</v>
      </c>
      <c r="W141" s="556">
        <v>-0.31550333908183059</v>
      </c>
      <c r="X141" s="550"/>
      <c r="Y141" s="550"/>
      <c r="Z141" s="557">
        <f t="shared" ref="Z141:Z143" si="62">Z140+0.025</f>
        <v>0.05</v>
      </c>
      <c r="AA141" s="556">
        <v>2.8314587042979169</v>
      </c>
      <c r="AB141" s="556">
        <v>2.5074776533950538</v>
      </c>
      <c r="AC141" s="556">
        <v>2.1834966024921978</v>
      </c>
      <c r="AD141" s="556">
        <v>1.7415140766278701</v>
      </c>
      <c r="AE141" s="556">
        <v>0.59433323405087657</v>
      </c>
    </row>
    <row r="142" spans="1:31" x14ac:dyDescent="0.3">
      <c r="B142" s="557">
        <f t="shared" si="59"/>
        <v>7.5000000000000011E-2</v>
      </c>
      <c r="C142" s="556">
        <v>4.0740511114703173</v>
      </c>
      <c r="D142" s="556">
        <v>2.9161851628939384</v>
      </c>
      <c r="E142" s="556">
        <v>1.7583192143175657</v>
      </c>
      <c r="F142" s="556">
        <v>0.60045326574119073</v>
      </c>
      <c r="G142" s="556">
        <v>-0.55741268283519818</v>
      </c>
      <c r="H142" s="550"/>
      <c r="I142" s="550"/>
      <c r="J142" s="557">
        <f t="shared" si="60"/>
        <v>7.5000000000000011E-2</v>
      </c>
      <c r="K142" s="556">
        <v>5.1192859450571735</v>
      </c>
      <c r="L142" s="556">
        <v>3.9614199964807946</v>
      </c>
      <c r="M142" s="556">
        <v>2.8035540479044214</v>
      </c>
      <c r="N142" s="556">
        <v>1.6456880993280469</v>
      </c>
      <c r="O142" s="556">
        <v>0.4878221507516578</v>
      </c>
      <c r="P142" s="550"/>
      <c r="Q142" s="550"/>
      <c r="R142" s="557">
        <f t="shared" si="61"/>
        <v>7.5000000000000011E-2</v>
      </c>
      <c r="S142" s="556">
        <v>1.8921281171950075</v>
      </c>
      <c r="T142" s="556">
        <v>1.5682348156628618</v>
      </c>
      <c r="U142" s="556">
        <v>1.1588301860746255</v>
      </c>
      <c r="V142" s="556">
        <v>0.10043962162076792</v>
      </c>
      <c r="W142" s="556">
        <v>-2.8401640462588569</v>
      </c>
      <c r="X142" s="550"/>
      <c r="Y142" s="550"/>
      <c r="Z142" s="557">
        <f t="shared" si="62"/>
        <v>7.5000000000000011E-2</v>
      </c>
      <c r="AA142" s="556">
        <v>2.5802694421144872</v>
      </c>
      <c r="AB142" s="556">
        <v>2.2563761405823417</v>
      </c>
      <c r="AC142" s="556">
        <v>1.8908875385756854</v>
      </c>
      <c r="AD142" s="556">
        <v>0.96631548131944445</v>
      </c>
      <c r="AE142" s="556">
        <v>-1.478441196200148</v>
      </c>
    </row>
    <row r="143" spans="1:31" x14ac:dyDescent="0.3">
      <c r="B143" s="557">
        <f t="shared" si="59"/>
        <v>0.1</v>
      </c>
      <c r="C143" s="556">
        <v>3.1909805407986438</v>
      </c>
      <c r="D143" s="556">
        <v>2.0334282819709362</v>
      </c>
      <c r="E143" s="556">
        <v>0.87587602314324686</v>
      </c>
      <c r="F143" s="556">
        <v>-0.28167623568445183</v>
      </c>
      <c r="G143" s="556">
        <v>-1.4392284945121596</v>
      </c>
      <c r="H143" s="550"/>
      <c r="I143" s="550"/>
      <c r="J143" s="557">
        <f t="shared" si="60"/>
        <v>0.1</v>
      </c>
      <c r="K143" s="556">
        <v>4.2362153743855</v>
      </c>
      <c r="L143" s="556">
        <v>3.0786631155577924</v>
      </c>
      <c r="M143" s="556">
        <v>1.9211108567301032</v>
      </c>
      <c r="N143" s="556">
        <v>0.76355859790240399</v>
      </c>
      <c r="O143" s="556">
        <v>-0.39399366092530375</v>
      </c>
      <c r="P143" s="550"/>
      <c r="Q143" s="550"/>
      <c r="R143" s="557">
        <f t="shared" si="61"/>
        <v>0.1</v>
      </c>
      <c r="S143" s="556">
        <v>1.6407172656916058</v>
      </c>
      <c r="T143" s="556">
        <v>1.2918104065181351</v>
      </c>
      <c r="U143" s="556">
        <v>0.44119328595949059</v>
      </c>
      <c r="V143" s="556">
        <v>-2.0134193209340872</v>
      </c>
      <c r="W143" s="556">
        <v>-5.4362706105219623</v>
      </c>
      <c r="X143" s="550"/>
      <c r="Y143" s="550"/>
      <c r="Z143" s="557">
        <f t="shared" si="62"/>
        <v>0.1</v>
      </c>
      <c r="AA143" s="556">
        <v>2.3288585906110857</v>
      </c>
      <c r="AB143" s="556">
        <v>2.0012082122519672</v>
      </c>
      <c r="AC143" s="556">
        <v>1.2648556237344257</v>
      </c>
      <c r="AD143" s="556">
        <v>-0.65169647087537819</v>
      </c>
      <c r="AE143" s="556">
        <v>-4.0745477604632532</v>
      </c>
    </row>
    <row r="144" spans="1:31" x14ac:dyDescent="0.3">
      <c r="B144" s="548"/>
      <c r="C144" s="488"/>
      <c r="D144" s="488"/>
      <c r="E144" s="488"/>
      <c r="F144" s="488"/>
      <c r="G144" s="488"/>
      <c r="J144" s="548"/>
      <c r="K144" s="488"/>
      <c r="L144" s="488"/>
      <c r="M144" s="488"/>
      <c r="N144" s="488"/>
      <c r="O144" s="488"/>
      <c r="R144" s="548"/>
      <c r="S144" s="488"/>
      <c r="T144" s="488"/>
      <c r="U144" s="488"/>
      <c r="V144" s="488"/>
      <c r="W144" s="488"/>
      <c r="Z144" s="548"/>
      <c r="AA144" s="488"/>
      <c r="AB144" s="488"/>
      <c r="AC144" s="488"/>
      <c r="AD144" s="488"/>
      <c r="AE144" s="488"/>
    </row>
    <row r="145" spans="1:31" x14ac:dyDescent="0.3">
      <c r="B145" s="548"/>
      <c r="C145" s="488"/>
      <c r="D145" s="488"/>
      <c r="E145" s="488"/>
      <c r="F145" s="488"/>
      <c r="G145" s="488"/>
      <c r="J145" s="548"/>
      <c r="K145" s="488"/>
      <c r="L145" s="488"/>
      <c r="M145" s="488"/>
      <c r="N145" s="488"/>
      <c r="O145" s="488"/>
      <c r="R145" s="548"/>
      <c r="S145" s="488"/>
      <c r="T145" s="488"/>
      <c r="U145" s="488"/>
      <c r="V145" s="488"/>
      <c r="W145" s="488"/>
      <c r="Z145" s="548"/>
      <c r="AA145" s="488"/>
      <c r="AB145" s="488"/>
      <c r="AC145" s="488"/>
      <c r="AD145" s="488"/>
      <c r="AE145" s="488"/>
    </row>
    <row r="146" spans="1:31" x14ac:dyDescent="0.3">
      <c r="A146" s="489" t="s">
        <v>726</v>
      </c>
      <c r="B146" s="2" t="s">
        <v>696</v>
      </c>
    </row>
    <row r="147" spans="1:31" x14ac:dyDescent="0.3">
      <c r="A147" s="489"/>
      <c r="B147" s="2"/>
    </row>
    <row r="148" spans="1:31" x14ac:dyDescent="0.3">
      <c r="B148" s="2" t="s">
        <v>699</v>
      </c>
    </row>
    <row r="150" spans="1:31" x14ac:dyDescent="0.3">
      <c r="A150" s="267"/>
      <c r="B150" s="549" t="s">
        <v>734</v>
      </c>
      <c r="C150" s="502"/>
      <c r="D150" s="502"/>
      <c r="E150" s="502"/>
      <c r="F150" s="502"/>
      <c r="G150" s="502"/>
      <c r="H150" s="502"/>
      <c r="I150" s="502"/>
      <c r="J150" s="502"/>
      <c r="K150" s="502"/>
      <c r="L150" s="502"/>
      <c r="M150" s="502"/>
      <c r="N150" s="502"/>
      <c r="O150" s="502"/>
      <c r="P150" s="502"/>
      <c r="Q150" s="502"/>
      <c r="R150" s="502"/>
      <c r="S150" s="502"/>
      <c r="T150" s="502"/>
      <c r="U150" s="502"/>
      <c r="V150" s="502"/>
      <c r="W150" s="502"/>
      <c r="X150" s="502"/>
      <c r="Y150" s="502"/>
      <c r="Z150" s="502"/>
      <c r="AA150" s="502"/>
      <c r="AB150" s="502"/>
      <c r="AC150" s="502"/>
      <c r="AD150" s="502"/>
      <c r="AE150" s="502"/>
    </row>
    <row r="151" spans="1:31" x14ac:dyDescent="0.3">
      <c r="B151" s="550"/>
      <c r="C151" s="550"/>
      <c r="D151" s="550"/>
      <c r="E151" s="550"/>
      <c r="F151" s="550"/>
      <c r="G151" s="550"/>
      <c r="H151" s="550"/>
      <c r="I151" s="550"/>
      <c r="J151" s="550"/>
      <c r="K151" s="550"/>
      <c r="L151" s="550"/>
      <c r="M151" s="550"/>
      <c r="N151" s="550"/>
      <c r="O151" s="550"/>
      <c r="P151" s="550"/>
      <c r="Q151" s="550"/>
      <c r="R151" s="550"/>
      <c r="S151" s="550"/>
      <c r="T151" s="550"/>
      <c r="U151" s="550"/>
      <c r="V151" s="550"/>
      <c r="W151" s="550"/>
      <c r="X151" s="550"/>
      <c r="Y151" s="550"/>
      <c r="Z151" s="550"/>
      <c r="AA151" s="550"/>
      <c r="AB151" s="550"/>
      <c r="AC151" s="550"/>
      <c r="AD151" s="550"/>
      <c r="AE151" s="550"/>
    </row>
    <row r="152" spans="1:31" s="2" customFormat="1" x14ac:dyDescent="0.3">
      <c r="B152" s="551" t="str">
        <f>B126</f>
        <v>[평균 DSCR(1)]</v>
      </c>
      <c r="C152" s="551"/>
      <c r="D152" s="551"/>
      <c r="E152" s="551"/>
      <c r="F152" s="551"/>
      <c r="G152" s="551"/>
      <c r="H152" s="551"/>
      <c r="I152" s="551"/>
      <c r="J152" s="551" t="str">
        <f>J126</f>
        <v>[평균 DSCR(2)]</v>
      </c>
      <c r="K152" s="551"/>
      <c r="L152" s="551"/>
      <c r="M152" s="551"/>
      <c r="N152" s="551"/>
      <c r="O152" s="551"/>
      <c r="P152" s="551"/>
      <c r="Q152" s="551"/>
      <c r="R152" s="551" t="str">
        <f>R126</f>
        <v>[최소 DSCR(1)]</v>
      </c>
      <c r="S152" s="551"/>
      <c r="T152" s="551"/>
      <c r="U152" s="551"/>
      <c r="V152" s="551"/>
      <c r="W152" s="551"/>
      <c r="X152" s="551"/>
      <c r="Y152" s="551"/>
      <c r="Z152" s="551" t="str">
        <f>Z126</f>
        <v>[최소 DSCR(2)]</v>
      </c>
      <c r="AA152" s="551"/>
      <c r="AB152" s="551"/>
      <c r="AC152" s="551"/>
      <c r="AD152" s="551"/>
      <c r="AE152" s="551"/>
    </row>
    <row r="153" spans="1:31" x14ac:dyDescent="0.3">
      <c r="B153" s="552">
        <f>AE60</f>
        <v>1.8590041449197998</v>
      </c>
      <c r="C153" s="553">
        <v>0</v>
      </c>
      <c r="D153" s="553">
        <f>C153-0.025</f>
        <v>-2.5000000000000001E-2</v>
      </c>
      <c r="E153" s="553">
        <f t="shared" ref="E153:G153" si="63">D153-0.025</f>
        <v>-0.05</v>
      </c>
      <c r="F153" s="553">
        <f t="shared" si="63"/>
        <v>-7.5000000000000011E-2</v>
      </c>
      <c r="G153" s="553">
        <f t="shared" si="63"/>
        <v>-0.1</v>
      </c>
      <c r="H153" s="550"/>
      <c r="I153" s="550"/>
      <c r="J153" s="552">
        <f>AE61</f>
        <v>2.904238978506656</v>
      </c>
      <c r="K153" s="553">
        <v>0</v>
      </c>
      <c r="L153" s="553">
        <f>K153-0.025</f>
        <v>-2.5000000000000001E-2</v>
      </c>
      <c r="M153" s="553">
        <f t="shared" ref="M153:O153" si="64">L153-0.025</f>
        <v>-0.05</v>
      </c>
      <c r="N153" s="553">
        <f t="shared" si="64"/>
        <v>-7.5000000000000011E-2</v>
      </c>
      <c r="O153" s="553">
        <f t="shared" si="64"/>
        <v>-0.1</v>
      </c>
      <c r="P153" s="550"/>
      <c r="Q153" s="550"/>
      <c r="R153" s="552">
        <f>AF60</f>
        <v>1.302922103896599</v>
      </c>
      <c r="S153" s="553">
        <v>0</v>
      </c>
      <c r="T153" s="553">
        <f>S153-0.025</f>
        <v>-2.5000000000000001E-2</v>
      </c>
      <c r="U153" s="553">
        <f t="shared" ref="U153:W153" si="65">T153-0.025</f>
        <v>-0.05</v>
      </c>
      <c r="V153" s="553">
        <f t="shared" si="65"/>
        <v>-7.5000000000000011E-2</v>
      </c>
      <c r="W153" s="553">
        <f t="shared" si="65"/>
        <v>-0.1</v>
      </c>
      <c r="X153" s="550"/>
      <c r="Y153" s="550"/>
      <c r="Z153" s="552">
        <f>AF61</f>
        <v>1.9910634288160789</v>
      </c>
      <c r="AA153" s="553">
        <v>0</v>
      </c>
      <c r="AB153" s="553">
        <f>AA153-0.025</f>
        <v>-2.5000000000000001E-2</v>
      </c>
      <c r="AC153" s="553">
        <f t="shared" ref="AC153:AE153" si="66">AB153-0.025</f>
        <v>-0.05</v>
      </c>
      <c r="AD153" s="553">
        <f t="shared" si="66"/>
        <v>-7.5000000000000011E-2</v>
      </c>
      <c r="AE153" s="553">
        <f t="shared" si="66"/>
        <v>-0.1</v>
      </c>
    </row>
    <row r="154" spans="1:31" x14ac:dyDescent="0.3">
      <c r="B154" s="555">
        <v>0</v>
      </c>
      <c r="C154" s="556">
        <f t="dataTable" ref="C154:G158" dt2D="1" dtr="1" r1="D34" r2="D35" ca="1"/>
        <v>1.8590041449197998</v>
      </c>
      <c r="D154" s="556">
        <v>1.7957268535580928</v>
      </c>
      <c r="E154" s="556">
        <v>1.7324495621963869</v>
      </c>
      <c r="F154" s="556">
        <v>1.6691722708346817</v>
      </c>
      <c r="G154" s="556">
        <v>1.6058949794729749</v>
      </c>
      <c r="H154" s="550"/>
      <c r="I154" s="550"/>
      <c r="J154" s="555">
        <v>0</v>
      </c>
      <c r="K154" s="556">
        <f t="dataTable" ref="K154:O158" dt2D="1" dtr="1" r1="D34" r2="D35" ca="1"/>
        <v>2.904238978506656</v>
      </c>
      <c r="L154" s="556">
        <v>2.8409616871449486</v>
      </c>
      <c r="M154" s="556">
        <v>2.7776843957832429</v>
      </c>
      <c r="N154" s="556">
        <v>2.7144071044215372</v>
      </c>
      <c r="O154" s="556">
        <v>2.6511298130598311</v>
      </c>
      <c r="P154" s="550"/>
      <c r="Q154" s="550"/>
      <c r="R154" s="555">
        <v>0</v>
      </c>
      <c r="S154" s="556">
        <f t="dataTable" ref="S154:W158" dt2D="1" dtr="1" r1="D34" r2="D35" ca="1"/>
        <v>1.302922103896599</v>
      </c>
      <c r="T154" s="556">
        <v>1.2600578169519527</v>
      </c>
      <c r="U154" s="556">
        <v>1.2171935300073076</v>
      </c>
      <c r="V154" s="556">
        <v>1.174329243062664</v>
      </c>
      <c r="W154" s="556">
        <v>1.1314649561180181</v>
      </c>
      <c r="X154" s="550"/>
      <c r="Y154" s="550"/>
      <c r="Z154" s="555">
        <v>0</v>
      </c>
      <c r="AA154" s="556">
        <f t="dataTable" ref="AA154:AE158" dt2D="1" dtr="1" r1="D34" r2="D35" ca="1"/>
        <v>1.9910634288160789</v>
      </c>
      <c r="AB154" s="556">
        <v>1.9481991418714326</v>
      </c>
      <c r="AC154" s="556">
        <v>1.9053348549267874</v>
      </c>
      <c r="AD154" s="556">
        <v>1.8624705679821438</v>
      </c>
      <c r="AE154" s="556">
        <v>1.8196062810374982</v>
      </c>
    </row>
    <row r="155" spans="1:31" x14ac:dyDescent="0.3">
      <c r="B155" s="557">
        <f>B154-0.025</f>
        <v>-2.5000000000000001E-2</v>
      </c>
      <c r="C155" s="556">
        <v>1.7904888140701387</v>
      </c>
      <c r="D155" s="556">
        <v>1.7287934549924771</v>
      </c>
      <c r="E155" s="556">
        <v>1.6670980959148127</v>
      </c>
      <c r="F155" s="556">
        <v>1.6054027368371497</v>
      </c>
      <c r="G155" s="556">
        <v>1.5437073777594841</v>
      </c>
      <c r="H155" s="550"/>
      <c r="I155" s="550"/>
      <c r="J155" s="557">
        <f>J154-0.025</f>
        <v>-2.5000000000000001E-2</v>
      </c>
      <c r="K155" s="556">
        <v>2.8357236476569958</v>
      </c>
      <c r="L155" s="556">
        <v>2.7740282885793324</v>
      </c>
      <c r="M155" s="556">
        <v>2.7123329295016689</v>
      </c>
      <c r="N155" s="556">
        <v>2.6506375704240059</v>
      </c>
      <c r="O155" s="556">
        <v>2.5889422113463398</v>
      </c>
      <c r="P155" s="550"/>
      <c r="Q155" s="550"/>
      <c r="R155" s="557">
        <f>R154-0.025</f>
        <v>-2.5000000000000001E-2</v>
      </c>
      <c r="S155" s="556">
        <v>1.2565095483265531</v>
      </c>
      <c r="T155" s="556">
        <v>1.2147168685555243</v>
      </c>
      <c r="U155" s="556">
        <v>1.172924188784495</v>
      </c>
      <c r="V155" s="556">
        <v>1.1311315090134668</v>
      </c>
      <c r="W155" s="556">
        <v>1.089338829242436</v>
      </c>
      <c r="X155" s="550"/>
      <c r="Y155" s="550"/>
      <c r="Z155" s="557">
        <f>Z154-0.025</f>
        <v>-2.5000000000000001E-2</v>
      </c>
      <c r="AA155" s="556">
        <v>1.9446508732460333</v>
      </c>
      <c r="AB155" s="556">
        <v>1.9028581934750044</v>
      </c>
      <c r="AC155" s="556">
        <v>1.8610655137039751</v>
      </c>
      <c r="AD155" s="556">
        <v>1.8192728339329469</v>
      </c>
      <c r="AE155" s="556">
        <v>1.7774801541619158</v>
      </c>
    </row>
    <row r="156" spans="1:31" x14ac:dyDescent="0.3">
      <c r="B156" s="557">
        <f t="shared" ref="B156:B158" si="67">B155-0.025</f>
        <v>-0.05</v>
      </c>
      <c r="C156" s="556">
        <v>1.7219734832204807</v>
      </c>
      <c r="D156" s="556">
        <v>1.6618600564268595</v>
      </c>
      <c r="E156" s="556">
        <v>1.6017466296332366</v>
      </c>
      <c r="F156" s="556">
        <v>1.5416332028396178</v>
      </c>
      <c r="G156" s="556">
        <v>1.4815197760459953</v>
      </c>
      <c r="H156" s="550"/>
      <c r="I156" s="550"/>
      <c r="J156" s="557">
        <f t="shared" ref="J156:J158" si="68">J155-0.025</f>
        <v>-0.05</v>
      </c>
      <c r="K156" s="556">
        <v>2.7672083168073369</v>
      </c>
      <c r="L156" s="556">
        <v>2.7070948900137148</v>
      </c>
      <c r="M156" s="556">
        <v>2.6469814632200928</v>
      </c>
      <c r="N156" s="556">
        <v>2.5868680364264738</v>
      </c>
      <c r="O156" s="556">
        <v>2.5267546096328517</v>
      </c>
      <c r="P156" s="550"/>
      <c r="Q156" s="550"/>
      <c r="R156" s="557">
        <f t="shared" ref="R156:R158" si="69">R155-0.025</f>
        <v>-0.05</v>
      </c>
      <c r="S156" s="556">
        <v>1.2100969927565086</v>
      </c>
      <c r="T156" s="556">
        <v>1.1693759201590956</v>
      </c>
      <c r="U156" s="556">
        <v>1.1286548475616816</v>
      </c>
      <c r="V156" s="556">
        <v>1.0879337749642699</v>
      </c>
      <c r="W156" s="556">
        <v>1.0471447926827337</v>
      </c>
      <c r="X156" s="550"/>
      <c r="Y156" s="550"/>
      <c r="Z156" s="557">
        <f t="shared" ref="Z156:Z158" si="70">Z155-0.025</f>
        <v>-0.05</v>
      </c>
      <c r="AA156" s="556">
        <v>1.8982383176759885</v>
      </c>
      <c r="AB156" s="556">
        <v>1.8575172450785757</v>
      </c>
      <c r="AC156" s="556">
        <v>1.8167961724811617</v>
      </c>
      <c r="AD156" s="556">
        <v>1.7760750998837498</v>
      </c>
      <c r="AE156" s="556">
        <v>1.7353540272863359</v>
      </c>
    </row>
    <row r="157" spans="1:31" x14ac:dyDescent="0.3">
      <c r="B157" s="557">
        <f t="shared" si="67"/>
        <v>-7.5000000000000011E-2</v>
      </c>
      <c r="C157" s="556">
        <v>1.6534581523708216</v>
      </c>
      <c r="D157" s="556">
        <v>1.5949266578612433</v>
      </c>
      <c r="E157" s="556">
        <v>1.5363951633516644</v>
      </c>
      <c r="F157" s="556">
        <v>1.4778636688420854</v>
      </c>
      <c r="G157" s="556">
        <v>1.4193321743325074</v>
      </c>
      <c r="H157" s="550"/>
      <c r="I157" s="550"/>
      <c r="J157" s="557">
        <f t="shared" si="68"/>
        <v>-7.5000000000000011E-2</v>
      </c>
      <c r="K157" s="556">
        <v>2.6986929859576776</v>
      </c>
      <c r="L157" s="556">
        <v>2.6401614914480991</v>
      </c>
      <c r="M157" s="556">
        <v>2.581629996938521</v>
      </c>
      <c r="N157" s="556">
        <v>2.5230985024289416</v>
      </c>
      <c r="O157" s="556">
        <v>2.4645670079193636</v>
      </c>
      <c r="P157" s="550"/>
      <c r="Q157" s="550"/>
      <c r="R157" s="557">
        <f t="shared" si="69"/>
        <v>-7.5000000000000011E-2</v>
      </c>
      <c r="S157" s="556">
        <v>1.1636844371864643</v>
      </c>
      <c r="T157" s="556">
        <v>1.1240349717626679</v>
      </c>
      <c r="U157" s="556">
        <v>1.0843855063388703</v>
      </c>
      <c r="V157" s="556">
        <v>1.0432486957251978</v>
      </c>
      <c r="W157" s="556">
        <v>0.98087514786125174</v>
      </c>
      <c r="X157" s="550"/>
      <c r="Y157" s="550"/>
      <c r="Z157" s="557">
        <f t="shared" si="70"/>
        <v>-7.5000000000000011E-2</v>
      </c>
      <c r="AA157" s="556">
        <v>1.8518257621059444</v>
      </c>
      <c r="AB157" s="556">
        <v>1.812176296682148</v>
      </c>
      <c r="AC157" s="556">
        <v>1.7725268312583504</v>
      </c>
      <c r="AD157" s="556">
        <v>1.7328773658345529</v>
      </c>
      <c r="AE157" s="556">
        <v>1.6932279004107558</v>
      </c>
    </row>
    <row r="158" spans="1:31" x14ac:dyDescent="0.3">
      <c r="B158" s="557">
        <f t="shared" si="67"/>
        <v>-0.1</v>
      </c>
      <c r="C158" s="556">
        <v>1.5849428215211616</v>
      </c>
      <c r="D158" s="556">
        <v>1.5279932592956236</v>
      </c>
      <c r="E158" s="556">
        <v>1.471043697070088</v>
      </c>
      <c r="F158" s="556">
        <v>1.4140941348445537</v>
      </c>
      <c r="G158" s="556">
        <v>1.357144572619017</v>
      </c>
      <c r="H158" s="550"/>
      <c r="I158" s="550"/>
      <c r="J158" s="557">
        <f t="shared" si="68"/>
        <v>-0.1</v>
      </c>
      <c r="K158" s="556">
        <v>2.6301776551080178</v>
      </c>
      <c r="L158" s="556">
        <v>2.5732280928824798</v>
      </c>
      <c r="M158" s="556">
        <v>2.5162785306569444</v>
      </c>
      <c r="N158" s="556">
        <v>2.4593289684314095</v>
      </c>
      <c r="O158" s="556">
        <v>2.4023794062058728</v>
      </c>
      <c r="P158" s="550"/>
      <c r="Q158" s="550"/>
      <c r="R158" s="557">
        <f t="shared" si="69"/>
        <v>-0.1</v>
      </c>
      <c r="S158" s="556">
        <v>1.1172718816164191</v>
      </c>
      <c r="T158" s="556">
        <v>1.0786940233662365</v>
      </c>
      <c r="U158" s="556">
        <v>1.0359810556398796</v>
      </c>
      <c r="V158" s="556">
        <v>0.97529327933982457</v>
      </c>
      <c r="W158" s="556">
        <v>0.9146055030397704</v>
      </c>
      <c r="X158" s="550"/>
      <c r="Y158" s="550"/>
      <c r="Z158" s="557">
        <f t="shared" si="70"/>
        <v>-0.1</v>
      </c>
      <c r="AA158" s="556">
        <v>1.8054132065358992</v>
      </c>
      <c r="AB158" s="556">
        <v>1.7668353482857164</v>
      </c>
      <c r="AC158" s="556">
        <v>1.728257490035537</v>
      </c>
      <c r="AD158" s="556">
        <v>1.6896796317853564</v>
      </c>
      <c r="AE158" s="556">
        <v>1.6511017735351747</v>
      </c>
    </row>
    <row r="159" spans="1:31" x14ac:dyDescent="0.3">
      <c r="B159" s="548"/>
      <c r="C159" s="488"/>
      <c r="D159" s="488"/>
      <c r="E159" s="488"/>
      <c r="F159" s="488"/>
      <c r="G159" s="488"/>
      <c r="J159" s="548"/>
      <c r="K159" s="488"/>
      <c r="L159" s="488"/>
      <c r="M159" s="488"/>
      <c r="N159" s="488"/>
      <c r="O159" s="488"/>
      <c r="R159" s="548"/>
      <c r="S159" s="488"/>
      <c r="T159" s="488"/>
      <c r="U159" s="488"/>
      <c r="V159" s="488"/>
      <c r="W159" s="488"/>
      <c r="Z159" s="548"/>
      <c r="AA159" s="488"/>
      <c r="AB159" s="488"/>
      <c r="AC159" s="488"/>
      <c r="AD159" s="488"/>
      <c r="AE159" s="488"/>
    </row>
    <row r="160" spans="1:31" x14ac:dyDescent="0.3">
      <c r="B160" s="548"/>
      <c r="C160" s="488"/>
      <c r="D160" s="488"/>
      <c r="E160" s="488"/>
      <c r="F160" s="488"/>
      <c r="G160" s="488"/>
      <c r="J160" s="548"/>
      <c r="K160" s="488"/>
      <c r="L160" s="488"/>
      <c r="M160" s="488"/>
      <c r="N160" s="488"/>
      <c r="O160" s="488"/>
      <c r="R160" s="548"/>
      <c r="S160" s="488"/>
      <c r="T160" s="488"/>
      <c r="U160" s="488"/>
      <c r="V160" s="488"/>
      <c r="W160" s="488"/>
      <c r="Z160" s="548"/>
      <c r="AA160" s="488"/>
      <c r="AB160" s="488"/>
      <c r="AC160" s="488"/>
      <c r="AD160" s="488"/>
      <c r="AE160" s="488"/>
    </row>
    <row r="161" spans="1:31" x14ac:dyDescent="0.3">
      <c r="B161" s="549" t="s">
        <v>735</v>
      </c>
      <c r="C161" s="502"/>
      <c r="D161" s="502"/>
      <c r="E161" s="502"/>
      <c r="F161" s="502"/>
      <c r="G161" s="502"/>
      <c r="H161" s="502"/>
      <c r="I161" s="502"/>
      <c r="J161" s="502"/>
      <c r="K161" s="502"/>
      <c r="L161" s="502"/>
      <c r="M161" s="502"/>
      <c r="N161" s="502"/>
      <c r="O161" s="502"/>
      <c r="P161" s="502"/>
      <c r="Q161" s="502"/>
      <c r="R161" s="502"/>
      <c r="S161" s="502"/>
      <c r="T161" s="502"/>
      <c r="U161" s="502"/>
      <c r="V161" s="502"/>
      <c r="W161" s="502"/>
      <c r="X161" s="502"/>
      <c r="Y161" s="502"/>
      <c r="Z161" s="502"/>
      <c r="AA161" s="502"/>
      <c r="AB161" s="502"/>
      <c r="AC161" s="502"/>
      <c r="AD161" s="502"/>
      <c r="AE161" s="502"/>
    </row>
    <row r="162" spans="1:31" x14ac:dyDescent="0.3">
      <c r="B162" s="558"/>
      <c r="C162" s="550"/>
      <c r="D162" s="550"/>
      <c r="E162" s="550"/>
      <c r="F162" s="550"/>
      <c r="G162" s="550"/>
      <c r="H162" s="550"/>
      <c r="I162" s="550"/>
      <c r="J162" s="550"/>
      <c r="K162" s="550"/>
      <c r="L162" s="550"/>
      <c r="M162" s="550"/>
      <c r="N162" s="550"/>
      <c r="O162" s="550"/>
      <c r="P162" s="550"/>
      <c r="Q162" s="550"/>
      <c r="R162" s="550"/>
      <c r="S162" s="550"/>
      <c r="T162" s="550"/>
      <c r="U162" s="550"/>
      <c r="V162" s="550"/>
      <c r="W162" s="550"/>
      <c r="X162" s="550"/>
      <c r="Y162" s="550"/>
      <c r="Z162" s="550"/>
      <c r="AA162" s="550"/>
      <c r="AB162" s="550"/>
      <c r="AC162" s="550"/>
      <c r="AD162" s="550"/>
      <c r="AE162" s="550"/>
    </row>
    <row r="163" spans="1:31" s="2" customFormat="1" x14ac:dyDescent="0.3">
      <c r="A163" s="489"/>
      <c r="B163" s="551" t="s">
        <v>691</v>
      </c>
      <c r="C163" s="551"/>
      <c r="D163" s="551"/>
      <c r="E163" s="551"/>
      <c r="F163" s="551"/>
      <c r="G163" s="551"/>
      <c r="H163" s="551"/>
      <c r="I163" s="551"/>
      <c r="J163" s="551" t="s">
        <v>693</v>
      </c>
      <c r="K163" s="551"/>
      <c r="L163" s="551"/>
      <c r="M163" s="551"/>
      <c r="N163" s="551"/>
      <c r="O163" s="551"/>
      <c r="P163" s="551"/>
      <c r="Q163" s="551"/>
      <c r="R163" s="551" t="s">
        <v>692</v>
      </c>
      <c r="S163" s="551"/>
      <c r="T163" s="551"/>
      <c r="U163" s="551"/>
      <c r="V163" s="551"/>
      <c r="W163" s="551"/>
      <c r="X163" s="551"/>
      <c r="Y163" s="551"/>
      <c r="Z163" s="551" t="s">
        <v>694</v>
      </c>
      <c r="AA163" s="551"/>
      <c r="AB163" s="551"/>
      <c r="AC163" s="551"/>
      <c r="AD163" s="551"/>
      <c r="AE163" s="551"/>
    </row>
    <row r="164" spans="1:31" x14ac:dyDescent="0.3">
      <c r="A164" s="267"/>
      <c r="B164" s="552">
        <f>AE62</f>
        <v>6.7185099485053739</v>
      </c>
      <c r="C164" s="553">
        <v>0</v>
      </c>
      <c r="D164" s="553">
        <f>C164-0.025</f>
        <v>-2.5000000000000001E-2</v>
      </c>
      <c r="E164" s="553">
        <f t="shared" ref="E164:G164" si="71">D164-0.025</f>
        <v>-0.05</v>
      </c>
      <c r="F164" s="553">
        <f t="shared" si="71"/>
        <v>-7.5000000000000011E-2</v>
      </c>
      <c r="G164" s="553">
        <f t="shared" si="71"/>
        <v>-0.1</v>
      </c>
      <c r="H164" s="550"/>
      <c r="I164" s="550"/>
      <c r="J164" s="552">
        <f>AE63</f>
        <v>7.7637447820922301</v>
      </c>
      <c r="K164" s="553">
        <v>0</v>
      </c>
      <c r="L164" s="553">
        <f>K164-0.025</f>
        <v>-2.5000000000000001E-2</v>
      </c>
      <c r="M164" s="553">
        <f t="shared" ref="M164:O164" si="72">L164-0.025</f>
        <v>-0.05</v>
      </c>
      <c r="N164" s="553">
        <f t="shared" si="72"/>
        <v>-7.5000000000000011E-2</v>
      </c>
      <c r="O164" s="553">
        <f t="shared" si="72"/>
        <v>-0.1</v>
      </c>
      <c r="P164" s="550"/>
      <c r="Q164" s="550"/>
      <c r="R164" s="552">
        <f>AF62</f>
        <v>2.6401735438103358</v>
      </c>
      <c r="S164" s="553">
        <v>0</v>
      </c>
      <c r="T164" s="553">
        <f>S164-0.025</f>
        <v>-2.5000000000000001E-2</v>
      </c>
      <c r="U164" s="553">
        <f t="shared" ref="U164:W164" si="73">T164-0.025</f>
        <v>-0.05</v>
      </c>
      <c r="V164" s="553">
        <f t="shared" si="73"/>
        <v>-7.5000000000000011E-2</v>
      </c>
      <c r="W164" s="553">
        <f t="shared" si="73"/>
        <v>-0.1</v>
      </c>
      <c r="X164" s="550"/>
      <c r="Y164" s="550"/>
      <c r="Z164" s="552">
        <f>AF63</f>
        <v>3.3331724607048172</v>
      </c>
      <c r="AA164" s="553">
        <v>0</v>
      </c>
      <c r="AB164" s="553">
        <f>AA164-0.025</f>
        <v>-2.5000000000000001E-2</v>
      </c>
      <c r="AC164" s="553">
        <f t="shared" ref="AC164:AE164" si="74">AB164-0.025</f>
        <v>-0.05</v>
      </c>
      <c r="AD164" s="553">
        <f t="shared" si="74"/>
        <v>-7.5000000000000011E-2</v>
      </c>
      <c r="AE164" s="553">
        <f t="shared" si="74"/>
        <v>-0.1</v>
      </c>
    </row>
    <row r="165" spans="1:31" x14ac:dyDescent="0.3">
      <c r="B165" s="555">
        <v>0</v>
      </c>
      <c r="C165" s="556">
        <f t="dataTable" ref="C165:G169" dt2D="1" dtr="1" r1="D34" r2="D35" ca="1"/>
        <v>6.7185099485053739</v>
      </c>
      <c r="D165" s="556">
        <v>6.2811352387526842</v>
      </c>
      <c r="E165" s="556">
        <v>5.8437605290000079</v>
      </c>
      <c r="F165" s="556">
        <v>5.4063858192473297</v>
      </c>
      <c r="G165" s="556">
        <v>4.9690111094946445</v>
      </c>
      <c r="H165" s="550"/>
      <c r="I165" s="550"/>
      <c r="J165" s="555">
        <v>0</v>
      </c>
      <c r="K165" s="556">
        <f t="dataTable" ref="K165:O169" dt2D="1" dtr="1" r1="D34" r2="D35" ca="1"/>
        <v>7.7637447820922301</v>
      </c>
      <c r="L165" s="556">
        <v>7.3263700723395386</v>
      </c>
      <c r="M165" s="556">
        <v>6.8889953625868641</v>
      </c>
      <c r="N165" s="556">
        <v>6.4516206528341833</v>
      </c>
      <c r="O165" s="556">
        <v>6.0142459430815007</v>
      </c>
      <c r="P165" s="550"/>
      <c r="Q165" s="550"/>
      <c r="R165" s="555">
        <v>0</v>
      </c>
      <c r="S165" s="556">
        <f t="dataTable" ref="S165:W169" dt2D="1" dtr="1" r1="D34" r2="D35" ca="1"/>
        <v>2.6401735438103358</v>
      </c>
      <c r="T165" s="556">
        <v>2.5226830013379598</v>
      </c>
      <c r="U165" s="556">
        <v>2.4003348668905851</v>
      </c>
      <c r="V165" s="556">
        <v>2.2779867324432126</v>
      </c>
      <c r="W165" s="556">
        <v>2.1556385979958379</v>
      </c>
      <c r="X165" s="550"/>
      <c r="Y165" s="550"/>
      <c r="Z165" s="555">
        <v>0</v>
      </c>
      <c r="AA165" s="556">
        <f t="dataTable" ref="AA165:AE169" dt2D="1" dtr="1" r1="D34" r2="D35" ca="1"/>
        <v>3.3331724607048172</v>
      </c>
      <c r="AB165" s="556">
        <v>3.2108243262574399</v>
      </c>
      <c r="AC165" s="556">
        <v>3.0884761918100647</v>
      </c>
      <c r="AD165" s="556">
        <v>2.9661280573626927</v>
      </c>
      <c r="AE165" s="556">
        <v>2.843779922915318</v>
      </c>
    </row>
    <row r="166" spans="1:31" x14ac:dyDescent="0.3">
      <c r="B166" s="557">
        <f>B165+0.025</f>
        <v>2.5000000000000001E-2</v>
      </c>
      <c r="C166" s="556">
        <v>7.192090158705617</v>
      </c>
      <c r="D166" s="556">
        <v>6.7437810812091126</v>
      </c>
      <c r="E166" s="556">
        <v>6.2954720037126179</v>
      </c>
      <c r="F166" s="556">
        <v>5.8471629262161171</v>
      </c>
      <c r="G166" s="556">
        <v>5.3988538487196021</v>
      </c>
      <c r="H166" s="550"/>
      <c r="I166" s="550"/>
      <c r="J166" s="555">
        <f>J165+0.025</f>
        <v>2.5000000000000001E-2</v>
      </c>
      <c r="K166" s="556">
        <v>8.2373249922924732</v>
      </c>
      <c r="L166" s="556">
        <v>7.789015914795967</v>
      </c>
      <c r="M166" s="556">
        <v>7.340706837299475</v>
      </c>
      <c r="N166" s="556">
        <v>6.8923977598029733</v>
      </c>
      <c r="O166" s="556">
        <v>6.4440886823064583</v>
      </c>
      <c r="P166" s="550"/>
      <c r="Q166" s="550"/>
      <c r="R166" s="557">
        <f>R165+0.025</f>
        <v>2.5000000000000001E-2</v>
      </c>
      <c r="S166" s="556">
        <v>2.713186274887379</v>
      </c>
      <c r="T166" s="556">
        <v>2.6440696407678717</v>
      </c>
      <c r="U166" s="556">
        <v>2.5266934674388679</v>
      </c>
      <c r="V166" s="556">
        <v>2.4012866296303104</v>
      </c>
      <c r="W166" s="556">
        <v>2.2758797918217475</v>
      </c>
      <c r="X166" s="550"/>
      <c r="Y166" s="550"/>
      <c r="Z166" s="555">
        <f>Z165+0.025</f>
        <v>2.5000000000000001E-2</v>
      </c>
      <c r="AA166" s="556">
        <v>3.4656484679754684</v>
      </c>
      <c r="AB166" s="556">
        <v>3.3402416301669073</v>
      </c>
      <c r="AC166" s="556">
        <v>3.214834792358348</v>
      </c>
      <c r="AD166" s="556">
        <v>3.08942795454979</v>
      </c>
      <c r="AE166" s="556">
        <v>2.9640211167412276</v>
      </c>
    </row>
    <row r="167" spans="1:31" x14ac:dyDescent="0.3">
      <c r="B167" s="557">
        <f t="shared" ref="B167:B169" si="75">B166+0.025</f>
        <v>0.05</v>
      </c>
      <c r="C167" s="556">
        <v>7.6656703689058734</v>
      </c>
      <c r="D167" s="556">
        <v>7.2064269236655454</v>
      </c>
      <c r="E167" s="556">
        <v>6.7471834784252289</v>
      </c>
      <c r="F167" s="556">
        <v>6.2879400331849071</v>
      </c>
      <c r="G167" s="556">
        <v>5.828696587944588</v>
      </c>
      <c r="H167" s="550"/>
      <c r="I167" s="550"/>
      <c r="J167" s="557">
        <f t="shared" ref="J167:J169" si="76">J166+0.025</f>
        <v>0.05</v>
      </c>
      <c r="K167" s="556">
        <v>8.7109052024927305</v>
      </c>
      <c r="L167" s="556">
        <v>8.2516617572524016</v>
      </c>
      <c r="M167" s="556">
        <v>7.792418312012086</v>
      </c>
      <c r="N167" s="556">
        <v>7.3331748667717651</v>
      </c>
      <c r="O167" s="556">
        <v>6.8739314215314442</v>
      </c>
      <c r="P167" s="550"/>
      <c r="Q167" s="550"/>
      <c r="R167" s="557">
        <f t="shared" ref="R167:R169" si="77">R166+0.025</f>
        <v>0.05</v>
      </c>
      <c r="S167" s="556">
        <v>2.7861990059644222</v>
      </c>
      <c r="T167" s="556">
        <v>2.7153966002810237</v>
      </c>
      <c r="U167" s="556">
        <v>2.6445941945976279</v>
      </c>
      <c r="V167" s="556">
        <v>2.5245865268174064</v>
      </c>
      <c r="W167" s="556">
        <v>2.3961209856476624</v>
      </c>
      <c r="X167" s="550"/>
      <c r="Y167" s="550"/>
      <c r="Z167" s="557">
        <f t="shared" ref="Z167:Z169" si="78">Z166+0.025</f>
        <v>0.05</v>
      </c>
      <c r="AA167" s="556">
        <v>3.5981244752461219</v>
      </c>
      <c r="AB167" s="556">
        <v>3.4696589340763744</v>
      </c>
      <c r="AC167" s="556">
        <v>3.3411933929066335</v>
      </c>
      <c r="AD167" s="556">
        <v>3.2127278517368865</v>
      </c>
      <c r="AE167" s="556">
        <v>3.0842623105671421</v>
      </c>
    </row>
    <row r="168" spans="1:31" x14ac:dyDescent="0.3">
      <c r="B168" s="557">
        <f t="shared" si="75"/>
        <v>7.5000000000000011E-2</v>
      </c>
      <c r="C168" s="556">
        <v>8.1392505791061005</v>
      </c>
      <c r="D168" s="556">
        <v>7.6690727661219729</v>
      </c>
      <c r="E168" s="556">
        <v>7.1988949531378275</v>
      </c>
      <c r="F168" s="556">
        <v>6.7287171401537078</v>
      </c>
      <c r="G168" s="556">
        <v>6.2585393271695597</v>
      </c>
      <c r="H168" s="550"/>
      <c r="I168" s="550"/>
      <c r="J168" s="557">
        <f t="shared" si="76"/>
        <v>7.5000000000000011E-2</v>
      </c>
      <c r="K168" s="556">
        <v>9.1844854126929594</v>
      </c>
      <c r="L168" s="556">
        <v>8.71430759970883</v>
      </c>
      <c r="M168" s="556">
        <v>8.2441297867246828</v>
      </c>
      <c r="N168" s="556">
        <v>7.773951973740564</v>
      </c>
      <c r="O168" s="556">
        <v>7.3037741607564159</v>
      </c>
      <c r="P168" s="550"/>
      <c r="Q168" s="550"/>
      <c r="R168" s="557">
        <f t="shared" si="77"/>
        <v>7.5000000000000011E-2</v>
      </c>
      <c r="S168" s="556">
        <v>2.8592117370414623</v>
      </c>
      <c r="T168" s="556">
        <v>2.7867235597941753</v>
      </c>
      <c r="U168" s="556">
        <v>2.7142353825468888</v>
      </c>
      <c r="V168" s="556">
        <v>2.6417472052996036</v>
      </c>
      <c r="W168" s="556">
        <v>2.516362179473576</v>
      </c>
      <c r="X168" s="550"/>
      <c r="Y168" s="550"/>
      <c r="Z168" s="557">
        <f t="shared" si="78"/>
        <v>7.5000000000000011E-2</v>
      </c>
      <c r="AA168" s="556">
        <v>3.7306004825167705</v>
      </c>
      <c r="AB168" s="556">
        <v>3.5990762379858432</v>
      </c>
      <c r="AC168" s="556">
        <v>3.4675519934549133</v>
      </c>
      <c r="AD168" s="556">
        <v>3.3360277489239878</v>
      </c>
      <c r="AE168" s="556">
        <v>3.2045035043930561</v>
      </c>
    </row>
    <row r="169" spans="1:31" x14ac:dyDescent="0.3">
      <c r="B169" s="557">
        <f t="shared" si="75"/>
        <v>0.1</v>
      </c>
      <c r="C169" s="556">
        <v>8.6128307893063631</v>
      </c>
      <c r="D169" s="556">
        <v>8.1317186085784172</v>
      </c>
      <c r="E169" s="556">
        <v>7.65060642785045</v>
      </c>
      <c r="F169" s="556">
        <v>7.1694942471224978</v>
      </c>
      <c r="G169" s="556">
        <v>6.688382066394543</v>
      </c>
      <c r="H169" s="550"/>
      <c r="I169" s="550"/>
      <c r="J169" s="557">
        <f t="shared" si="76"/>
        <v>0.1</v>
      </c>
      <c r="K169" s="556">
        <v>9.6580656228932202</v>
      </c>
      <c r="L169" s="556">
        <v>9.1769534421652725</v>
      </c>
      <c r="M169" s="556">
        <v>8.6958412614373053</v>
      </c>
      <c r="N169" s="556">
        <v>8.214729080709354</v>
      </c>
      <c r="O169" s="556">
        <v>7.7336168999814001</v>
      </c>
      <c r="P169" s="550"/>
      <c r="Q169" s="550"/>
      <c r="R169" s="557">
        <f t="shared" si="77"/>
        <v>0.1</v>
      </c>
      <c r="S169" s="556">
        <v>2.9322244681185099</v>
      </c>
      <c r="T169" s="556">
        <v>2.8580505193073336</v>
      </c>
      <c r="U169" s="556">
        <v>2.7838765704961523</v>
      </c>
      <c r="V169" s="556">
        <v>2.7097026216849742</v>
      </c>
      <c r="W169" s="556">
        <v>2.6355286728737992</v>
      </c>
      <c r="X169" s="550"/>
      <c r="Y169" s="550"/>
      <c r="Z169" s="557">
        <f t="shared" si="78"/>
        <v>0.1</v>
      </c>
      <c r="AA169" s="556">
        <v>3.8630764897874257</v>
      </c>
      <c r="AB169" s="556">
        <v>3.728493541895316</v>
      </c>
      <c r="AC169" s="556">
        <v>3.5939105940031988</v>
      </c>
      <c r="AD169" s="556">
        <v>3.4593276461110865</v>
      </c>
      <c r="AE169" s="556">
        <v>3.3247446982189728</v>
      </c>
    </row>
    <row r="170" spans="1:31" collapsed="1" x14ac:dyDescent="0.3">
      <c r="B170" s="548"/>
      <c r="C170" s="488"/>
      <c r="D170" s="488"/>
      <c r="E170" s="488"/>
      <c r="F170" s="488"/>
      <c r="G170" s="488"/>
      <c r="J170" s="548"/>
      <c r="K170" s="488"/>
      <c r="L170" s="488"/>
      <c r="M170" s="488"/>
      <c r="N170" s="488"/>
      <c r="O170" s="488"/>
      <c r="R170" s="548"/>
      <c r="S170" s="488"/>
      <c r="T170" s="488"/>
      <c r="U170" s="488"/>
      <c r="V170" s="488"/>
      <c r="W170" s="488"/>
      <c r="Z170" s="548"/>
      <c r="AA170" s="488"/>
      <c r="AB170" s="488"/>
      <c r="AC170" s="488"/>
      <c r="AD170" s="488"/>
      <c r="AE170" s="488"/>
    </row>
    <row r="171" spans="1:31" collapsed="1" x14ac:dyDescent="0.3"/>
    <row r="172" spans="1:31" x14ac:dyDescent="0.3">
      <c r="A172" s="489" t="s">
        <v>727</v>
      </c>
      <c r="B172" s="2" t="s">
        <v>697</v>
      </c>
    </row>
    <row r="173" spans="1:31" x14ac:dyDescent="0.3">
      <c r="A173" s="489"/>
      <c r="B173" s="2"/>
    </row>
    <row r="174" spans="1:31" x14ac:dyDescent="0.3">
      <c r="B174" s="2" t="s">
        <v>700</v>
      </c>
    </row>
    <row r="176" spans="1:31" x14ac:dyDescent="0.3">
      <c r="A176" s="267"/>
      <c r="B176" s="549" t="s">
        <v>734</v>
      </c>
      <c r="C176" s="502"/>
      <c r="D176" s="502"/>
      <c r="E176" s="502"/>
      <c r="F176" s="502"/>
      <c r="G176" s="502"/>
      <c r="H176" s="502"/>
      <c r="I176" s="502"/>
      <c r="J176" s="502"/>
      <c r="K176" s="502"/>
      <c r="L176" s="502"/>
      <c r="M176" s="502"/>
      <c r="N176" s="502"/>
      <c r="O176" s="502"/>
      <c r="P176" s="502"/>
      <c r="Q176" s="502"/>
      <c r="R176" s="502"/>
      <c r="S176" s="502"/>
      <c r="T176" s="502"/>
      <c r="U176" s="502"/>
      <c r="V176" s="502"/>
      <c r="W176" s="502"/>
      <c r="X176" s="502"/>
      <c r="Y176" s="502"/>
      <c r="Z176" s="502"/>
      <c r="AA176" s="502"/>
      <c r="AB176" s="502"/>
      <c r="AC176" s="502"/>
      <c r="AD176" s="502"/>
      <c r="AE176" s="502"/>
    </row>
    <row r="177" spans="1:31" x14ac:dyDescent="0.3">
      <c r="B177" s="550"/>
      <c r="C177" s="550"/>
      <c r="D177" s="550"/>
      <c r="E177" s="550"/>
      <c r="F177" s="550"/>
      <c r="G177" s="550"/>
      <c r="H177" s="550"/>
      <c r="I177" s="550"/>
      <c r="J177" s="550"/>
      <c r="K177" s="550"/>
      <c r="L177" s="550"/>
      <c r="M177" s="550"/>
      <c r="N177" s="550"/>
      <c r="O177" s="550"/>
      <c r="P177" s="550"/>
      <c r="Q177" s="550"/>
      <c r="R177" s="550"/>
      <c r="S177" s="550"/>
      <c r="T177" s="550"/>
      <c r="U177" s="550"/>
      <c r="V177" s="550"/>
      <c r="W177" s="550"/>
      <c r="X177" s="550"/>
      <c r="Y177" s="550"/>
      <c r="Z177" s="550"/>
      <c r="AA177" s="550"/>
      <c r="AB177" s="550"/>
      <c r="AC177" s="550"/>
      <c r="AD177" s="550"/>
      <c r="AE177" s="550"/>
    </row>
    <row r="178" spans="1:31" s="2" customFormat="1" x14ac:dyDescent="0.3">
      <c r="B178" s="551" t="str">
        <f>B152</f>
        <v>[평균 DSCR(1)]</v>
      </c>
      <c r="C178" s="551"/>
      <c r="D178" s="551"/>
      <c r="E178" s="551"/>
      <c r="F178" s="551"/>
      <c r="G178" s="551"/>
      <c r="H178" s="551"/>
      <c r="I178" s="551"/>
      <c r="J178" s="551" t="str">
        <f>J152</f>
        <v>[평균 DSCR(2)]</v>
      </c>
      <c r="K178" s="551"/>
      <c r="L178" s="551"/>
      <c r="M178" s="551"/>
      <c r="N178" s="551"/>
      <c r="O178" s="551"/>
      <c r="P178" s="551"/>
      <c r="Q178" s="551"/>
      <c r="R178" s="551" t="str">
        <f>R152</f>
        <v>[최소 DSCR(1)]</v>
      </c>
      <c r="S178" s="551"/>
      <c r="T178" s="551"/>
      <c r="U178" s="551"/>
      <c r="V178" s="551"/>
      <c r="W178" s="551"/>
      <c r="X178" s="551"/>
      <c r="Y178" s="551"/>
      <c r="Z178" s="551" t="str">
        <f>Z152</f>
        <v>[최소 DSCR(2)]</v>
      </c>
      <c r="AA178" s="551"/>
      <c r="AB178" s="551"/>
      <c r="AC178" s="551"/>
      <c r="AD178" s="551"/>
      <c r="AE178" s="551"/>
    </row>
    <row r="179" spans="1:31" x14ac:dyDescent="0.3">
      <c r="B179" s="552">
        <f>AE60</f>
        <v>1.8590041449197998</v>
      </c>
      <c r="C179" s="553">
        <v>0</v>
      </c>
      <c r="D179" s="553">
        <f>C179-0.025</f>
        <v>-2.5000000000000001E-2</v>
      </c>
      <c r="E179" s="553">
        <f t="shared" ref="E179:G179" si="79">D179-0.025</f>
        <v>-0.05</v>
      </c>
      <c r="F179" s="553">
        <f t="shared" si="79"/>
        <v>-7.5000000000000011E-2</v>
      </c>
      <c r="G179" s="553">
        <f t="shared" si="79"/>
        <v>-0.1</v>
      </c>
      <c r="H179" s="550"/>
      <c r="I179" s="550"/>
      <c r="J179" s="552">
        <f>AE61</f>
        <v>2.904238978506656</v>
      </c>
      <c r="K179" s="553">
        <v>0</v>
      </c>
      <c r="L179" s="553">
        <f>K179-0.025</f>
        <v>-2.5000000000000001E-2</v>
      </c>
      <c r="M179" s="553">
        <f t="shared" ref="M179:O179" si="80">L179-0.025</f>
        <v>-0.05</v>
      </c>
      <c r="N179" s="553">
        <f t="shared" si="80"/>
        <v>-7.5000000000000011E-2</v>
      </c>
      <c r="O179" s="553">
        <f t="shared" si="80"/>
        <v>-0.1</v>
      </c>
      <c r="P179" s="550"/>
      <c r="Q179" s="550"/>
      <c r="R179" s="552">
        <f>AF60</f>
        <v>1.302922103896599</v>
      </c>
      <c r="S179" s="553">
        <v>0</v>
      </c>
      <c r="T179" s="553">
        <f>S179-0.025</f>
        <v>-2.5000000000000001E-2</v>
      </c>
      <c r="U179" s="553">
        <f t="shared" ref="U179:W179" si="81">T179-0.025</f>
        <v>-0.05</v>
      </c>
      <c r="V179" s="553">
        <f t="shared" si="81"/>
        <v>-7.5000000000000011E-2</v>
      </c>
      <c r="W179" s="553">
        <f t="shared" si="81"/>
        <v>-0.1</v>
      </c>
      <c r="X179" s="550"/>
      <c r="Y179" s="550"/>
      <c r="Z179" s="552">
        <f>AF61</f>
        <v>1.9910634288160789</v>
      </c>
      <c r="AA179" s="553">
        <v>0</v>
      </c>
      <c r="AB179" s="553">
        <f>AA179-0.025</f>
        <v>-2.5000000000000001E-2</v>
      </c>
      <c r="AC179" s="553">
        <f t="shared" ref="AC179:AE179" si="82">AB179-0.025</f>
        <v>-0.05</v>
      </c>
      <c r="AD179" s="553">
        <f t="shared" si="82"/>
        <v>-7.5000000000000011E-2</v>
      </c>
      <c r="AE179" s="553">
        <f t="shared" si="82"/>
        <v>-0.1</v>
      </c>
    </row>
    <row r="180" spans="1:31" x14ac:dyDescent="0.3">
      <c r="B180" s="555">
        <v>0</v>
      </c>
      <c r="C180" s="556">
        <f t="dataTable" ref="C180:G184" dt2D="1" dtr="1" r1="D34" r2="D36" ca="1"/>
        <v>1.8590041449197998</v>
      </c>
      <c r="D180" s="556">
        <v>1.7957268535580928</v>
      </c>
      <c r="E180" s="556">
        <v>1.7324495621963869</v>
      </c>
      <c r="F180" s="556">
        <v>1.6691722708346817</v>
      </c>
      <c r="G180" s="556">
        <v>1.6058949794729749</v>
      </c>
      <c r="H180" s="550"/>
      <c r="I180" s="550"/>
      <c r="J180" s="555">
        <v>0</v>
      </c>
      <c r="K180" s="556">
        <f t="dataTable" ref="K180:O184" dt2D="1" dtr="1" r1="D34" r2="D36" ca="1"/>
        <v>2.904238978506656</v>
      </c>
      <c r="L180" s="556">
        <v>2.8409616871449486</v>
      </c>
      <c r="M180" s="556">
        <v>2.7776843957832429</v>
      </c>
      <c r="N180" s="556">
        <v>2.7144071044215372</v>
      </c>
      <c r="O180" s="556">
        <v>2.6511298130598311</v>
      </c>
      <c r="P180" s="550"/>
      <c r="Q180" s="550"/>
      <c r="R180" s="555">
        <v>0</v>
      </c>
      <c r="S180" s="556">
        <f t="dataTable" ref="S180:W184" dt2D="1" dtr="1" r1="D34" r2="D36" ca="1"/>
        <v>1.302922103896599</v>
      </c>
      <c r="T180" s="556">
        <v>1.2600578169519527</v>
      </c>
      <c r="U180" s="556">
        <v>1.2171935300073076</v>
      </c>
      <c r="V180" s="556">
        <v>1.174329243062664</v>
      </c>
      <c r="W180" s="556">
        <v>1.1314649561180181</v>
      </c>
      <c r="X180" s="550"/>
      <c r="Y180" s="550"/>
      <c r="Z180" s="555">
        <v>0</v>
      </c>
      <c r="AA180" s="556">
        <f t="dataTable" ref="AA180:AE184" dt2D="1" dtr="1" r1="D34" r2="D36" ca="1"/>
        <v>1.9910634288160789</v>
      </c>
      <c r="AB180" s="556">
        <v>1.9481991418714326</v>
      </c>
      <c r="AC180" s="556">
        <v>1.9053348549267874</v>
      </c>
      <c r="AD180" s="556">
        <v>1.8624705679821438</v>
      </c>
      <c r="AE180" s="556">
        <v>1.8196062810374982</v>
      </c>
    </row>
    <row r="181" spans="1:31" x14ac:dyDescent="0.3">
      <c r="B181" s="557">
        <f>B180-0.025</f>
        <v>-2.5000000000000001E-2</v>
      </c>
      <c r="C181" s="556">
        <v>1.7558983814041065</v>
      </c>
      <c r="D181" s="556">
        <v>1.6950016716429503</v>
      </c>
      <c r="E181" s="556">
        <v>1.6341049618817953</v>
      </c>
      <c r="F181" s="556">
        <v>1.5732082521206407</v>
      </c>
      <c r="G181" s="556">
        <v>1.5123115423594851</v>
      </c>
      <c r="H181" s="550"/>
      <c r="I181" s="550"/>
      <c r="J181" s="557">
        <f>J180-0.025</f>
        <v>-2.5000000000000001E-2</v>
      </c>
      <c r="K181" s="556">
        <v>2.8011332149909625</v>
      </c>
      <c r="L181" s="556">
        <v>2.7402365052298068</v>
      </c>
      <c r="M181" s="556">
        <v>2.6793397954686511</v>
      </c>
      <c r="N181" s="556">
        <v>2.6184430857074972</v>
      </c>
      <c r="O181" s="556">
        <v>2.5575463759463415</v>
      </c>
      <c r="P181" s="550"/>
      <c r="Q181" s="550"/>
      <c r="R181" s="557">
        <f>R180-0.025</f>
        <v>-2.5000000000000001E-2</v>
      </c>
      <c r="S181" s="556">
        <v>1.2366184530822484</v>
      </c>
      <c r="T181" s="556">
        <v>1.195285033528483</v>
      </c>
      <c r="U181" s="556">
        <v>1.1404428375637723</v>
      </c>
      <c r="V181" s="556">
        <v>1.0772264039178827</v>
      </c>
      <c r="W181" s="556">
        <v>1.0140099702719938</v>
      </c>
      <c r="X181" s="550"/>
      <c r="Y181" s="550"/>
      <c r="Z181" s="557">
        <f>Z180-0.025</f>
        <v>-2.5000000000000001E-2</v>
      </c>
      <c r="AA181" s="556">
        <v>1.9247597780017285</v>
      </c>
      <c r="AB181" s="556">
        <v>1.8834263584479631</v>
      </c>
      <c r="AC181" s="556">
        <v>1.8420929388941982</v>
      </c>
      <c r="AD181" s="556">
        <v>1.8007595193404338</v>
      </c>
      <c r="AE181" s="556">
        <v>1.7594260997866684</v>
      </c>
    </row>
    <row r="182" spans="1:31" x14ac:dyDescent="0.3">
      <c r="B182" s="557">
        <f t="shared" ref="B182:B184" si="83">B181-0.025</f>
        <v>-0.05</v>
      </c>
      <c r="C182" s="556">
        <v>1.6527926178884131</v>
      </c>
      <c r="D182" s="556">
        <v>1.5942764897278072</v>
      </c>
      <c r="E182" s="556">
        <v>1.5357603615672035</v>
      </c>
      <c r="F182" s="556">
        <v>1.4772442334065994</v>
      </c>
      <c r="G182" s="556">
        <v>1.4187281052459944</v>
      </c>
      <c r="H182" s="550"/>
      <c r="I182" s="550"/>
      <c r="J182" s="557">
        <f t="shared" ref="J182:J184" si="84">J181-0.025</f>
        <v>-0.05</v>
      </c>
      <c r="K182" s="556">
        <v>2.6980274514752693</v>
      </c>
      <c r="L182" s="556">
        <v>2.6395113233146641</v>
      </c>
      <c r="M182" s="556">
        <v>2.5809951951540597</v>
      </c>
      <c r="N182" s="556">
        <v>2.5224790669934558</v>
      </c>
      <c r="O182" s="556">
        <v>2.4639629388328506</v>
      </c>
      <c r="P182" s="550"/>
      <c r="Q182" s="550"/>
      <c r="R182" s="557">
        <f t="shared" ref="R182:R184" si="85">R181-0.025</f>
        <v>-0.05</v>
      </c>
      <c r="S182" s="556">
        <v>1.0843438771629454</v>
      </c>
      <c r="T182" s="556">
        <v>1.0253418724267802</v>
      </c>
      <c r="U182" s="556">
        <v>0.96633986769061653</v>
      </c>
      <c r="V182" s="556">
        <v>0.90733786295445429</v>
      </c>
      <c r="W182" s="556">
        <v>0.84833585821829061</v>
      </c>
      <c r="X182" s="550"/>
      <c r="Y182" s="550"/>
      <c r="Z182" s="557">
        <f t="shared" ref="Z182:Z184" si="86">Z181-0.025</f>
        <v>-0.05</v>
      </c>
      <c r="AA182" s="556">
        <v>1.8584561271873785</v>
      </c>
      <c r="AB182" s="556">
        <v>1.818653575024493</v>
      </c>
      <c r="AC182" s="556">
        <v>1.7788510228616077</v>
      </c>
      <c r="AD182" s="556">
        <v>1.7390484706987237</v>
      </c>
      <c r="AE182" s="556">
        <v>1.6992459185358391</v>
      </c>
    </row>
    <row r="183" spans="1:31" x14ac:dyDescent="0.3">
      <c r="B183" s="557">
        <f t="shared" si="83"/>
        <v>-7.5000000000000011E-2</v>
      </c>
      <c r="C183" s="556">
        <v>1.5496868543727211</v>
      </c>
      <c r="D183" s="556">
        <v>1.4935513078126657</v>
      </c>
      <c r="E183" s="556">
        <v>1.4374157612526117</v>
      </c>
      <c r="F183" s="556">
        <v>1.3812802146925589</v>
      </c>
      <c r="G183" s="556">
        <v>1.325144668132505</v>
      </c>
      <c r="H183" s="550"/>
      <c r="I183" s="550"/>
      <c r="J183" s="557">
        <f t="shared" si="84"/>
        <v>-7.5000000000000011E-2</v>
      </c>
      <c r="K183" s="556">
        <v>2.5949216879595771</v>
      </c>
      <c r="L183" s="556">
        <v>2.5387861413995219</v>
      </c>
      <c r="M183" s="556">
        <v>2.4826505948394684</v>
      </c>
      <c r="N183" s="556">
        <v>2.4265150482794153</v>
      </c>
      <c r="O183" s="556">
        <v>2.370379501719361</v>
      </c>
      <c r="P183" s="550"/>
      <c r="Q183" s="550"/>
      <c r="R183" s="557">
        <f t="shared" si="85"/>
        <v>-7.5000000000000011E-2</v>
      </c>
      <c r="S183" s="556">
        <v>0.90181204947033822</v>
      </c>
      <c r="T183" s="556">
        <v>0.84702447364389888</v>
      </c>
      <c r="U183" s="556">
        <v>0.79223689781746098</v>
      </c>
      <c r="V183" s="556">
        <v>0.73744932199102375</v>
      </c>
      <c r="W183" s="556">
        <v>0.68266174616458586</v>
      </c>
      <c r="X183" s="550"/>
      <c r="Y183" s="550"/>
      <c r="Z183" s="557">
        <f t="shared" si="86"/>
        <v>-7.5000000000000011E-2</v>
      </c>
      <c r="AA183" s="556">
        <v>1.7921524763730281</v>
      </c>
      <c r="AB183" s="556">
        <v>1.7538807916010233</v>
      </c>
      <c r="AC183" s="556">
        <v>1.7156091068290189</v>
      </c>
      <c r="AD183" s="556">
        <v>1.6773374220570145</v>
      </c>
      <c r="AE183" s="556">
        <v>1.6390657372850101</v>
      </c>
    </row>
    <row r="184" spans="1:31" x14ac:dyDescent="0.3">
      <c r="B184" s="557">
        <f t="shared" si="83"/>
        <v>-0.1</v>
      </c>
      <c r="C184" s="556">
        <v>1.4465810908570274</v>
      </c>
      <c r="D184" s="556">
        <v>1.3928261258975243</v>
      </c>
      <c r="E184" s="556">
        <v>1.339071160938021</v>
      </c>
      <c r="F184" s="556">
        <v>1.2853161959785184</v>
      </c>
      <c r="G184" s="556">
        <v>1.2315612310190143</v>
      </c>
      <c r="H184" s="550"/>
      <c r="I184" s="550"/>
      <c r="J184" s="557">
        <f t="shared" si="84"/>
        <v>-0.1</v>
      </c>
      <c r="K184" s="556">
        <v>2.491815924443884</v>
      </c>
      <c r="L184" s="556">
        <v>2.4380609594843805</v>
      </c>
      <c r="M184" s="556">
        <v>2.384305994524877</v>
      </c>
      <c r="N184" s="556">
        <v>2.3305510295653749</v>
      </c>
      <c r="O184" s="556">
        <v>2.2767960646058705</v>
      </c>
      <c r="P184" s="550"/>
      <c r="Q184" s="550"/>
      <c r="R184" s="557">
        <f t="shared" si="85"/>
        <v>-0.1</v>
      </c>
      <c r="S184" s="556">
        <v>0.71928022177773021</v>
      </c>
      <c r="T184" s="556">
        <v>0.66870707486101744</v>
      </c>
      <c r="U184" s="556">
        <v>0.61813392794430611</v>
      </c>
      <c r="V184" s="556">
        <v>0.56756078102759477</v>
      </c>
      <c r="W184" s="556">
        <v>0.51698763411088344</v>
      </c>
      <c r="X184" s="550"/>
      <c r="Y184" s="550"/>
      <c r="Z184" s="557">
        <f t="shared" si="86"/>
        <v>-0.1</v>
      </c>
      <c r="AA184" s="556">
        <v>1.7258488255586784</v>
      </c>
      <c r="AB184" s="556">
        <v>1.6891080081775531</v>
      </c>
      <c r="AC184" s="556">
        <v>1.652367190796429</v>
      </c>
      <c r="AD184" s="556">
        <v>1.6156263734153045</v>
      </c>
      <c r="AE184" s="556">
        <v>1.578885556034181</v>
      </c>
    </row>
    <row r="185" spans="1:31" x14ac:dyDescent="0.3">
      <c r="B185" s="548"/>
      <c r="C185" s="488"/>
      <c r="D185" s="488"/>
      <c r="E185" s="488"/>
      <c r="F185" s="488"/>
      <c r="G185" s="488"/>
      <c r="J185" s="548"/>
      <c r="K185" s="488"/>
      <c r="L185" s="488"/>
      <c r="M185" s="488"/>
      <c r="N185" s="488"/>
      <c r="O185" s="488"/>
      <c r="R185" s="548"/>
      <c r="S185" s="488"/>
      <c r="T185" s="488"/>
      <c r="U185" s="488"/>
      <c r="V185" s="488"/>
      <c r="W185" s="488"/>
      <c r="Z185" s="548"/>
      <c r="AA185" s="488"/>
      <c r="AB185" s="488"/>
      <c r="AC185" s="488"/>
      <c r="AD185" s="488"/>
      <c r="AE185" s="488"/>
    </row>
    <row r="186" spans="1:31" x14ac:dyDescent="0.3">
      <c r="B186" s="548"/>
      <c r="C186" s="488"/>
      <c r="D186" s="488"/>
      <c r="E186" s="488"/>
      <c r="F186" s="488"/>
      <c r="G186" s="488"/>
      <c r="J186" s="548"/>
      <c r="K186" s="488"/>
      <c r="L186" s="488"/>
      <c r="M186" s="488"/>
      <c r="N186" s="488"/>
      <c r="O186" s="488"/>
      <c r="R186" s="548"/>
      <c r="S186" s="488"/>
      <c r="T186" s="488"/>
      <c r="U186" s="488"/>
      <c r="V186" s="488"/>
      <c r="W186" s="488"/>
      <c r="Z186" s="548"/>
      <c r="AA186" s="488"/>
      <c r="AB186" s="488"/>
      <c r="AC186" s="488"/>
      <c r="AD186" s="488"/>
      <c r="AE186" s="488"/>
    </row>
    <row r="187" spans="1:31" x14ac:dyDescent="0.3">
      <c r="B187" s="549" t="s">
        <v>735</v>
      </c>
      <c r="C187" s="502"/>
      <c r="D187" s="502"/>
      <c r="E187" s="502"/>
      <c r="F187" s="502"/>
      <c r="G187" s="502"/>
      <c r="H187" s="502"/>
      <c r="I187" s="502"/>
      <c r="J187" s="502"/>
      <c r="K187" s="502"/>
      <c r="L187" s="502"/>
      <c r="M187" s="502"/>
      <c r="N187" s="502"/>
      <c r="O187" s="502"/>
      <c r="P187" s="502"/>
      <c r="Q187" s="502"/>
      <c r="R187" s="502"/>
      <c r="S187" s="502"/>
      <c r="T187" s="502"/>
      <c r="U187" s="502"/>
      <c r="V187" s="502"/>
      <c r="W187" s="502"/>
      <c r="X187" s="502"/>
      <c r="Y187" s="502"/>
      <c r="Z187" s="502"/>
      <c r="AA187" s="502"/>
      <c r="AB187" s="502"/>
      <c r="AC187" s="502"/>
      <c r="AD187" s="502"/>
      <c r="AE187" s="502"/>
    </row>
    <row r="188" spans="1:31" x14ac:dyDescent="0.3">
      <c r="B188" s="558"/>
      <c r="C188" s="550"/>
      <c r="D188" s="550"/>
      <c r="E188" s="550"/>
      <c r="F188" s="550"/>
      <c r="G188" s="550"/>
      <c r="H188" s="550"/>
      <c r="I188" s="550"/>
      <c r="J188" s="550"/>
      <c r="K188" s="550"/>
      <c r="L188" s="550"/>
      <c r="M188" s="550"/>
      <c r="N188" s="550"/>
      <c r="O188" s="550"/>
      <c r="P188" s="550"/>
      <c r="Q188" s="550"/>
      <c r="R188" s="550"/>
      <c r="S188" s="550"/>
      <c r="T188" s="550"/>
      <c r="U188" s="550"/>
      <c r="V188" s="550"/>
      <c r="W188" s="550"/>
      <c r="X188" s="550"/>
      <c r="Y188" s="550"/>
      <c r="Z188" s="550"/>
      <c r="AA188" s="550"/>
      <c r="AB188" s="550"/>
      <c r="AC188" s="550"/>
      <c r="AD188" s="550"/>
      <c r="AE188" s="550"/>
    </row>
    <row r="189" spans="1:31" s="2" customFormat="1" x14ac:dyDescent="0.3">
      <c r="A189" s="489"/>
      <c r="B189" s="551" t="s">
        <v>691</v>
      </c>
      <c r="C189" s="551"/>
      <c r="D189" s="551"/>
      <c r="E189" s="551"/>
      <c r="F189" s="551"/>
      <c r="G189" s="551"/>
      <c r="H189" s="551"/>
      <c r="I189" s="551"/>
      <c r="J189" s="551" t="s">
        <v>693</v>
      </c>
      <c r="K189" s="551"/>
      <c r="L189" s="551"/>
      <c r="M189" s="551"/>
      <c r="N189" s="551"/>
      <c r="O189" s="551"/>
      <c r="P189" s="551"/>
      <c r="Q189" s="551"/>
      <c r="R189" s="551" t="s">
        <v>692</v>
      </c>
      <c r="S189" s="551"/>
      <c r="T189" s="551"/>
      <c r="U189" s="551"/>
      <c r="V189" s="551"/>
      <c r="W189" s="551"/>
      <c r="X189" s="551"/>
      <c r="Y189" s="551"/>
      <c r="Z189" s="551" t="s">
        <v>694</v>
      </c>
      <c r="AA189" s="551"/>
      <c r="AB189" s="551"/>
      <c r="AC189" s="551"/>
      <c r="AD189" s="551"/>
      <c r="AE189" s="551"/>
    </row>
    <row r="190" spans="1:31" x14ac:dyDescent="0.3">
      <c r="A190" s="267"/>
      <c r="B190" s="552">
        <f>AE62</f>
        <v>6.7185099485053739</v>
      </c>
      <c r="C190" s="553">
        <v>0</v>
      </c>
      <c r="D190" s="553">
        <f>C190-0.025</f>
        <v>-2.5000000000000001E-2</v>
      </c>
      <c r="E190" s="553">
        <f t="shared" ref="E190:G190" si="87">D190-0.025</f>
        <v>-0.05</v>
      </c>
      <c r="F190" s="553">
        <f t="shared" si="87"/>
        <v>-7.5000000000000011E-2</v>
      </c>
      <c r="G190" s="553">
        <f t="shared" si="87"/>
        <v>-0.1</v>
      </c>
      <c r="H190" s="550"/>
      <c r="I190" s="550"/>
      <c r="J190" s="552">
        <f>AE63</f>
        <v>7.7637447820922301</v>
      </c>
      <c r="K190" s="553">
        <v>0</v>
      </c>
      <c r="L190" s="553">
        <f>K190-0.025</f>
        <v>-2.5000000000000001E-2</v>
      </c>
      <c r="M190" s="553">
        <f t="shared" ref="M190:O190" si="88">L190-0.025</f>
        <v>-0.05</v>
      </c>
      <c r="N190" s="553">
        <f t="shared" si="88"/>
        <v>-7.5000000000000011E-2</v>
      </c>
      <c r="O190" s="553">
        <f t="shared" si="88"/>
        <v>-0.1</v>
      </c>
      <c r="P190" s="550"/>
      <c r="Q190" s="550"/>
      <c r="R190" s="554">
        <f>AF62</f>
        <v>2.6401735438103358</v>
      </c>
      <c r="S190" s="553">
        <v>0</v>
      </c>
      <c r="T190" s="553">
        <f>S190-0.025</f>
        <v>-2.5000000000000001E-2</v>
      </c>
      <c r="U190" s="553">
        <f t="shared" ref="U190:W190" si="89">T190-0.025</f>
        <v>-0.05</v>
      </c>
      <c r="V190" s="553">
        <f t="shared" si="89"/>
        <v>-7.5000000000000011E-2</v>
      </c>
      <c r="W190" s="553">
        <f t="shared" si="89"/>
        <v>-0.1</v>
      </c>
      <c r="X190" s="550"/>
      <c r="Y190" s="550"/>
      <c r="Z190" s="552">
        <f>AF63</f>
        <v>3.3331724607048172</v>
      </c>
      <c r="AA190" s="553">
        <v>0</v>
      </c>
      <c r="AB190" s="553">
        <f>AA190-0.025</f>
        <v>-2.5000000000000001E-2</v>
      </c>
      <c r="AC190" s="553">
        <f t="shared" ref="AC190:AE190" si="90">AB190-0.025</f>
        <v>-0.05</v>
      </c>
      <c r="AD190" s="553">
        <f t="shared" si="90"/>
        <v>-7.5000000000000011E-2</v>
      </c>
      <c r="AE190" s="553">
        <f t="shared" si="90"/>
        <v>-0.1</v>
      </c>
    </row>
    <row r="191" spans="1:31" x14ac:dyDescent="0.3">
      <c r="B191" s="555">
        <v>0</v>
      </c>
      <c r="C191" s="556">
        <f t="dataTable" ref="C191:G195" dt2D="1" dtr="1" r1="D34" r2="D36" ca="1"/>
        <v>6.7185099485053739</v>
      </c>
      <c r="D191" s="556">
        <v>6.2811352387526842</v>
      </c>
      <c r="E191" s="556">
        <v>5.8437605290000079</v>
      </c>
      <c r="F191" s="556">
        <v>5.4063858192473297</v>
      </c>
      <c r="G191" s="556">
        <v>4.9690111094946445</v>
      </c>
      <c r="H191" s="550"/>
      <c r="I191" s="550"/>
      <c r="J191" s="555">
        <v>0</v>
      </c>
      <c r="K191" s="556">
        <f t="dataTable" ref="K191:O195" dt2D="1" dtr="1" r1="D34" r2="D36" ca="1"/>
        <v>7.7637447820922301</v>
      </c>
      <c r="L191" s="556">
        <v>7.3263700723395386</v>
      </c>
      <c r="M191" s="556">
        <v>6.8889953625868641</v>
      </c>
      <c r="N191" s="556">
        <v>6.4516206528341833</v>
      </c>
      <c r="O191" s="556">
        <v>6.0142459430815007</v>
      </c>
      <c r="P191" s="550"/>
      <c r="Q191" s="550"/>
      <c r="R191" s="555">
        <v>0</v>
      </c>
      <c r="S191" s="556">
        <f t="dataTable" ref="S191:W195" dt2D="1" dtr="1" r1="D34" r2="D36" ca="1"/>
        <v>2.6401735438103358</v>
      </c>
      <c r="T191" s="556">
        <v>2.5226830013379598</v>
      </c>
      <c r="U191" s="556">
        <v>2.4003348668905851</v>
      </c>
      <c r="V191" s="556">
        <v>2.2779867324432126</v>
      </c>
      <c r="W191" s="556">
        <v>2.1556385979958379</v>
      </c>
      <c r="X191" s="550"/>
      <c r="Y191" s="550"/>
      <c r="Z191" s="555">
        <v>0</v>
      </c>
      <c r="AA191" s="556">
        <f t="dataTable" ref="AA191:AE195" dt2D="1" dtr="1" r1="D34" r2="D36" ca="1"/>
        <v>3.3331724607048172</v>
      </c>
      <c r="AB191" s="556">
        <v>3.2108243262574399</v>
      </c>
      <c r="AC191" s="556">
        <v>3.0884761918100647</v>
      </c>
      <c r="AD191" s="556">
        <v>2.9661280573626927</v>
      </c>
      <c r="AE191" s="556">
        <v>2.843779922915318</v>
      </c>
    </row>
    <row r="192" spans="1:31" x14ac:dyDescent="0.3">
      <c r="B192" s="557">
        <f>B191+0.025</f>
        <v>2.5000000000000001E-2</v>
      </c>
      <c r="C192" s="556">
        <v>7.4244089443783752</v>
      </c>
      <c r="D192" s="556">
        <v>6.9707359201171437</v>
      </c>
      <c r="E192" s="556">
        <v>6.5170628958559158</v>
      </c>
      <c r="F192" s="556">
        <v>6.0633898715946906</v>
      </c>
      <c r="G192" s="556">
        <v>5.6097168473334706</v>
      </c>
      <c r="H192" s="550"/>
      <c r="I192" s="550"/>
      <c r="J192" s="555">
        <f>J191+0.025</f>
        <v>2.5000000000000001E-2</v>
      </c>
      <c r="K192" s="556">
        <v>8.4696437779652314</v>
      </c>
      <c r="L192" s="556">
        <v>8.0159707537039999</v>
      </c>
      <c r="M192" s="556">
        <v>7.562297729442772</v>
      </c>
      <c r="N192" s="556">
        <v>7.1086247051815468</v>
      </c>
      <c r="O192" s="556">
        <v>6.654951680920326</v>
      </c>
      <c r="P192" s="550"/>
      <c r="Q192" s="550"/>
      <c r="R192" s="557">
        <f>R191+0.025</f>
        <v>2.5000000000000001E-2</v>
      </c>
      <c r="S192" s="556">
        <v>2.8227053715029409</v>
      </c>
      <c r="T192" s="556">
        <v>2.7490670859764239</v>
      </c>
      <c r="U192" s="556">
        <v>2.62136849421241</v>
      </c>
      <c r="V192" s="556">
        <v>2.4936699024483944</v>
      </c>
      <c r="W192" s="556">
        <v>2.36597131068438</v>
      </c>
      <c r="X192" s="550"/>
      <c r="Y192" s="550"/>
      <c r="Z192" s="555">
        <f>Z191+0.025</f>
        <v>2.5000000000000001E-2</v>
      </c>
      <c r="AA192" s="556">
        <v>3.5649070026599206</v>
      </c>
      <c r="AB192" s="556">
        <v>3.437208410895904</v>
      </c>
      <c r="AC192" s="556">
        <v>3.3095098191318901</v>
      </c>
      <c r="AD192" s="556">
        <v>3.1818112273678745</v>
      </c>
      <c r="AE192" s="556">
        <v>3.0541126356038601</v>
      </c>
    </row>
    <row r="193" spans="1:31" x14ac:dyDescent="0.3">
      <c r="B193" s="557">
        <f t="shared" ref="B193:B195" si="91">B192+0.025</f>
        <v>0.05</v>
      </c>
      <c r="C193" s="556">
        <v>8.1303079402513792</v>
      </c>
      <c r="D193" s="556">
        <v>7.6603366014816023</v>
      </c>
      <c r="E193" s="556">
        <v>7.1903652627118282</v>
      </c>
      <c r="F193" s="556">
        <v>6.7203939239420594</v>
      </c>
      <c r="G193" s="556">
        <v>6.2504225851722977</v>
      </c>
      <c r="H193" s="550"/>
      <c r="I193" s="550"/>
      <c r="J193" s="557">
        <f t="shared" ref="J193:J195" si="92">J192+0.025</f>
        <v>0.05</v>
      </c>
      <c r="K193" s="556">
        <v>9.1755427738382362</v>
      </c>
      <c r="L193" s="556">
        <v>8.7055714350684585</v>
      </c>
      <c r="M193" s="556">
        <v>8.2356000962986862</v>
      </c>
      <c r="N193" s="556">
        <v>7.7656287575289173</v>
      </c>
      <c r="O193" s="556">
        <v>7.295657418759153</v>
      </c>
      <c r="P193" s="550"/>
      <c r="Q193" s="550"/>
      <c r="R193" s="557">
        <f t="shared" ref="R193:R195" si="93">R192+0.025</f>
        <v>0.05</v>
      </c>
      <c r="S193" s="556">
        <v>3.00523719919555</v>
      </c>
      <c r="T193" s="556">
        <v>2.9293774788204825</v>
      </c>
      <c r="U193" s="556">
        <v>2.8424021215342337</v>
      </c>
      <c r="V193" s="556">
        <v>2.7093530724535784</v>
      </c>
      <c r="W193" s="556">
        <v>2.5763040233729231</v>
      </c>
      <c r="X193" s="550"/>
      <c r="Y193" s="550"/>
      <c r="Z193" s="557">
        <f t="shared" ref="Z193:Z195" si="94">Z192+0.025</f>
        <v>0.05</v>
      </c>
      <c r="AA193" s="556">
        <v>3.7966415446150257</v>
      </c>
      <c r="AB193" s="556">
        <v>3.6635924955343686</v>
      </c>
      <c r="AC193" s="556">
        <v>3.5305434464537133</v>
      </c>
      <c r="AD193" s="556">
        <v>3.3974943973730585</v>
      </c>
      <c r="AE193" s="556">
        <v>3.2644453482924032</v>
      </c>
    </row>
    <row r="194" spans="1:31" x14ac:dyDescent="0.3">
      <c r="B194" s="557">
        <f t="shared" si="91"/>
        <v>7.5000000000000011E-2</v>
      </c>
      <c r="C194" s="556">
        <v>8.8362069361243769</v>
      </c>
      <c r="D194" s="556">
        <v>8.3499372828460512</v>
      </c>
      <c r="E194" s="556">
        <v>7.8636676295677397</v>
      </c>
      <c r="F194" s="556">
        <v>7.3773979762894184</v>
      </c>
      <c r="G194" s="556">
        <v>6.8911283230111087</v>
      </c>
      <c r="H194" s="550"/>
      <c r="I194" s="550"/>
      <c r="J194" s="557">
        <f t="shared" si="92"/>
        <v>7.5000000000000011E-2</v>
      </c>
      <c r="K194" s="556">
        <v>9.8814417697112358</v>
      </c>
      <c r="L194" s="556">
        <v>9.3951721164329065</v>
      </c>
      <c r="M194" s="556">
        <v>8.908902463154595</v>
      </c>
      <c r="N194" s="556">
        <v>8.4226328098762746</v>
      </c>
      <c r="O194" s="556">
        <v>7.9363631565979649</v>
      </c>
      <c r="P194" s="550"/>
      <c r="Q194" s="550"/>
      <c r="R194" s="557">
        <f t="shared" si="93"/>
        <v>7.5000000000000011E-2</v>
      </c>
      <c r="S194" s="556">
        <v>3.1877690268881582</v>
      </c>
      <c r="T194" s="556">
        <v>3.1076948776033633</v>
      </c>
      <c r="U194" s="556">
        <v>3.0276207283185679</v>
      </c>
      <c r="V194" s="556">
        <v>2.9250362424587597</v>
      </c>
      <c r="W194" s="556">
        <v>2.7866367360614639</v>
      </c>
      <c r="X194" s="550"/>
      <c r="Y194" s="550"/>
      <c r="Z194" s="557">
        <f t="shared" si="94"/>
        <v>7.5000000000000011E-2</v>
      </c>
      <c r="AA194" s="556">
        <v>4.0283760865701295</v>
      </c>
      <c r="AB194" s="556">
        <v>3.889976580172831</v>
      </c>
      <c r="AC194" s="556">
        <v>3.7515770737755361</v>
      </c>
      <c r="AD194" s="556">
        <v>3.6131775673782398</v>
      </c>
      <c r="AE194" s="556">
        <v>3.474778060980944</v>
      </c>
    </row>
    <row r="195" spans="1:31" x14ac:dyDescent="0.3">
      <c r="B195" s="557">
        <f t="shared" si="91"/>
        <v>0.1</v>
      </c>
      <c r="C195" s="556">
        <v>9.5421059319973853</v>
      </c>
      <c r="D195" s="556">
        <v>9.0395379642105169</v>
      </c>
      <c r="E195" s="556">
        <v>8.5369699964236521</v>
      </c>
      <c r="F195" s="556">
        <v>8.0344020286367908</v>
      </c>
      <c r="G195" s="556">
        <v>7.5318340608499286</v>
      </c>
      <c r="H195" s="550"/>
      <c r="I195" s="550"/>
      <c r="J195" s="557">
        <f t="shared" si="92"/>
        <v>0.1</v>
      </c>
      <c r="K195" s="556">
        <v>10.587340765584241</v>
      </c>
      <c r="L195" s="556">
        <v>10.08477279779737</v>
      </c>
      <c r="M195" s="556">
        <v>9.5822048300105074</v>
      </c>
      <c r="N195" s="556">
        <v>9.0796368622236461</v>
      </c>
      <c r="O195" s="556">
        <v>8.5770688944367848</v>
      </c>
      <c r="P195" s="550"/>
      <c r="Q195" s="550"/>
      <c r="R195" s="557">
        <f t="shared" si="93"/>
        <v>0.1</v>
      </c>
      <c r="S195" s="556">
        <v>3.3703008545807647</v>
      </c>
      <c r="T195" s="556">
        <v>3.2860122763862423</v>
      </c>
      <c r="U195" s="556">
        <v>3.201723698191723</v>
      </c>
      <c r="V195" s="556">
        <v>3.1174351199972063</v>
      </c>
      <c r="W195" s="556">
        <v>2.9969694487500056</v>
      </c>
      <c r="X195" s="550"/>
      <c r="Y195" s="550"/>
      <c r="Z195" s="557">
        <f t="shared" si="94"/>
        <v>0.1</v>
      </c>
      <c r="AA195" s="556">
        <v>4.2601106285252346</v>
      </c>
      <c r="AB195" s="556">
        <v>4.1163606648112943</v>
      </c>
      <c r="AC195" s="556">
        <v>3.9726107010973575</v>
      </c>
      <c r="AD195" s="556">
        <v>3.828860737383422</v>
      </c>
      <c r="AE195" s="556">
        <v>3.6851107736694857</v>
      </c>
    </row>
    <row r="196" spans="1:31" x14ac:dyDescent="0.3">
      <c r="B196" s="548"/>
      <c r="C196" s="488"/>
      <c r="D196" s="488"/>
      <c r="E196" s="488"/>
      <c r="F196" s="488"/>
      <c r="G196" s="488"/>
      <c r="J196" s="548"/>
      <c r="K196" s="488"/>
      <c r="L196" s="488"/>
      <c r="M196" s="488"/>
      <c r="N196" s="488"/>
      <c r="O196" s="488"/>
      <c r="R196" s="548"/>
      <c r="S196" s="488"/>
      <c r="T196" s="488"/>
      <c r="U196" s="488"/>
      <c r="V196" s="488"/>
      <c r="W196" s="488"/>
      <c r="Z196" s="548"/>
      <c r="AA196" s="488"/>
      <c r="AB196" s="488"/>
      <c r="AC196" s="488"/>
      <c r="AD196" s="488"/>
      <c r="AE196" s="488"/>
    </row>
    <row r="197" spans="1:31" x14ac:dyDescent="0.3">
      <c r="B197" s="548"/>
      <c r="C197" s="488"/>
      <c r="D197" s="488"/>
      <c r="E197" s="488"/>
      <c r="F197" s="488"/>
      <c r="G197" s="488"/>
      <c r="J197" s="548"/>
      <c r="K197" s="488"/>
      <c r="L197" s="488"/>
      <c r="M197" s="488"/>
      <c r="N197" s="488"/>
      <c r="O197" s="488"/>
      <c r="R197" s="548"/>
      <c r="S197" s="488"/>
      <c r="T197" s="488"/>
      <c r="U197" s="488"/>
      <c r="V197" s="488"/>
      <c r="W197" s="488"/>
      <c r="Z197" s="548"/>
      <c r="AA197" s="488"/>
      <c r="AB197" s="488"/>
      <c r="AC197" s="488"/>
      <c r="AD197" s="488"/>
      <c r="AE197" s="488"/>
    </row>
    <row r="199" spans="1:31" x14ac:dyDescent="0.3">
      <c r="A199" s="489" t="s">
        <v>728</v>
      </c>
      <c r="B199" s="2" t="s">
        <v>698</v>
      </c>
    </row>
    <row r="200" spans="1:31" x14ac:dyDescent="0.3">
      <c r="A200" s="489"/>
      <c r="B200" s="2"/>
    </row>
    <row r="201" spans="1:31" x14ac:dyDescent="0.3">
      <c r="B201" s="2" t="s">
        <v>701</v>
      </c>
    </row>
    <row r="203" spans="1:31" x14ac:dyDescent="0.3">
      <c r="A203" s="267"/>
      <c r="B203" s="549" t="s">
        <v>734</v>
      </c>
      <c r="C203" s="502"/>
      <c r="D203" s="502"/>
      <c r="E203" s="502"/>
      <c r="F203" s="502"/>
      <c r="G203" s="502"/>
      <c r="H203" s="502"/>
      <c r="I203" s="502"/>
      <c r="J203" s="502"/>
      <c r="K203" s="502"/>
      <c r="L203" s="502"/>
      <c r="M203" s="502"/>
      <c r="N203" s="502"/>
      <c r="O203" s="502"/>
      <c r="P203" s="502"/>
      <c r="Q203" s="502"/>
      <c r="R203" s="502"/>
      <c r="S203" s="502"/>
      <c r="T203" s="502"/>
      <c r="U203" s="502"/>
      <c r="V203" s="502"/>
      <c r="W203" s="502"/>
      <c r="X203" s="502"/>
      <c r="Y203" s="502"/>
      <c r="Z203" s="502"/>
      <c r="AA203" s="502"/>
      <c r="AB203" s="502"/>
      <c r="AC203" s="502"/>
      <c r="AD203" s="502"/>
      <c r="AE203" s="502"/>
    </row>
    <row r="204" spans="1:31" x14ac:dyDescent="0.3">
      <c r="B204" s="550"/>
      <c r="C204" s="550"/>
      <c r="D204" s="550"/>
      <c r="E204" s="550"/>
      <c r="F204" s="550"/>
      <c r="G204" s="550"/>
      <c r="H204" s="550"/>
      <c r="I204" s="550"/>
      <c r="J204" s="550"/>
      <c r="K204" s="550"/>
      <c r="L204" s="550"/>
      <c r="M204" s="550"/>
      <c r="N204" s="550"/>
      <c r="O204" s="550"/>
      <c r="P204" s="550"/>
      <c r="Q204" s="550"/>
      <c r="R204" s="550"/>
      <c r="S204" s="550"/>
      <c r="T204" s="550"/>
      <c r="U204" s="550"/>
      <c r="V204" s="550"/>
      <c r="W204" s="550"/>
      <c r="X204" s="550"/>
      <c r="Y204" s="550"/>
      <c r="Z204" s="550"/>
      <c r="AA204" s="550"/>
      <c r="AB204" s="550"/>
      <c r="AC204" s="550"/>
      <c r="AD204" s="550"/>
      <c r="AE204" s="550"/>
    </row>
    <row r="205" spans="1:31" s="2" customFormat="1" x14ac:dyDescent="0.3">
      <c r="B205" s="551" t="str">
        <f>B178</f>
        <v>[평균 DSCR(1)]</v>
      </c>
      <c r="C205" s="551"/>
      <c r="D205" s="551"/>
      <c r="E205" s="551"/>
      <c r="F205" s="551"/>
      <c r="G205" s="551"/>
      <c r="H205" s="551"/>
      <c r="I205" s="551"/>
      <c r="J205" s="551" t="str">
        <f>J178</f>
        <v>[평균 DSCR(2)]</v>
      </c>
      <c r="K205" s="551"/>
      <c r="L205" s="551"/>
      <c r="M205" s="551"/>
      <c r="N205" s="551"/>
      <c r="O205" s="551"/>
      <c r="P205" s="551"/>
      <c r="Q205" s="551"/>
      <c r="R205" s="551" t="str">
        <f>R178</f>
        <v>[최소 DSCR(1)]</v>
      </c>
      <c r="S205" s="551"/>
      <c r="T205" s="551"/>
      <c r="U205" s="551"/>
      <c r="V205" s="551"/>
      <c r="W205" s="551"/>
      <c r="X205" s="551"/>
      <c r="Y205" s="551"/>
      <c r="Z205" s="551" t="str">
        <f>Z178</f>
        <v>[최소 DSCR(2)]</v>
      </c>
      <c r="AA205" s="551"/>
      <c r="AB205" s="551"/>
      <c r="AC205" s="551"/>
      <c r="AD205" s="551"/>
      <c r="AE205" s="551"/>
    </row>
    <row r="206" spans="1:31" x14ac:dyDescent="0.3">
      <c r="B206" s="552">
        <f>AE60</f>
        <v>1.8590041449197998</v>
      </c>
      <c r="C206" s="553">
        <v>0</v>
      </c>
      <c r="D206" s="553">
        <f>C206-0.025</f>
        <v>-2.5000000000000001E-2</v>
      </c>
      <c r="E206" s="553">
        <f t="shared" ref="E206:G206" si="95">D206-0.025</f>
        <v>-0.05</v>
      </c>
      <c r="F206" s="553">
        <f t="shared" si="95"/>
        <v>-7.5000000000000011E-2</v>
      </c>
      <c r="G206" s="553">
        <f t="shared" si="95"/>
        <v>-0.1</v>
      </c>
      <c r="H206" s="550"/>
      <c r="I206" s="550"/>
      <c r="J206" s="552">
        <f>AE61</f>
        <v>2.904238978506656</v>
      </c>
      <c r="K206" s="553">
        <v>0</v>
      </c>
      <c r="L206" s="553">
        <f>K206-0.025</f>
        <v>-2.5000000000000001E-2</v>
      </c>
      <c r="M206" s="553">
        <f t="shared" ref="M206:O206" si="96">L206-0.025</f>
        <v>-0.05</v>
      </c>
      <c r="N206" s="553">
        <f t="shared" si="96"/>
        <v>-7.5000000000000011E-2</v>
      </c>
      <c r="O206" s="553">
        <f t="shared" si="96"/>
        <v>-0.1</v>
      </c>
      <c r="P206" s="550"/>
      <c r="Q206" s="550"/>
      <c r="R206" s="552">
        <f>AF60</f>
        <v>1.302922103896599</v>
      </c>
      <c r="S206" s="553">
        <v>0</v>
      </c>
      <c r="T206" s="553">
        <f>S206-0.025</f>
        <v>-2.5000000000000001E-2</v>
      </c>
      <c r="U206" s="553">
        <f t="shared" ref="U206:W206" si="97">T206-0.025</f>
        <v>-0.05</v>
      </c>
      <c r="V206" s="553">
        <f t="shared" si="97"/>
        <v>-7.5000000000000011E-2</v>
      </c>
      <c r="W206" s="553">
        <f t="shared" si="97"/>
        <v>-0.1</v>
      </c>
      <c r="X206" s="550"/>
      <c r="Y206" s="550"/>
      <c r="Z206" s="552">
        <f>AF61</f>
        <v>1.9910634288160789</v>
      </c>
      <c r="AA206" s="553">
        <v>0</v>
      </c>
      <c r="AB206" s="553">
        <f>AA206-0.025</f>
        <v>-2.5000000000000001E-2</v>
      </c>
      <c r="AC206" s="553">
        <f t="shared" ref="AC206:AE206" si="98">AB206-0.025</f>
        <v>-0.05</v>
      </c>
      <c r="AD206" s="553">
        <f t="shared" si="98"/>
        <v>-7.5000000000000011E-2</v>
      </c>
      <c r="AE206" s="553">
        <f t="shared" si="98"/>
        <v>-0.1</v>
      </c>
    </row>
    <row r="207" spans="1:31" x14ac:dyDescent="0.3">
      <c r="B207" s="555">
        <v>0</v>
      </c>
      <c r="C207" s="556">
        <f t="dataTable" ref="C207:G211" dt2D="1" dtr="1" r1="D35" r2="D36" ca="1"/>
        <v>1.8590041449197998</v>
      </c>
      <c r="D207" s="556">
        <v>1.7904888140701387</v>
      </c>
      <c r="E207" s="556">
        <v>1.7219734832204807</v>
      </c>
      <c r="F207" s="556">
        <v>1.6534581523708216</v>
      </c>
      <c r="G207" s="556">
        <v>1.5849428215211616</v>
      </c>
      <c r="H207" s="550"/>
      <c r="I207" s="550"/>
      <c r="J207" s="555">
        <v>0</v>
      </c>
      <c r="K207" s="556">
        <f t="dataTable" ref="K207:O211" dt2D="1" dtr="1" r1="D35" r2="D36" ca="1"/>
        <v>2.904238978506656</v>
      </c>
      <c r="L207" s="556">
        <v>2.8357236476569958</v>
      </c>
      <c r="M207" s="556">
        <v>2.7672083168073369</v>
      </c>
      <c r="N207" s="556">
        <v>2.6986929859576776</v>
      </c>
      <c r="O207" s="556">
        <v>2.6301776551080178</v>
      </c>
      <c r="P207" s="550"/>
      <c r="Q207" s="550"/>
      <c r="R207" s="555">
        <v>0</v>
      </c>
      <c r="S207" s="556">
        <f t="dataTable" ref="S207:W211" dt2D="1" dtr="1" r1="D35" r2="D36" ca="1"/>
        <v>1.302922103896599</v>
      </c>
      <c r="T207" s="556">
        <v>1.2565095483265531</v>
      </c>
      <c r="U207" s="556">
        <v>1.2100969927565086</v>
      </c>
      <c r="V207" s="556">
        <v>1.1636844371864643</v>
      </c>
      <c r="W207" s="556">
        <v>1.1172718816164191</v>
      </c>
      <c r="X207" s="550"/>
      <c r="Y207" s="550"/>
      <c r="Z207" s="555">
        <v>0</v>
      </c>
      <c r="AA207" s="556">
        <f t="dataTable" ref="AA207:AE211" dt2D="1" dtr="1" r1="D35" r2="D36" ca="1"/>
        <v>1.9910634288160789</v>
      </c>
      <c r="AB207" s="556">
        <v>1.9446508732460333</v>
      </c>
      <c r="AC207" s="556">
        <v>1.8982383176759885</v>
      </c>
      <c r="AD207" s="556">
        <v>1.8518257621059444</v>
      </c>
      <c r="AE207" s="556">
        <v>1.8054132065358992</v>
      </c>
    </row>
    <row r="208" spans="1:31" x14ac:dyDescent="0.3">
      <c r="B208" s="557">
        <f>B207-0.025</f>
        <v>-2.5000000000000001E-2</v>
      </c>
      <c r="C208" s="556">
        <v>1.7558983814041065</v>
      </c>
      <c r="D208" s="556">
        <v>1.689960694642338</v>
      </c>
      <c r="E208" s="556">
        <v>1.6240230078805717</v>
      </c>
      <c r="F208" s="556">
        <v>1.5580853211188057</v>
      </c>
      <c r="G208" s="556">
        <v>1.4921476343570379</v>
      </c>
      <c r="H208" s="550"/>
      <c r="I208" s="550"/>
      <c r="J208" s="557">
        <f>J207-0.025</f>
        <v>-2.5000000000000001E-2</v>
      </c>
      <c r="K208" s="556">
        <v>2.8011332149909625</v>
      </c>
      <c r="L208" s="556">
        <v>2.7351955282291942</v>
      </c>
      <c r="M208" s="556">
        <v>2.6692578414674273</v>
      </c>
      <c r="N208" s="556">
        <v>2.6033201547056617</v>
      </c>
      <c r="O208" s="556">
        <v>2.5373824679438943</v>
      </c>
      <c r="P208" s="550"/>
      <c r="Q208" s="550"/>
      <c r="R208" s="557">
        <f>R207-0.025</f>
        <v>-2.5000000000000001E-2</v>
      </c>
      <c r="S208" s="556">
        <v>1.2366184530822484</v>
      </c>
      <c r="T208" s="556">
        <v>1.1918634887825623</v>
      </c>
      <c r="U208" s="556">
        <v>1.1299768340860967</v>
      </c>
      <c r="V208" s="556">
        <v>1.0615273987013696</v>
      </c>
      <c r="W208" s="556">
        <v>0.993077963316643</v>
      </c>
      <c r="X208" s="550"/>
      <c r="Y208" s="550"/>
      <c r="Z208" s="557">
        <f>Z207-0.025</f>
        <v>-2.5000000000000001E-2</v>
      </c>
      <c r="AA208" s="556">
        <v>1.9247597780017285</v>
      </c>
      <c r="AB208" s="556">
        <v>1.8800048137020422</v>
      </c>
      <c r="AC208" s="556">
        <v>1.8352498494023566</v>
      </c>
      <c r="AD208" s="556">
        <v>1.7904948851026703</v>
      </c>
      <c r="AE208" s="556">
        <v>1.745739920802984</v>
      </c>
    </row>
    <row r="209" spans="1:31" x14ac:dyDescent="0.3">
      <c r="B209" s="557">
        <f t="shared" ref="B209:B211" si="99">B208-0.025</f>
        <v>-0.05</v>
      </c>
      <c r="C209" s="556">
        <v>1.6527926178884131</v>
      </c>
      <c r="D209" s="556">
        <v>1.5894325752145373</v>
      </c>
      <c r="E209" s="556">
        <v>1.5260725325406634</v>
      </c>
      <c r="F209" s="556">
        <v>1.4627124898667894</v>
      </c>
      <c r="G209" s="556">
        <v>1.399352447192914</v>
      </c>
      <c r="H209" s="550"/>
      <c r="I209" s="550"/>
      <c r="J209" s="557">
        <f t="shared" ref="J209:J211" si="100">J208-0.025</f>
        <v>-0.05</v>
      </c>
      <c r="K209" s="556">
        <v>2.6980274514752693</v>
      </c>
      <c r="L209" s="556">
        <v>2.6346674088013935</v>
      </c>
      <c r="M209" s="556">
        <v>2.5713073661275199</v>
      </c>
      <c r="N209" s="556">
        <v>2.5079473234536453</v>
      </c>
      <c r="O209" s="556">
        <v>2.4445872807797704</v>
      </c>
      <c r="P209" s="550"/>
      <c r="Q209" s="550"/>
      <c r="R209" s="557">
        <f t="shared" ref="R209:R211" si="101">R208-0.025</f>
        <v>-0.05</v>
      </c>
      <c r="S209" s="556">
        <v>1.0843438771629454</v>
      </c>
      <c r="T209" s="556">
        <v>1.0204577374705319</v>
      </c>
      <c r="U209" s="556">
        <v>0.95657159777811984</v>
      </c>
      <c r="V209" s="556">
        <v>0.89268545808570854</v>
      </c>
      <c r="W209" s="556">
        <v>0.82879931839329579</v>
      </c>
      <c r="X209" s="550"/>
      <c r="Y209" s="550"/>
      <c r="Z209" s="557">
        <f t="shared" ref="Z209:Z211" si="102">Z208-0.025</f>
        <v>-0.05</v>
      </c>
      <c r="AA209" s="556">
        <v>1.8584561271873785</v>
      </c>
      <c r="AB209" s="556">
        <v>1.8153587541580507</v>
      </c>
      <c r="AC209" s="556">
        <v>1.7722613811287224</v>
      </c>
      <c r="AD209" s="556">
        <v>1.7291640080993962</v>
      </c>
      <c r="AE209" s="556">
        <v>1.6860666350700688</v>
      </c>
    </row>
    <row r="210" spans="1:31" x14ac:dyDescent="0.3">
      <c r="B210" s="557">
        <f t="shared" si="99"/>
        <v>-7.5000000000000011E-2</v>
      </c>
      <c r="C210" s="556">
        <v>1.5496868543727211</v>
      </c>
      <c r="D210" s="556">
        <v>1.4889044557867375</v>
      </c>
      <c r="E210" s="556">
        <v>1.4281220572007554</v>
      </c>
      <c r="F210" s="556">
        <v>1.3673396586147741</v>
      </c>
      <c r="G210" s="556">
        <v>1.3065572600287909</v>
      </c>
      <c r="H210" s="550"/>
      <c r="I210" s="550"/>
      <c r="J210" s="557">
        <f t="shared" si="100"/>
        <v>-7.5000000000000011E-2</v>
      </c>
      <c r="K210" s="556">
        <v>2.5949216879595771</v>
      </c>
      <c r="L210" s="556">
        <v>2.5341392893735932</v>
      </c>
      <c r="M210" s="556">
        <v>2.4733568907876111</v>
      </c>
      <c r="N210" s="556">
        <v>2.4125744922016299</v>
      </c>
      <c r="O210" s="556">
        <v>2.3517920936156473</v>
      </c>
      <c r="P210" s="550"/>
      <c r="Q210" s="550"/>
      <c r="R210" s="557">
        <f t="shared" si="101"/>
        <v>-7.5000000000000011E-2</v>
      </c>
      <c r="S210" s="556">
        <v>0.90181204947033822</v>
      </c>
      <c r="T210" s="556">
        <v>0.8424892054702392</v>
      </c>
      <c r="U210" s="556">
        <v>0.78316636147014229</v>
      </c>
      <c r="V210" s="556">
        <v>0.72384351747004538</v>
      </c>
      <c r="W210" s="556">
        <v>0.66452067346994859</v>
      </c>
      <c r="X210" s="550"/>
      <c r="Y210" s="550"/>
      <c r="Z210" s="557">
        <f t="shared" si="102"/>
        <v>-7.5000000000000011E-2</v>
      </c>
      <c r="AA210" s="556">
        <v>1.7921524763730281</v>
      </c>
      <c r="AB210" s="556">
        <v>1.7507126946140588</v>
      </c>
      <c r="AC210" s="556">
        <v>1.709272912855091</v>
      </c>
      <c r="AD210" s="556">
        <v>1.6678331310961232</v>
      </c>
      <c r="AE210" s="556">
        <v>1.6263933493371543</v>
      </c>
    </row>
    <row r="211" spans="1:31" x14ac:dyDescent="0.3">
      <c r="B211" s="557">
        <f t="shared" si="99"/>
        <v>-0.1</v>
      </c>
      <c r="C211" s="556">
        <v>1.4465810908570274</v>
      </c>
      <c r="D211" s="556">
        <v>1.3883763363589372</v>
      </c>
      <c r="E211" s="556">
        <v>1.3301715818608471</v>
      </c>
      <c r="F211" s="556">
        <v>1.2719668273627576</v>
      </c>
      <c r="G211" s="556">
        <v>1.213762072864667</v>
      </c>
      <c r="H211" s="550"/>
      <c r="I211" s="550"/>
      <c r="J211" s="557">
        <f t="shared" si="100"/>
        <v>-0.1</v>
      </c>
      <c r="K211" s="556">
        <v>2.491815924443884</v>
      </c>
      <c r="L211" s="556">
        <v>2.4336111699457925</v>
      </c>
      <c r="M211" s="556">
        <v>2.3754064154477024</v>
      </c>
      <c r="N211" s="556">
        <v>2.317201660949614</v>
      </c>
      <c r="O211" s="556">
        <v>2.258996906451523</v>
      </c>
      <c r="P211" s="550"/>
      <c r="Q211" s="550"/>
      <c r="R211" s="557">
        <f t="shared" si="101"/>
        <v>-0.1</v>
      </c>
      <c r="S211" s="556">
        <v>0.71928022177773021</v>
      </c>
      <c r="T211" s="556">
        <v>0.66452067346994703</v>
      </c>
      <c r="U211" s="556">
        <v>0.60976112516216541</v>
      </c>
      <c r="V211" s="556">
        <v>0.55500157685438445</v>
      </c>
      <c r="W211" s="556">
        <v>0.50024202854660205</v>
      </c>
      <c r="X211" s="550"/>
      <c r="Y211" s="550"/>
      <c r="Z211" s="557">
        <f t="shared" si="102"/>
        <v>-0.1</v>
      </c>
      <c r="AA211" s="556">
        <v>1.7258488255586784</v>
      </c>
      <c r="AB211" s="556">
        <v>1.6860666350700673</v>
      </c>
      <c r="AC211" s="556">
        <v>1.6462844445814584</v>
      </c>
      <c r="AD211" s="556">
        <v>1.6065022540928484</v>
      </c>
      <c r="AE211" s="556">
        <v>1.5667200636042391</v>
      </c>
    </row>
    <row r="212" spans="1:31" x14ac:dyDescent="0.3">
      <c r="B212" s="559"/>
      <c r="C212" s="560"/>
      <c r="D212" s="560"/>
      <c r="E212" s="560"/>
      <c r="F212" s="560"/>
      <c r="G212" s="560"/>
      <c r="J212" s="559"/>
      <c r="K212" s="560"/>
      <c r="L212" s="560"/>
      <c r="M212" s="560"/>
      <c r="N212" s="560"/>
      <c r="O212" s="560"/>
      <c r="R212" s="559"/>
      <c r="S212" s="560"/>
      <c r="T212" s="560"/>
      <c r="U212" s="560"/>
      <c r="V212" s="560"/>
      <c r="W212" s="560"/>
      <c r="Z212" s="559"/>
      <c r="AA212" s="560"/>
      <c r="AB212" s="560"/>
      <c r="AC212" s="560"/>
      <c r="AD212" s="560"/>
      <c r="AE212" s="560"/>
    </row>
    <row r="214" spans="1:31" x14ac:dyDescent="0.3">
      <c r="B214" s="549" t="s">
        <v>735</v>
      </c>
      <c r="C214" s="502"/>
      <c r="D214" s="502"/>
      <c r="E214" s="502"/>
      <c r="F214" s="502"/>
      <c r="G214" s="502"/>
      <c r="H214" s="502"/>
      <c r="I214" s="502"/>
      <c r="J214" s="502"/>
      <c r="K214" s="502"/>
      <c r="L214" s="502"/>
      <c r="M214" s="502"/>
      <c r="N214" s="502"/>
      <c r="O214" s="502"/>
      <c r="P214" s="502"/>
      <c r="Q214" s="502"/>
      <c r="R214" s="502"/>
      <c r="S214" s="502"/>
      <c r="T214" s="502"/>
      <c r="U214" s="502"/>
      <c r="V214" s="502"/>
      <c r="W214" s="502"/>
      <c r="X214" s="502"/>
      <c r="Y214" s="502"/>
      <c r="Z214" s="502"/>
      <c r="AA214" s="502"/>
      <c r="AB214" s="502"/>
      <c r="AC214" s="502"/>
      <c r="AD214" s="502"/>
      <c r="AE214" s="502"/>
    </row>
    <row r="215" spans="1:31" x14ac:dyDescent="0.3">
      <c r="B215" s="558"/>
      <c r="C215" s="550"/>
      <c r="D215" s="550"/>
      <c r="E215" s="550"/>
      <c r="F215" s="550"/>
      <c r="G215" s="550"/>
      <c r="H215" s="550"/>
      <c r="I215" s="550"/>
      <c r="J215" s="550"/>
      <c r="K215" s="550"/>
      <c r="L215" s="550"/>
      <c r="M215" s="550"/>
      <c r="N215" s="550"/>
      <c r="O215" s="550"/>
      <c r="P215" s="550"/>
      <c r="Q215" s="550"/>
      <c r="R215" s="550"/>
      <c r="S215" s="550"/>
      <c r="T215" s="550"/>
      <c r="U215" s="550"/>
      <c r="V215" s="550"/>
      <c r="W215" s="550"/>
      <c r="X215" s="550"/>
      <c r="Y215" s="550"/>
      <c r="Z215" s="550"/>
      <c r="AA215" s="550"/>
      <c r="AB215" s="550"/>
      <c r="AC215" s="550"/>
      <c r="AD215" s="550"/>
      <c r="AE215" s="550"/>
    </row>
    <row r="216" spans="1:31" s="2" customFormat="1" x14ac:dyDescent="0.3">
      <c r="A216" s="489"/>
      <c r="B216" s="551" t="str">
        <f>B178</f>
        <v>[평균 DSCR(1)]</v>
      </c>
      <c r="C216" s="551"/>
      <c r="D216" s="551"/>
      <c r="E216" s="551"/>
      <c r="F216" s="551"/>
      <c r="G216" s="551"/>
      <c r="H216" s="551"/>
      <c r="I216" s="551"/>
      <c r="J216" s="551" t="str">
        <f>J178</f>
        <v>[평균 DSCR(2)]</v>
      </c>
      <c r="K216" s="551"/>
      <c r="L216" s="551"/>
      <c r="M216" s="551"/>
      <c r="N216" s="551"/>
      <c r="O216" s="551"/>
      <c r="P216" s="551"/>
      <c r="Q216" s="551"/>
      <c r="R216" s="551" t="str">
        <f>R178</f>
        <v>[최소 DSCR(1)]</v>
      </c>
      <c r="S216" s="551"/>
      <c r="T216" s="551"/>
      <c r="U216" s="551"/>
      <c r="V216" s="551"/>
      <c r="W216" s="551"/>
      <c r="X216" s="551"/>
      <c r="Y216" s="551"/>
      <c r="Z216" s="551" t="str">
        <f>Z178</f>
        <v>[최소 DSCR(2)]</v>
      </c>
      <c r="AA216" s="551"/>
      <c r="AB216" s="551"/>
      <c r="AC216" s="551"/>
      <c r="AD216" s="551"/>
      <c r="AE216" s="551"/>
    </row>
    <row r="217" spans="1:31" x14ac:dyDescent="0.3">
      <c r="A217" s="267"/>
      <c r="B217" s="552">
        <f>AE62</f>
        <v>6.7185099485053739</v>
      </c>
      <c r="C217" s="553">
        <v>0</v>
      </c>
      <c r="D217" s="553">
        <f>C217-0.025</f>
        <v>-2.5000000000000001E-2</v>
      </c>
      <c r="E217" s="553">
        <f t="shared" ref="E217:G217" si="103">D217-0.025</f>
        <v>-0.05</v>
      </c>
      <c r="F217" s="553">
        <f t="shared" si="103"/>
        <v>-7.5000000000000011E-2</v>
      </c>
      <c r="G217" s="553">
        <f t="shared" si="103"/>
        <v>-0.1</v>
      </c>
      <c r="H217" s="550"/>
      <c r="I217" s="550"/>
      <c r="J217" s="552">
        <f>AE63</f>
        <v>7.7637447820922301</v>
      </c>
      <c r="K217" s="553">
        <v>0</v>
      </c>
      <c r="L217" s="553">
        <f>K217-0.025</f>
        <v>-2.5000000000000001E-2</v>
      </c>
      <c r="M217" s="553">
        <f t="shared" ref="M217:O217" si="104">L217-0.025</f>
        <v>-0.05</v>
      </c>
      <c r="N217" s="553">
        <f t="shared" si="104"/>
        <v>-7.5000000000000011E-2</v>
      </c>
      <c r="O217" s="553">
        <f t="shared" si="104"/>
        <v>-0.1</v>
      </c>
      <c r="P217" s="550"/>
      <c r="Q217" s="550"/>
      <c r="R217" s="552">
        <f>AF62</f>
        <v>2.6401735438103358</v>
      </c>
      <c r="S217" s="553">
        <v>0</v>
      </c>
      <c r="T217" s="553">
        <f>S217-0.025</f>
        <v>-2.5000000000000001E-2</v>
      </c>
      <c r="U217" s="553">
        <f t="shared" ref="U217:W217" si="105">T217-0.025</f>
        <v>-0.05</v>
      </c>
      <c r="V217" s="553">
        <f t="shared" si="105"/>
        <v>-7.5000000000000011E-2</v>
      </c>
      <c r="W217" s="553">
        <f t="shared" si="105"/>
        <v>-0.1</v>
      </c>
      <c r="X217" s="550"/>
      <c r="Y217" s="550"/>
      <c r="Z217" s="552">
        <f>AF63</f>
        <v>3.3331724607048172</v>
      </c>
      <c r="AA217" s="553">
        <v>0</v>
      </c>
      <c r="AB217" s="553">
        <f>AA217-0.025</f>
        <v>-2.5000000000000001E-2</v>
      </c>
      <c r="AC217" s="553">
        <f t="shared" ref="AC217:AE217" si="106">AB217-0.025</f>
        <v>-0.05</v>
      </c>
      <c r="AD217" s="553">
        <f t="shared" si="106"/>
        <v>-7.5000000000000011E-2</v>
      </c>
      <c r="AE217" s="553">
        <f t="shared" si="106"/>
        <v>-0.1</v>
      </c>
    </row>
    <row r="218" spans="1:31" x14ac:dyDescent="0.3">
      <c r="B218" s="555">
        <v>0</v>
      </c>
      <c r="C218" s="556">
        <f t="dataTable" ref="C218:G222" dt2D="1" dtr="1" r1="D35" r2="D36" ca="1"/>
        <v>6.7185099485053739</v>
      </c>
      <c r="D218" s="556">
        <v>6.2449297383051201</v>
      </c>
      <c r="E218" s="556">
        <v>5.7713495281048859</v>
      </c>
      <c r="F218" s="556">
        <v>5.2977693179046481</v>
      </c>
      <c r="G218" s="556">
        <v>4.8241891077044006</v>
      </c>
      <c r="H218" s="550"/>
      <c r="I218" s="550"/>
      <c r="J218" s="555">
        <v>0</v>
      </c>
      <c r="K218" s="556">
        <f t="dataTable" ref="K218:O222" dt2D="1" dtr="1" r1="D35" r2="D36" ca="1"/>
        <v>7.7637447820922301</v>
      </c>
      <c r="L218" s="556">
        <v>7.2901645718919772</v>
      </c>
      <c r="M218" s="556">
        <v>6.8165843616917421</v>
      </c>
      <c r="N218" s="556">
        <v>6.3430041514915034</v>
      </c>
      <c r="O218" s="556">
        <v>5.8694239412912568</v>
      </c>
      <c r="P218" s="550"/>
      <c r="Q218" s="550"/>
      <c r="R218" s="555">
        <v>0</v>
      </c>
      <c r="S218" s="556">
        <f t="dataTable" ref="S218:W222" dt2D="1" dtr="1" r1="D35" r2="D36" ca="1"/>
        <v>2.6401735438103358</v>
      </c>
      <c r="T218" s="556">
        <v>2.5125551285146828</v>
      </c>
      <c r="U218" s="556">
        <v>2.3800791212440324</v>
      </c>
      <c r="V218" s="556">
        <v>2.247603113973383</v>
      </c>
      <c r="W218" s="556">
        <v>2.1151271067027313</v>
      </c>
      <c r="X218" s="550"/>
      <c r="Y218" s="550"/>
      <c r="Z218" s="555">
        <v>0</v>
      </c>
      <c r="AA218" s="556">
        <f t="dataTable" ref="AA218:AE222" dt2D="1" dtr="1" r1="D35" r2="D36" ca="1"/>
        <v>3.3331724607048172</v>
      </c>
      <c r="AB218" s="556">
        <v>3.2006964534341629</v>
      </c>
      <c r="AC218" s="556">
        <v>3.0682204461635125</v>
      </c>
      <c r="AD218" s="556">
        <v>2.9357444388928626</v>
      </c>
      <c r="AE218" s="556">
        <v>2.8032684316222114</v>
      </c>
    </row>
    <row r="219" spans="1:31" x14ac:dyDescent="0.3">
      <c r="B219" s="557">
        <f>B218-0.025</f>
        <v>-2.5000000000000001E-2</v>
      </c>
      <c r="C219" s="556">
        <v>6.0126109526323681</v>
      </c>
      <c r="D219" s="556">
        <v>5.5566782173289466</v>
      </c>
      <c r="E219" s="556">
        <v>5.1007454820255296</v>
      </c>
      <c r="F219" s="556">
        <v>4.6448127467221187</v>
      </c>
      <c r="G219" s="556">
        <v>4.1888800114186964</v>
      </c>
      <c r="H219" s="550"/>
      <c r="I219" s="550"/>
      <c r="J219" s="555">
        <f>J218-0.025</f>
        <v>-2.5000000000000001E-2</v>
      </c>
      <c r="K219" s="556">
        <v>7.0578457862192225</v>
      </c>
      <c r="L219" s="556">
        <v>6.6019130509158019</v>
      </c>
      <c r="M219" s="556">
        <v>6.1459803156123858</v>
      </c>
      <c r="N219" s="556">
        <v>5.690047580308975</v>
      </c>
      <c r="O219" s="556">
        <v>5.2341148450055526</v>
      </c>
      <c r="P219" s="550"/>
      <c r="Q219" s="550"/>
      <c r="R219" s="557">
        <f>R218-0.025</f>
        <v>-2.5000000000000001E-2</v>
      </c>
      <c r="S219" s="556">
        <v>2.4132965938302315</v>
      </c>
      <c r="T219" s="556">
        <v>2.2866139501084559</v>
      </c>
      <c r="U219" s="556">
        <v>2.1599313063866834</v>
      </c>
      <c r="V219" s="556">
        <v>2.0332486626649096</v>
      </c>
      <c r="W219" s="556">
        <v>1.9065660189431366</v>
      </c>
      <c r="X219" s="550"/>
      <c r="Y219" s="550"/>
      <c r="Z219" s="555">
        <f>Z218-0.025</f>
        <v>-2.5000000000000001E-2</v>
      </c>
      <c r="AA219" s="556">
        <v>3.1014379187497112</v>
      </c>
      <c r="AB219" s="556">
        <v>2.9747552750279365</v>
      </c>
      <c r="AC219" s="556">
        <v>2.8480726313061635</v>
      </c>
      <c r="AD219" s="556">
        <v>2.7213899875843897</v>
      </c>
      <c r="AE219" s="556">
        <v>2.5947073438626167</v>
      </c>
    </row>
    <row r="220" spans="1:31" x14ac:dyDescent="0.3">
      <c r="B220" s="557">
        <f t="shared" ref="B220:B222" si="107">B219-0.025</f>
        <v>-0.05</v>
      </c>
      <c r="C220" s="556">
        <v>5.3067119567593632</v>
      </c>
      <c r="D220" s="556">
        <v>4.8684266963527651</v>
      </c>
      <c r="E220" s="556">
        <v>4.4301414359461795</v>
      </c>
      <c r="F220" s="556">
        <v>3.991856175539588</v>
      </c>
      <c r="G220" s="556">
        <v>3.5535709151329926</v>
      </c>
      <c r="H220" s="550"/>
      <c r="I220" s="550"/>
      <c r="J220" s="557">
        <f t="shared" ref="J220:J222" si="108">J219-0.025</f>
        <v>-0.05</v>
      </c>
      <c r="K220" s="556">
        <v>6.3519467903462195</v>
      </c>
      <c r="L220" s="556">
        <v>5.9136615299396205</v>
      </c>
      <c r="M220" s="556">
        <v>5.4753762695330339</v>
      </c>
      <c r="N220" s="556">
        <v>5.0370910091264438</v>
      </c>
      <c r="O220" s="556">
        <v>4.5988057487198493</v>
      </c>
      <c r="P220" s="550"/>
      <c r="Q220" s="550"/>
      <c r="R220" s="557">
        <f t="shared" ref="R220:R222" si="109">R219-0.025</f>
        <v>-0.05</v>
      </c>
      <c r="S220" s="556">
        <v>2.1815620518751264</v>
      </c>
      <c r="T220" s="556">
        <v>2.0606727717022286</v>
      </c>
      <c r="U220" s="556">
        <v>1.9397834915293326</v>
      </c>
      <c r="V220" s="556">
        <v>1.8188942113564381</v>
      </c>
      <c r="W220" s="556">
        <v>1.6980049311835426</v>
      </c>
      <c r="X220" s="550"/>
      <c r="Y220" s="550"/>
      <c r="Z220" s="557">
        <f t="shared" ref="Z220:Z222" si="110">Z219-0.025</f>
        <v>-0.05</v>
      </c>
      <c r="AA220" s="556">
        <v>2.8697033767946065</v>
      </c>
      <c r="AB220" s="556">
        <v>2.7488140966217087</v>
      </c>
      <c r="AC220" s="556">
        <v>2.6279248164488132</v>
      </c>
      <c r="AD220" s="556">
        <v>2.5070355362759185</v>
      </c>
      <c r="AE220" s="556">
        <v>2.3861462561030224</v>
      </c>
    </row>
    <row r="221" spans="1:31" x14ac:dyDescent="0.3">
      <c r="B221" s="557">
        <f t="shared" si="107"/>
        <v>-7.5000000000000011E-2</v>
      </c>
      <c r="C221" s="556">
        <v>4.600812960886369</v>
      </c>
      <c r="D221" s="556">
        <v>4.1801751753765908</v>
      </c>
      <c r="E221" s="556">
        <v>3.7595373898668245</v>
      </c>
      <c r="F221" s="556">
        <v>3.3388996043570649</v>
      </c>
      <c r="G221" s="556">
        <v>2.9182618188472942</v>
      </c>
      <c r="H221" s="550"/>
      <c r="I221" s="550"/>
      <c r="J221" s="557">
        <f t="shared" si="108"/>
        <v>-7.5000000000000011E-2</v>
      </c>
      <c r="K221" s="556">
        <v>5.6460477944732235</v>
      </c>
      <c r="L221" s="556">
        <v>5.2254100089634479</v>
      </c>
      <c r="M221" s="556">
        <v>4.8047722234536812</v>
      </c>
      <c r="N221" s="556">
        <v>4.3841344379439215</v>
      </c>
      <c r="O221" s="556">
        <v>3.9634966524341508</v>
      </c>
      <c r="P221" s="550"/>
      <c r="Q221" s="550"/>
      <c r="R221" s="557">
        <f t="shared" si="109"/>
        <v>-7.5000000000000011E-2</v>
      </c>
      <c r="S221" s="556">
        <v>1.9498275099200224</v>
      </c>
      <c r="T221" s="556">
        <v>1.8347315932960016</v>
      </c>
      <c r="U221" s="556">
        <v>1.7196356766719838</v>
      </c>
      <c r="V221" s="556">
        <v>1.6045397600479669</v>
      </c>
      <c r="W221" s="556">
        <v>1.4894438434239483</v>
      </c>
      <c r="X221" s="550"/>
      <c r="Y221" s="550"/>
      <c r="Z221" s="557">
        <f t="shared" si="110"/>
        <v>-7.5000000000000011E-2</v>
      </c>
      <c r="AA221" s="556">
        <v>2.6379688348395023</v>
      </c>
      <c r="AB221" s="556">
        <v>2.5228729182154814</v>
      </c>
      <c r="AC221" s="556">
        <v>2.4077770015914637</v>
      </c>
      <c r="AD221" s="556">
        <v>2.2926810849674468</v>
      </c>
      <c r="AE221" s="556">
        <v>2.1775851683434286</v>
      </c>
    </row>
    <row r="222" spans="1:31" x14ac:dyDescent="0.3">
      <c r="B222" s="557">
        <f t="shared" si="107"/>
        <v>-0.1</v>
      </c>
      <c r="C222" s="556">
        <v>3.8949139650133615</v>
      </c>
      <c r="D222" s="556">
        <v>3.491923654400416</v>
      </c>
      <c r="E222" s="556">
        <v>3.088933343787474</v>
      </c>
      <c r="F222" s="556">
        <v>2.6859430331745346</v>
      </c>
      <c r="G222" s="556">
        <v>2.2829527225615891</v>
      </c>
      <c r="H222" s="550"/>
      <c r="I222" s="550"/>
      <c r="J222" s="557">
        <f t="shared" si="108"/>
        <v>-0.1</v>
      </c>
      <c r="K222" s="556">
        <v>4.9401487986002168</v>
      </c>
      <c r="L222" s="556">
        <v>4.5371584879872717</v>
      </c>
      <c r="M222" s="556">
        <v>4.1341681773743302</v>
      </c>
      <c r="N222" s="556">
        <v>3.7311778667613908</v>
      </c>
      <c r="O222" s="556">
        <v>3.3281875561484449</v>
      </c>
      <c r="P222" s="550"/>
      <c r="Q222" s="550"/>
      <c r="R222" s="557">
        <f t="shared" si="109"/>
        <v>-0.1</v>
      </c>
      <c r="S222" s="556">
        <v>1.7180929679649182</v>
      </c>
      <c r="T222" s="556">
        <v>1.6087904148897747</v>
      </c>
      <c r="U222" s="556">
        <v>1.4994878618146346</v>
      </c>
      <c r="V222" s="556">
        <v>1.3901853087394938</v>
      </c>
      <c r="W222" s="556">
        <v>1.2808827556643538</v>
      </c>
      <c r="X222" s="550"/>
      <c r="Y222" s="550"/>
      <c r="Z222" s="557">
        <f t="shared" si="110"/>
        <v>-0.1</v>
      </c>
      <c r="AA222" s="556">
        <v>2.4062342928843981</v>
      </c>
      <c r="AB222" s="556">
        <v>2.2969317398092546</v>
      </c>
      <c r="AC222" s="556">
        <v>2.1876291867341147</v>
      </c>
      <c r="AD222" s="556">
        <v>2.0783266336589739</v>
      </c>
      <c r="AE222" s="556">
        <v>1.9690240805838337</v>
      </c>
    </row>
  </sheetData>
  <mergeCells count="11">
    <mergeCell ref="N45:N46"/>
    <mergeCell ref="C15:C16"/>
    <mergeCell ref="AD5:AD6"/>
    <mergeCell ref="C5:C6"/>
    <mergeCell ref="D5:E5"/>
    <mergeCell ref="F5:G5"/>
    <mergeCell ref="H5:J5"/>
    <mergeCell ref="K5:L6"/>
    <mergeCell ref="N5:N6"/>
    <mergeCell ref="D15:E15"/>
    <mergeCell ref="F15:G16"/>
  </mergeCells>
  <phoneticPr fontId="5" type="noConversion"/>
  <conditionalFormatting sqref="C139:G143 K139:O143 S139:W143 AA139:AE143 C165:G169 K165:O169 S165:W169 AA165:AE169 C191:G195 K191:O195 S191:W195 AA191:AE195 C218:G222 K218:O222 S218:W222 AA218:AE222">
    <cfRule type="cellIs" dxfId="1" priority="1" operator="lessThan">
      <formula>1.15</formula>
    </cfRule>
  </conditionalFormatting>
  <conditionalFormatting sqref="C88:K88 N88:V88 C96:K96 N96:V96 C104:K104 N104:V104 C112:K112 N112:V112">
    <cfRule type="cellIs" dxfId="0" priority="2" operator="lessThan">
      <formula>1.15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A788-1165-407F-9F08-9189C5FCAC24}">
  <sheetPr>
    <tabColor rgb="FFFFC000"/>
  </sheetPr>
  <dimension ref="A1"/>
  <sheetViews>
    <sheetView workbookViewId="0"/>
  </sheetViews>
  <sheetFormatPr defaultRowHeight="13.2" x14ac:dyDescent="0.3"/>
  <sheetData/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D973-A905-4545-8C4A-8CD6F9747BC6}">
  <sheetPr>
    <pageSetUpPr fitToPage="1"/>
  </sheetPr>
  <dimension ref="A1:AI72"/>
  <sheetViews>
    <sheetView showGridLines="0" workbookViewId="0">
      <selection activeCell="E10" sqref="E10"/>
    </sheetView>
  </sheetViews>
  <sheetFormatPr defaultColWidth="8.875" defaultRowHeight="17.399999999999999" outlineLevelCol="1" x14ac:dyDescent="0.3"/>
  <cols>
    <col min="1" max="1" width="15.375" style="3" customWidth="1"/>
    <col min="2" max="2" width="35.75" style="3" customWidth="1"/>
    <col min="3" max="3" width="32.875" style="4" customWidth="1"/>
    <col min="4" max="4" width="21.25" style="4" customWidth="1"/>
    <col min="5" max="5" width="15.125" style="5" customWidth="1"/>
    <col min="6" max="8" width="17.375" style="3" hidden="1" customWidth="1" outlineLevel="1"/>
    <col min="9" max="9" width="8.875" style="3" collapsed="1"/>
    <col min="10" max="10" width="14.25" style="3" customWidth="1"/>
    <col min="11" max="35" width="9.125" style="3" customWidth="1"/>
    <col min="36" max="16384" width="8.875" style="3"/>
  </cols>
  <sheetData>
    <row r="1" spans="1:35" ht="24.75" customHeight="1" x14ac:dyDescent="0.3">
      <c r="A1" s="623" t="s">
        <v>1</v>
      </c>
      <c r="B1" s="624"/>
      <c r="C1" s="624"/>
      <c r="D1" s="624"/>
      <c r="E1" s="624"/>
    </row>
    <row r="2" spans="1:35" hidden="1" x14ac:dyDescent="0.3">
      <c r="A2" s="3" t="s">
        <v>2</v>
      </c>
    </row>
    <row r="3" spans="1:35" hidden="1" x14ac:dyDescent="0.3"/>
    <row r="4" spans="1:35" x14ac:dyDescent="0.3">
      <c r="A4" s="6" t="s">
        <v>3</v>
      </c>
      <c r="B4" s="6" t="s">
        <v>4</v>
      </c>
      <c r="C4" s="7" t="s">
        <v>5</v>
      </c>
      <c r="D4" s="7" t="s">
        <v>6</v>
      </c>
      <c r="E4" s="6" t="s">
        <v>7</v>
      </c>
    </row>
    <row r="5" spans="1:35" x14ac:dyDescent="0.3">
      <c r="A5" s="6"/>
      <c r="B5" s="8" t="s">
        <v>8</v>
      </c>
      <c r="C5" s="9"/>
      <c r="D5" s="10">
        <v>11000000000</v>
      </c>
      <c r="E5" s="11"/>
    </row>
    <row r="6" spans="1:35" x14ac:dyDescent="0.3">
      <c r="A6" s="12">
        <v>44927</v>
      </c>
      <c r="B6" s="8" t="s">
        <v>9</v>
      </c>
      <c r="C6" s="9">
        <v>-4873000000</v>
      </c>
      <c r="D6" s="10">
        <f>D5+C6</f>
        <v>6127000000</v>
      </c>
      <c r="E6" s="11"/>
      <c r="I6" s="487" t="s">
        <v>690</v>
      </c>
    </row>
    <row r="7" spans="1:35" x14ac:dyDescent="0.3">
      <c r="A7" s="13">
        <v>44987</v>
      </c>
      <c r="B7" s="14" t="s">
        <v>11</v>
      </c>
      <c r="C7" s="9">
        <v>-205279849</v>
      </c>
      <c r="D7" s="10">
        <f t="shared" ref="D7:D61" si="0">D6+C7</f>
        <v>5921720151</v>
      </c>
      <c r="E7" s="11" t="s">
        <v>12</v>
      </c>
    </row>
    <row r="8" spans="1:35" x14ac:dyDescent="0.3">
      <c r="A8" s="13"/>
      <c r="B8" s="14" t="s">
        <v>14</v>
      </c>
      <c r="C8" s="15">
        <v>-3539305</v>
      </c>
      <c r="D8" s="10">
        <f t="shared" si="0"/>
        <v>5918180846</v>
      </c>
      <c r="E8" s="11"/>
    </row>
    <row r="9" spans="1:35" x14ac:dyDescent="0.3">
      <c r="A9" s="12">
        <v>45016</v>
      </c>
      <c r="B9" s="8" t="s">
        <v>16</v>
      </c>
      <c r="C9" s="9">
        <v>-4873000000</v>
      </c>
      <c r="D9" s="10">
        <f t="shared" si="0"/>
        <v>1045180846</v>
      </c>
      <c r="E9" s="11"/>
      <c r="I9" s="487" t="s">
        <v>690</v>
      </c>
    </row>
    <row r="10" spans="1:35" x14ac:dyDescent="0.3">
      <c r="A10" s="12">
        <v>45020</v>
      </c>
      <c r="B10" s="14" t="s">
        <v>18</v>
      </c>
      <c r="C10" s="9">
        <v>-10617860</v>
      </c>
      <c r="D10" s="10">
        <f t="shared" si="0"/>
        <v>1034562986</v>
      </c>
      <c r="E10" s="11"/>
    </row>
    <row r="11" spans="1:35" x14ac:dyDescent="0.3">
      <c r="A11" s="13">
        <v>45026</v>
      </c>
      <c r="B11" s="16" t="s">
        <v>20</v>
      </c>
      <c r="C11" s="425">
        <v>-114400000</v>
      </c>
      <c r="D11" s="10">
        <f t="shared" si="0"/>
        <v>920162986</v>
      </c>
      <c r="E11" s="11"/>
    </row>
    <row r="12" spans="1:35" x14ac:dyDescent="0.3">
      <c r="A12" s="17">
        <v>45040</v>
      </c>
      <c r="B12" s="18" t="s">
        <v>22</v>
      </c>
      <c r="C12" s="19">
        <v>15000000000</v>
      </c>
      <c r="D12" s="20">
        <f t="shared" si="0"/>
        <v>15920162986</v>
      </c>
      <c r="E12" s="21"/>
      <c r="F12" s="22" t="s">
        <v>23</v>
      </c>
      <c r="G12" s="22"/>
      <c r="H12" s="22"/>
    </row>
    <row r="13" spans="1:35" x14ac:dyDescent="0.3">
      <c r="A13" s="23">
        <v>45056</v>
      </c>
      <c r="B13" s="24" t="s">
        <v>24</v>
      </c>
      <c r="C13" s="25">
        <v>764000000</v>
      </c>
      <c r="D13" s="10">
        <f>D12+C13</f>
        <v>16684162986</v>
      </c>
      <c r="E13" s="11"/>
    </row>
    <row r="14" spans="1:35" x14ac:dyDescent="0.3">
      <c r="A14" s="23">
        <v>45061</v>
      </c>
      <c r="B14" s="16" t="s">
        <v>26</v>
      </c>
      <c r="C14" s="15">
        <v>-38500000</v>
      </c>
      <c r="D14" s="10">
        <f t="shared" si="0"/>
        <v>16645662986</v>
      </c>
      <c r="E14" s="11"/>
      <c r="L14" s="625" t="s">
        <v>74</v>
      </c>
      <c r="M14" s="625"/>
      <c r="N14" s="625"/>
      <c r="O14" s="625"/>
      <c r="P14" s="625" t="s">
        <v>87</v>
      </c>
      <c r="Q14" s="625"/>
      <c r="R14" s="625"/>
      <c r="S14" s="625"/>
      <c r="T14" s="625"/>
      <c r="U14" s="625"/>
      <c r="V14" s="625"/>
      <c r="W14" s="625"/>
      <c r="X14" s="625"/>
      <c r="Y14" s="625"/>
      <c r="Z14" s="625"/>
      <c r="AA14" s="625"/>
      <c r="AB14" s="625"/>
      <c r="AC14" s="625"/>
      <c r="AD14" s="625"/>
      <c r="AE14" s="625"/>
      <c r="AF14" s="625"/>
      <c r="AG14" s="625"/>
      <c r="AH14" s="625"/>
      <c r="AI14" s="625"/>
    </row>
    <row r="15" spans="1:35" x14ac:dyDescent="0.3">
      <c r="A15" s="26">
        <v>45076</v>
      </c>
      <c r="B15" s="27" t="s">
        <v>28</v>
      </c>
      <c r="C15" s="28">
        <v>-4873000000</v>
      </c>
      <c r="D15" s="10">
        <f t="shared" si="0"/>
        <v>11772662986</v>
      </c>
      <c r="E15" s="11"/>
      <c r="F15" s="4"/>
      <c r="G15" s="4"/>
      <c r="H15" s="4"/>
      <c r="I15" s="487" t="s">
        <v>690</v>
      </c>
      <c r="L15" s="46" t="s">
        <v>95</v>
      </c>
      <c r="M15" s="46" t="s">
        <v>95</v>
      </c>
      <c r="N15" s="46" t="s">
        <v>95</v>
      </c>
      <c r="O15" s="46" t="s">
        <v>95</v>
      </c>
      <c r="P15" s="46" t="s">
        <v>95</v>
      </c>
      <c r="Q15" s="46" t="s">
        <v>95</v>
      </c>
      <c r="R15" s="46" t="s">
        <v>95</v>
      </c>
      <c r="S15" s="46" t="s">
        <v>95</v>
      </c>
      <c r="T15" s="46" t="s">
        <v>95</v>
      </c>
      <c r="U15" s="46" t="s">
        <v>95</v>
      </c>
      <c r="V15" s="46" t="s">
        <v>95</v>
      </c>
      <c r="W15" s="46" t="s">
        <v>95</v>
      </c>
      <c r="X15" s="46" t="s">
        <v>96</v>
      </c>
      <c r="Y15" s="46" t="s">
        <v>96</v>
      </c>
      <c r="Z15" s="46" t="s">
        <v>96</v>
      </c>
      <c r="AA15" s="46" t="s">
        <v>96</v>
      </c>
      <c r="AB15" s="46" t="s">
        <v>96</v>
      </c>
      <c r="AC15" s="46" t="s">
        <v>96</v>
      </c>
      <c r="AD15" s="46" t="s">
        <v>96</v>
      </c>
      <c r="AE15" s="46" t="s">
        <v>96</v>
      </c>
      <c r="AF15" s="46" t="s">
        <v>96</v>
      </c>
      <c r="AG15" s="46" t="s">
        <v>96</v>
      </c>
      <c r="AH15" s="46" t="s">
        <v>96</v>
      </c>
      <c r="AI15" s="46" t="s">
        <v>96</v>
      </c>
    </row>
    <row r="16" spans="1:35" x14ac:dyDescent="0.3">
      <c r="A16" s="23">
        <v>45077</v>
      </c>
      <c r="B16" s="16" t="s">
        <v>30</v>
      </c>
      <c r="C16" s="15">
        <v>-77000000</v>
      </c>
      <c r="D16" s="10">
        <f t="shared" si="0"/>
        <v>11695662986</v>
      </c>
      <c r="E16" s="11"/>
      <c r="K16" s="5" t="s">
        <v>10</v>
      </c>
      <c r="L16" s="5" t="s">
        <v>75</v>
      </c>
      <c r="M16" s="5" t="s">
        <v>76</v>
      </c>
      <c r="N16" s="5" t="s">
        <v>77</v>
      </c>
      <c r="O16" s="5" t="s">
        <v>78</v>
      </c>
      <c r="P16" s="5" t="s">
        <v>79</v>
      </c>
      <c r="Q16" s="5" t="s">
        <v>80</v>
      </c>
      <c r="R16" s="5" t="s">
        <v>81</v>
      </c>
      <c r="S16" s="5" t="s">
        <v>82</v>
      </c>
      <c r="T16" s="5" t="s">
        <v>83</v>
      </c>
      <c r="U16" s="5" t="s">
        <v>84</v>
      </c>
      <c r="V16" s="5" t="s">
        <v>85</v>
      </c>
      <c r="W16" s="5" t="s">
        <v>86</v>
      </c>
      <c r="X16" s="5" t="s">
        <v>75</v>
      </c>
      <c r="Y16" s="5" t="s">
        <v>76</v>
      </c>
      <c r="Z16" s="5" t="s">
        <v>77</v>
      </c>
      <c r="AA16" s="5" t="s">
        <v>78</v>
      </c>
      <c r="AB16" s="5" t="s">
        <v>79</v>
      </c>
      <c r="AC16" s="5" t="s">
        <v>80</v>
      </c>
      <c r="AD16" s="5" t="s">
        <v>81</v>
      </c>
      <c r="AE16" s="5" t="s">
        <v>82</v>
      </c>
      <c r="AF16" s="5" t="s">
        <v>83</v>
      </c>
      <c r="AG16" s="5" t="s">
        <v>84</v>
      </c>
      <c r="AH16" s="5" t="s">
        <v>85</v>
      </c>
      <c r="AI16" s="5" t="s">
        <v>86</v>
      </c>
    </row>
    <row r="17" spans="1:35" x14ac:dyDescent="0.3">
      <c r="A17" s="23"/>
      <c r="B17" s="29" t="s">
        <v>21</v>
      </c>
      <c r="C17" s="15">
        <v>-110000000</v>
      </c>
      <c r="D17" s="10">
        <f t="shared" si="0"/>
        <v>11585662986</v>
      </c>
      <c r="E17" s="11" t="s">
        <v>32</v>
      </c>
      <c r="J17" s="3" t="s">
        <v>13</v>
      </c>
      <c r="K17" s="44">
        <f>K18</f>
        <v>-52759.079992999999</v>
      </c>
      <c r="L17" s="44">
        <f t="shared" ref="L17:AI17" si="1">L18</f>
        <v>-4873</v>
      </c>
      <c r="M17" s="44">
        <f t="shared" si="1"/>
        <v>0</v>
      </c>
      <c r="N17" s="44">
        <f t="shared" si="1"/>
        <v>-208.81915400000003</v>
      </c>
      <c r="O17" s="44">
        <f t="shared" si="1"/>
        <v>-4998.0178599999999</v>
      </c>
      <c r="P17" s="44">
        <f t="shared" si="1"/>
        <v>-4109</v>
      </c>
      <c r="Q17" s="44">
        <f t="shared" si="1"/>
        <v>-286</v>
      </c>
      <c r="R17" s="44">
        <f t="shared" si="1"/>
        <v>-5032.1178600000003</v>
      </c>
      <c r="S17" s="44">
        <f t="shared" si="1"/>
        <v>-4468.5</v>
      </c>
      <c r="T17" s="44">
        <f t="shared" si="1"/>
        <v>-5021.5</v>
      </c>
      <c r="U17" s="44">
        <f t="shared" si="1"/>
        <v>-4973.8178600000001</v>
      </c>
      <c r="V17" s="44">
        <f t="shared" si="1"/>
        <v>-4025.5</v>
      </c>
      <c r="W17" s="44">
        <f t="shared" si="1"/>
        <v>-210</v>
      </c>
      <c r="X17" s="44">
        <f t="shared" si="1"/>
        <v>-11813.453679</v>
      </c>
      <c r="Y17" s="44">
        <f t="shared" si="1"/>
        <v>847.5</v>
      </c>
      <c r="Z17" s="44">
        <f t="shared" si="1"/>
        <v>-383.25</v>
      </c>
      <c r="AA17" s="44">
        <f t="shared" si="1"/>
        <v>-10.61786</v>
      </c>
      <c r="AB17" s="44">
        <f t="shared" si="1"/>
        <v>886</v>
      </c>
      <c r="AC17" s="44">
        <f t="shared" si="1"/>
        <v>-3705.25</v>
      </c>
      <c r="AD17" s="44">
        <f t="shared" si="1"/>
        <v>-10.61786</v>
      </c>
      <c r="AE17" s="44">
        <f t="shared" si="1"/>
        <v>309</v>
      </c>
      <c r="AF17" s="44">
        <f t="shared" si="1"/>
        <v>-330.75</v>
      </c>
      <c r="AG17" s="44">
        <f t="shared" si="1"/>
        <v>-10.61786</v>
      </c>
      <c r="AH17" s="44">
        <f t="shared" si="1"/>
        <v>0</v>
      </c>
      <c r="AI17" s="44">
        <f t="shared" si="1"/>
        <v>-330.75</v>
      </c>
    </row>
    <row r="18" spans="1:35" x14ac:dyDescent="0.3">
      <c r="A18" s="23">
        <v>45092</v>
      </c>
      <c r="B18" s="16" t="s">
        <v>34</v>
      </c>
      <c r="C18" s="15">
        <v>-38500000</v>
      </c>
      <c r="D18" s="10">
        <f t="shared" si="0"/>
        <v>11547162986</v>
      </c>
      <c r="E18" s="11"/>
      <c r="F18" s="3" t="s">
        <v>35</v>
      </c>
      <c r="J18" s="3" t="s">
        <v>15</v>
      </c>
      <c r="K18" s="44">
        <f>K19+K22+K23+K26+K30+K31+K32</f>
        <v>-52759.079992999999</v>
      </c>
      <c r="L18" s="44">
        <f t="shared" ref="L18:AI18" si="2">L19+L22+L23+L26+L30+L31+L32</f>
        <v>-4873</v>
      </c>
      <c r="M18" s="44">
        <f t="shared" si="2"/>
        <v>0</v>
      </c>
      <c r="N18" s="44">
        <f t="shared" si="2"/>
        <v>-208.81915400000003</v>
      </c>
      <c r="O18" s="44">
        <f t="shared" si="2"/>
        <v>-4998.0178599999999</v>
      </c>
      <c r="P18" s="44">
        <f t="shared" si="2"/>
        <v>-4109</v>
      </c>
      <c r="Q18" s="44">
        <f t="shared" si="2"/>
        <v>-286</v>
      </c>
      <c r="R18" s="44">
        <f t="shared" si="2"/>
        <v>-5032.1178600000003</v>
      </c>
      <c r="S18" s="44">
        <f t="shared" si="2"/>
        <v>-4468.5</v>
      </c>
      <c r="T18" s="44">
        <f t="shared" si="2"/>
        <v>-5021.5</v>
      </c>
      <c r="U18" s="44">
        <f t="shared" si="2"/>
        <v>-4973.8178600000001</v>
      </c>
      <c r="V18" s="44">
        <f t="shared" si="2"/>
        <v>-4025.5</v>
      </c>
      <c r="W18" s="44">
        <f t="shared" si="2"/>
        <v>-210</v>
      </c>
      <c r="X18" s="44">
        <f t="shared" si="2"/>
        <v>-11813.453679</v>
      </c>
      <c r="Y18" s="44">
        <f t="shared" si="2"/>
        <v>847.5</v>
      </c>
      <c r="Z18" s="44">
        <f t="shared" si="2"/>
        <v>-383.25</v>
      </c>
      <c r="AA18" s="44">
        <f t="shared" si="2"/>
        <v>-10.61786</v>
      </c>
      <c r="AB18" s="44">
        <f t="shared" si="2"/>
        <v>886</v>
      </c>
      <c r="AC18" s="44">
        <f t="shared" si="2"/>
        <v>-3705.25</v>
      </c>
      <c r="AD18" s="44">
        <f t="shared" si="2"/>
        <v>-10.61786</v>
      </c>
      <c r="AE18" s="44">
        <f t="shared" si="2"/>
        <v>309</v>
      </c>
      <c r="AF18" s="44">
        <f t="shared" si="2"/>
        <v>-330.75</v>
      </c>
      <c r="AG18" s="44">
        <f t="shared" si="2"/>
        <v>-10.61786</v>
      </c>
      <c r="AH18" s="44">
        <f t="shared" si="2"/>
        <v>0</v>
      </c>
      <c r="AI18" s="44">
        <f t="shared" si="2"/>
        <v>-330.75</v>
      </c>
    </row>
    <row r="19" spans="1:35" x14ac:dyDescent="0.3">
      <c r="A19" s="23">
        <v>45108</v>
      </c>
      <c r="B19" s="14" t="s">
        <v>18</v>
      </c>
      <c r="C19" s="9">
        <v>-10617860</v>
      </c>
      <c r="D19" s="10">
        <f t="shared" si="0"/>
        <v>11536545126</v>
      </c>
      <c r="E19" s="11"/>
      <c r="J19" s="3" t="s">
        <v>89</v>
      </c>
      <c r="K19" s="44">
        <f>SUM(K20:K21)</f>
        <v>-529.47999300000004</v>
      </c>
      <c r="L19" s="44">
        <f t="shared" ref="L19:AI19" si="3">SUM(L20:L21)</f>
        <v>0</v>
      </c>
      <c r="M19" s="44">
        <f t="shared" si="3"/>
        <v>0</v>
      </c>
      <c r="N19" s="44">
        <f t="shared" si="3"/>
        <v>-208.81915400000003</v>
      </c>
      <c r="O19" s="44">
        <f t="shared" si="3"/>
        <v>-10.61786</v>
      </c>
      <c r="P19" s="44">
        <f t="shared" si="3"/>
        <v>0</v>
      </c>
      <c r="Q19" s="44">
        <f t="shared" si="3"/>
        <v>0</v>
      </c>
      <c r="R19" s="44">
        <f t="shared" si="3"/>
        <v>-10.61786</v>
      </c>
      <c r="S19" s="44">
        <f t="shared" si="3"/>
        <v>0</v>
      </c>
      <c r="T19" s="44">
        <f t="shared" si="3"/>
        <v>0</v>
      </c>
      <c r="U19" s="44">
        <f t="shared" si="3"/>
        <v>-10.61786</v>
      </c>
      <c r="V19" s="44">
        <f t="shared" si="3"/>
        <v>0</v>
      </c>
      <c r="W19" s="44">
        <f t="shared" si="3"/>
        <v>0</v>
      </c>
      <c r="X19" s="44">
        <f t="shared" si="3"/>
        <v>-256.95367899999997</v>
      </c>
      <c r="Y19" s="44">
        <f t="shared" si="3"/>
        <v>0</v>
      </c>
      <c r="Z19" s="44">
        <f t="shared" si="3"/>
        <v>0</v>
      </c>
      <c r="AA19" s="44">
        <f t="shared" si="3"/>
        <v>-10.61786</v>
      </c>
      <c r="AB19" s="44">
        <f t="shared" si="3"/>
        <v>0</v>
      </c>
      <c r="AC19" s="44">
        <f t="shared" si="3"/>
        <v>0</v>
      </c>
      <c r="AD19" s="44">
        <f t="shared" si="3"/>
        <v>-10.61786</v>
      </c>
      <c r="AE19" s="44">
        <f t="shared" si="3"/>
        <v>0</v>
      </c>
      <c r="AF19" s="44">
        <f t="shared" si="3"/>
        <v>0</v>
      </c>
      <c r="AG19" s="44">
        <f t="shared" si="3"/>
        <v>-10.61786</v>
      </c>
      <c r="AH19" s="44">
        <f t="shared" si="3"/>
        <v>0</v>
      </c>
      <c r="AI19" s="44">
        <f t="shared" si="3"/>
        <v>0</v>
      </c>
    </row>
    <row r="20" spans="1:35" x14ac:dyDescent="0.3">
      <c r="A20" s="23">
        <v>45122</v>
      </c>
      <c r="B20" s="16" t="s">
        <v>37</v>
      </c>
      <c r="C20" s="15">
        <v>-38500000</v>
      </c>
      <c r="D20" s="10">
        <f t="shared" si="0"/>
        <v>11498045126</v>
      </c>
      <c r="E20" s="11"/>
      <c r="J20" s="45" t="s">
        <v>90</v>
      </c>
      <c r="K20" s="44">
        <f>SUM(L20:AI20)</f>
        <v>-451.61566800000003</v>
      </c>
      <c r="N20" s="44">
        <f>C7/1000000</f>
        <v>-205.27984900000001</v>
      </c>
      <c r="P20" s="44"/>
      <c r="Q20" s="44"/>
      <c r="R20" s="44"/>
      <c r="S20" s="44"/>
      <c r="T20" s="44"/>
      <c r="U20" s="44"/>
      <c r="V20" s="44"/>
      <c r="W20" s="44"/>
      <c r="X20" s="44">
        <f>C41/1000000</f>
        <v>-246.33581899999999</v>
      </c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</row>
    <row r="21" spans="1:35" x14ac:dyDescent="0.3">
      <c r="A21" s="26">
        <v>45137</v>
      </c>
      <c r="B21" s="30" t="s">
        <v>39</v>
      </c>
      <c r="C21" s="28">
        <v>-4873000000</v>
      </c>
      <c r="D21" s="10">
        <f t="shared" si="0"/>
        <v>6625045126</v>
      </c>
      <c r="E21" s="11"/>
      <c r="F21" s="4"/>
      <c r="G21" s="4"/>
      <c r="H21" s="4"/>
      <c r="J21" s="45" t="s">
        <v>88</v>
      </c>
      <c r="K21" s="44">
        <f t="shared" ref="K21:K29" si="4">SUM(L21:AI21)</f>
        <v>-77.864325000000008</v>
      </c>
      <c r="M21" s="44"/>
      <c r="N21" s="44">
        <f>C8/1000000</f>
        <v>-3.5393050000000001</v>
      </c>
      <c r="O21" s="44">
        <f>C10/1000000</f>
        <v>-10.61786</v>
      </c>
      <c r="P21" s="44"/>
      <c r="Q21" s="44"/>
      <c r="R21" s="44">
        <f>C19/1000000</f>
        <v>-10.61786</v>
      </c>
      <c r="S21" s="44"/>
      <c r="T21" s="44"/>
      <c r="U21" s="44">
        <f>C30/1000000</f>
        <v>-10.61786</v>
      </c>
      <c r="V21" s="44"/>
      <c r="W21" s="44"/>
      <c r="X21" s="44">
        <f>C42/1000000</f>
        <v>-10.61786</v>
      </c>
      <c r="Y21" s="44"/>
      <c r="Z21" s="44"/>
      <c r="AA21" s="44">
        <f>C52/1000000</f>
        <v>-10.61786</v>
      </c>
      <c r="AB21" s="44"/>
      <c r="AC21" s="44"/>
      <c r="AD21" s="44">
        <f>C57/1000000</f>
        <v>-10.61786</v>
      </c>
      <c r="AE21" s="44"/>
      <c r="AF21" s="44"/>
      <c r="AG21" s="44">
        <f>C60/1000000</f>
        <v>-10.61786</v>
      </c>
      <c r="AH21" s="44"/>
      <c r="AI21" s="44"/>
    </row>
    <row r="22" spans="1:35" x14ac:dyDescent="0.3">
      <c r="A22" s="23"/>
      <c r="B22" s="16" t="s">
        <v>21</v>
      </c>
      <c r="C22" s="15">
        <v>-110000000</v>
      </c>
      <c r="D22" s="10">
        <f t="shared" si="0"/>
        <v>6515045126</v>
      </c>
      <c r="E22" s="11" t="s">
        <v>32</v>
      </c>
      <c r="J22" s="3" t="s">
        <v>17</v>
      </c>
      <c r="K22" s="44">
        <f t="shared" si="4"/>
        <v>-48730</v>
      </c>
      <c r="L22" s="44">
        <f>C6/1000000</f>
        <v>-4873</v>
      </c>
      <c r="M22" s="44"/>
      <c r="N22" s="44"/>
      <c r="O22" s="44">
        <f>C9/1000000</f>
        <v>-4873</v>
      </c>
      <c r="P22" s="44">
        <f>C15/1000000</f>
        <v>-4873</v>
      </c>
      <c r="Q22" s="44"/>
      <c r="R22" s="44">
        <f>C21/1000000</f>
        <v>-4873</v>
      </c>
      <c r="S22" s="44">
        <f>C25/1000000</f>
        <v>-4873</v>
      </c>
      <c r="T22" s="44">
        <f>C28/1000000</f>
        <v>-4873</v>
      </c>
      <c r="U22" s="44">
        <f>C33/1000000</f>
        <v>-4873</v>
      </c>
      <c r="V22" s="44">
        <f>C38/1000000</f>
        <v>-4873</v>
      </c>
      <c r="W22" s="44"/>
      <c r="X22" s="44">
        <f>C45/1000000</f>
        <v>-9746</v>
      </c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</row>
    <row r="23" spans="1:35" x14ac:dyDescent="0.3">
      <c r="A23" s="23">
        <v>45148</v>
      </c>
      <c r="B23" s="24" t="s">
        <v>40</v>
      </c>
      <c r="C23" s="25">
        <v>443000000</v>
      </c>
      <c r="D23" s="10">
        <f t="shared" si="0"/>
        <v>6958045126</v>
      </c>
      <c r="E23" s="11"/>
      <c r="J23" s="3" t="s">
        <v>91</v>
      </c>
      <c r="K23" s="44">
        <f>SUM(K24:K25)</f>
        <v>-653.4</v>
      </c>
      <c r="L23" s="44">
        <f t="shared" ref="L23" si="5">SUM(L24:L25)</f>
        <v>0</v>
      </c>
      <c r="M23" s="44">
        <f t="shared" ref="M23" si="6">SUM(M24:M25)</f>
        <v>0</v>
      </c>
      <c r="N23" s="44">
        <f t="shared" ref="N23" si="7">SUM(N24:N25)</f>
        <v>0</v>
      </c>
      <c r="O23" s="44">
        <f t="shared" ref="O23" si="8">SUM(O24:O25)</f>
        <v>-114.4</v>
      </c>
      <c r="P23" s="44">
        <f t="shared" ref="P23" si="9">SUM(P24:P25)</f>
        <v>0</v>
      </c>
      <c r="Q23" s="44">
        <f t="shared" ref="Q23" si="10">SUM(Q24:Q25)</f>
        <v>-154</v>
      </c>
      <c r="R23" s="44">
        <f t="shared" ref="R23" si="11">SUM(R24:R25)</f>
        <v>-38.5</v>
      </c>
      <c r="S23" s="44">
        <f t="shared" ref="S23" si="12">SUM(S24:S25)</f>
        <v>-38.5</v>
      </c>
      <c r="T23" s="44">
        <f t="shared" ref="T23" si="13">SUM(T24:T25)</f>
        <v>-38.5</v>
      </c>
      <c r="U23" s="44">
        <f t="shared" ref="U23" si="14">SUM(U24:U25)</f>
        <v>-38.5</v>
      </c>
      <c r="V23" s="44">
        <f t="shared" ref="V23" si="15">SUM(V24:V25)</f>
        <v>-38.5</v>
      </c>
      <c r="W23" s="44">
        <f t="shared" ref="W23" si="16">SUM(W24:W25)</f>
        <v>-38.5</v>
      </c>
      <c r="X23" s="44">
        <f t="shared" ref="X23" si="17">SUM(X24:X25)</f>
        <v>-38.5</v>
      </c>
      <c r="Y23" s="44">
        <f t="shared" ref="Y23" si="18">SUM(Y24:Y25)</f>
        <v>-38.5</v>
      </c>
      <c r="Z23" s="44">
        <f t="shared" ref="Z23" si="19">SUM(Z24:Z25)</f>
        <v>-77</v>
      </c>
      <c r="AA23" s="44">
        <f t="shared" ref="AA23" si="20">SUM(AA24:AA25)</f>
        <v>0</v>
      </c>
      <c r="AB23" s="44">
        <f t="shared" ref="AB23" si="21">SUM(AB24:AB25)</f>
        <v>0</v>
      </c>
      <c r="AC23" s="44">
        <f t="shared" ref="AC23" si="22">SUM(AC24:AC25)</f>
        <v>0</v>
      </c>
      <c r="AD23" s="44">
        <f t="shared" ref="AD23" si="23">SUM(AD24:AD25)</f>
        <v>0</v>
      </c>
      <c r="AE23" s="44">
        <f t="shared" ref="AE23" si="24">SUM(AE24:AE25)</f>
        <v>0</v>
      </c>
      <c r="AF23" s="44">
        <f t="shared" ref="AF23" si="25">SUM(AF24:AF25)</f>
        <v>0</v>
      </c>
      <c r="AG23" s="44">
        <f t="shared" ref="AG23" si="26">SUM(AG24:AG25)</f>
        <v>0</v>
      </c>
      <c r="AH23" s="44">
        <f t="shared" ref="AH23" si="27">SUM(AH24:AH25)</f>
        <v>0</v>
      </c>
      <c r="AI23" s="44">
        <f t="shared" ref="AI23" si="28">SUM(AI24:AI25)</f>
        <v>0</v>
      </c>
    </row>
    <row r="24" spans="1:35" x14ac:dyDescent="0.3">
      <c r="A24" s="23">
        <v>45153</v>
      </c>
      <c r="B24" s="16" t="s">
        <v>41</v>
      </c>
      <c r="C24" s="15">
        <v>-38500000</v>
      </c>
      <c r="D24" s="10">
        <f t="shared" si="0"/>
        <v>6919545126</v>
      </c>
      <c r="E24" s="11"/>
      <c r="J24" s="45" t="s">
        <v>19</v>
      </c>
      <c r="K24" s="44">
        <f t="shared" si="4"/>
        <v>-576.4</v>
      </c>
      <c r="L24" s="44"/>
      <c r="M24" s="44"/>
      <c r="N24" s="44"/>
      <c r="O24" s="44">
        <f>C11/1000000</f>
        <v>-114.4</v>
      </c>
      <c r="P24" s="459"/>
      <c r="Q24" s="459">
        <f>C18/1000000+C14/1000000</f>
        <v>-77</v>
      </c>
      <c r="R24" s="44">
        <f>C20/1000000</f>
        <v>-38.5</v>
      </c>
      <c r="S24" s="44">
        <f>C24/1000000</f>
        <v>-38.5</v>
      </c>
      <c r="T24" s="44">
        <f>C26/1000000</f>
        <v>-38.5</v>
      </c>
      <c r="U24" s="44">
        <f>C31/1000000</f>
        <v>-38.5</v>
      </c>
      <c r="V24" s="44">
        <f>C36/1000000</f>
        <v>-38.5</v>
      </c>
      <c r="W24" s="44">
        <f>C39/1000000</f>
        <v>-38.5</v>
      </c>
      <c r="X24" s="44">
        <f>C43/1000000</f>
        <v>-38.5</v>
      </c>
      <c r="Y24" s="44">
        <f>C48/1000000</f>
        <v>-38.5</v>
      </c>
      <c r="Z24" s="44">
        <f>(C49+C51)/1000000</f>
        <v>-77</v>
      </c>
      <c r="AA24" s="44"/>
      <c r="AB24" s="44"/>
      <c r="AC24" s="44"/>
      <c r="AD24" s="44"/>
      <c r="AE24" s="44"/>
      <c r="AF24" s="44"/>
      <c r="AG24" s="44"/>
      <c r="AH24" s="44"/>
      <c r="AI24" s="44"/>
    </row>
    <row r="25" spans="1:35" x14ac:dyDescent="0.3">
      <c r="A25" s="26">
        <v>45168</v>
      </c>
      <c r="B25" s="30" t="s">
        <v>42</v>
      </c>
      <c r="C25" s="28">
        <v>-4873000000</v>
      </c>
      <c r="D25" s="10">
        <f t="shared" si="0"/>
        <v>2046545126</v>
      </c>
      <c r="E25" s="11"/>
      <c r="F25" s="4"/>
      <c r="G25" s="4"/>
      <c r="H25" s="4"/>
      <c r="J25" s="45" t="s">
        <v>92</v>
      </c>
      <c r="K25" s="44">
        <f t="shared" si="4"/>
        <v>-77</v>
      </c>
      <c r="P25" s="459"/>
      <c r="Q25" s="460">
        <f>C16/1000000</f>
        <v>-77</v>
      </c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</row>
    <row r="26" spans="1:35" x14ac:dyDescent="0.3">
      <c r="A26" s="23">
        <v>45184</v>
      </c>
      <c r="B26" s="16" t="s">
        <v>43</v>
      </c>
      <c r="C26" s="15">
        <v>-38500000</v>
      </c>
      <c r="D26" s="10">
        <f t="shared" si="0"/>
        <v>2008045126</v>
      </c>
      <c r="E26" s="11"/>
      <c r="G26" s="4"/>
      <c r="H26" s="4"/>
      <c r="J26" s="3" t="s">
        <v>93</v>
      </c>
      <c r="K26" s="44">
        <f>SUM(K27:K29)</f>
        <v>-2175.6999999999998</v>
      </c>
      <c r="L26" s="44">
        <f t="shared" ref="L26:AI26" si="29">SUM(L27:L29)</f>
        <v>0</v>
      </c>
      <c r="M26" s="44">
        <f t="shared" si="29"/>
        <v>0</v>
      </c>
      <c r="N26" s="44">
        <f t="shared" si="29"/>
        <v>0</v>
      </c>
      <c r="O26" s="44">
        <f t="shared" si="29"/>
        <v>0</v>
      </c>
      <c r="P26" s="44">
        <f t="shared" si="29"/>
        <v>0</v>
      </c>
      <c r="Q26" s="44">
        <f t="shared" si="29"/>
        <v>-132</v>
      </c>
      <c r="R26" s="44">
        <f t="shared" si="29"/>
        <v>-110</v>
      </c>
      <c r="S26" s="44">
        <f t="shared" si="29"/>
        <v>0</v>
      </c>
      <c r="T26" s="44">
        <f t="shared" si="29"/>
        <v>-110</v>
      </c>
      <c r="U26" s="44">
        <f t="shared" si="29"/>
        <v>-51.7</v>
      </c>
      <c r="V26" s="44">
        <f t="shared" si="29"/>
        <v>0</v>
      </c>
      <c r="W26" s="44">
        <f t="shared" si="29"/>
        <v>0</v>
      </c>
      <c r="X26" s="44">
        <f t="shared" si="29"/>
        <v>-1772</v>
      </c>
      <c r="Y26" s="44">
        <f t="shared" si="29"/>
        <v>0</v>
      </c>
      <c r="Z26" s="44">
        <f t="shared" si="29"/>
        <v>0</v>
      </c>
      <c r="AA26" s="44">
        <f t="shared" si="29"/>
        <v>0</v>
      </c>
      <c r="AB26" s="44">
        <f t="shared" si="29"/>
        <v>0</v>
      </c>
      <c r="AC26" s="44">
        <f t="shared" si="29"/>
        <v>0</v>
      </c>
      <c r="AD26" s="44">
        <f t="shared" si="29"/>
        <v>0</v>
      </c>
      <c r="AE26" s="44">
        <f t="shared" si="29"/>
        <v>0</v>
      </c>
      <c r="AF26" s="44">
        <f t="shared" si="29"/>
        <v>0</v>
      </c>
      <c r="AG26" s="44">
        <f t="shared" si="29"/>
        <v>0</v>
      </c>
      <c r="AH26" s="44">
        <f t="shared" si="29"/>
        <v>0</v>
      </c>
      <c r="AI26" s="44">
        <f t="shared" si="29"/>
        <v>0</v>
      </c>
    </row>
    <row r="27" spans="1:35" x14ac:dyDescent="0.3">
      <c r="A27" s="31">
        <v>45196</v>
      </c>
      <c r="B27" s="32" t="s">
        <v>44</v>
      </c>
      <c r="C27" s="33">
        <v>4000000000</v>
      </c>
      <c r="D27" s="34">
        <f>D26+C27</f>
        <v>6008045126</v>
      </c>
      <c r="E27" s="35"/>
      <c r="F27" s="36" t="s">
        <v>45</v>
      </c>
      <c r="G27" s="36"/>
      <c r="H27" s="36"/>
      <c r="J27" s="45" t="s">
        <v>94</v>
      </c>
      <c r="K27" s="44">
        <f t="shared" si="4"/>
        <v>-352</v>
      </c>
      <c r="L27" s="44"/>
      <c r="M27" s="44"/>
      <c r="N27" s="44"/>
      <c r="O27" s="44"/>
      <c r="P27" s="459"/>
      <c r="Q27" s="459">
        <v>-132</v>
      </c>
      <c r="R27" s="44">
        <f>C22/1000000</f>
        <v>-110</v>
      </c>
      <c r="S27" s="44"/>
      <c r="T27" s="44">
        <f>C29/1000000</f>
        <v>-110</v>
      </c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</row>
    <row r="28" spans="1:35" x14ac:dyDescent="0.3">
      <c r="A28" s="26">
        <v>45199</v>
      </c>
      <c r="B28" s="30" t="s">
        <v>46</v>
      </c>
      <c r="C28" s="28">
        <v>-4873000000</v>
      </c>
      <c r="D28" s="10">
        <f t="shared" si="0"/>
        <v>1135045126</v>
      </c>
      <c r="E28" s="11"/>
      <c r="F28" s="37" t="s">
        <v>47</v>
      </c>
      <c r="G28" s="37"/>
      <c r="H28" s="37"/>
      <c r="J28" s="45" t="s">
        <v>51</v>
      </c>
      <c r="K28" s="44">
        <f t="shared" si="4"/>
        <v>-51.7</v>
      </c>
      <c r="L28" s="44"/>
      <c r="M28" s="44"/>
      <c r="N28" s="44"/>
      <c r="O28" s="44"/>
      <c r="P28" s="44"/>
      <c r="Q28" s="44"/>
      <c r="R28" s="44"/>
      <c r="S28" s="44"/>
      <c r="T28" s="44"/>
      <c r="U28" s="44">
        <f>C34/1000000</f>
        <v>-51.7</v>
      </c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</row>
    <row r="29" spans="1:35" x14ac:dyDescent="0.3">
      <c r="A29" s="23"/>
      <c r="B29" s="16" t="s">
        <v>21</v>
      </c>
      <c r="C29" s="15">
        <v>-110000000</v>
      </c>
      <c r="D29" s="10">
        <f t="shared" si="0"/>
        <v>1025045126</v>
      </c>
      <c r="E29" s="11" t="s">
        <v>32</v>
      </c>
      <c r="J29" s="45" t="s">
        <v>97</v>
      </c>
      <c r="K29" s="44">
        <f t="shared" si="4"/>
        <v>-1772</v>
      </c>
      <c r="X29" s="44">
        <f>C46/1000000</f>
        <v>-1772</v>
      </c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</row>
    <row r="30" spans="1:35" x14ac:dyDescent="0.3">
      <c r="A30" s="23">
        <v>45200</v>
      </c>
      <c r="B30" s="14" t="s">
        <v>18</v>
      </c>
      <c r="C30" s="9">
        <v>-10617860</v>
      </c>
      <c r="D30" s="10">
        <f t="shared" si="0"/>
        <v>1014427266</v>
      </c>
      <c r="E30" s="11"/>
      <c r="J30" s="3" t="s">
        <v>27</v>
      </c>
      <c r="K30" s="44">
        <f>SUM(L30:AI30)</f>
        <v>-1445.5</v>
      </c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>
        <f>C40/1000000</f>
        <v>-171.5</v>
      </c>
      <c r="X30" s="44"/>
      <c r="Y30" s="44"/>
      <c r="Z30" s="44">
        <f>C50/1000000</f>
        <v>-306.25</v>
      </c>
      <c r="AA30" s="44"/>
      <c r="AB30" s="44"/>
      <c r="AC30" s="44">
        <f>C54/1000000</f>
        <v>-306.25</v>
      </c>
      <c r="AD30" s="44"/>
      <c r="AE30" s="44"/>
      <c r="AF30" s="44">
        <f>C59/1000000</f>
        <v>-330.75</v>
      </c>
      <c r="AG30" s="44"/>
      <c r="AH30" s="44"/>
      <c r="AI30" s="44">
        <f>C61/1000000</f>
        <v>-330.75</v>
      </c>
    </row>
    <row r="31" spans="1:35" x14ac:dyDescent="0.3">
      <c r="A31" s="23">
        <v>45214</v>
      </c>
      <c r="B31" s="16" t="s">
        <v>48</v>
      </c>
      <c r="C31" s="15">
        <v>-38500000</v>
      </c>
      <c r="D31" s="10">
        <f t="shared" si="0"/>
        <v>975927266</v>
      </c>
      <c r="E31" s="11"/>
      <c r="J31" s="3" t="s">
        <v>98</v>
      </c>
      <c r="K31" s="44">
        <f>SUM(L31:AI31)</f>
        <v>-3399</v>
      </c>
      <c r="AC31" s="44">
        <f>C56/1000000</f>
        <v>-3399</v>
      </c>
      <c r="AE31" s="44"/>
      <c r="AF31" s="44"/>
      <c r="AG31" s="44"/>
      <c r="AH31" s="44"/>
      <c r="AI31" s="44"/>
    </row>
    <row r="32" spans="1:35" x14ac:dyDescent="0.3">
      <c r="A32" s="31">
        <v>45226</v>
      </c>
      <c r="B32" s="32" t="s">
        <v>49</v>
      </c>
      <c r="C32" s="33">
        <v>5000000000</v>
      </c>
      <c r="D32" s="34">
        <f t="shared" si="0"/>
        <v>5975927266</v>
      </c>
      <c r="E32" s="35"/>
      <c r="F32" s="36" t="s">
        <v>45</v>
      </c>
      <c r="G32" s="36"/>
      <c r="H32" s="36"/>
      <c r="J32" s="47" t="s">
        <v>25</v>
      </c>
      <c r="K32" s="44">
        <f>SUM(L32:AI32)</f>
        <v>4174</v>
      </c>
      <c r="L32" s="44"/>
      <c r="M32" s="44"/>
      <c r="N32" s="44"/>
      <c r="O32" s="44"/>
      <c r="P32" s="44">
        <f>C13/1000000</f>
        <v>764</v>
      </c>
      <c r="Q32" s="44"/>
      <c r="R32" s="44"/>
      <c r="S32" s="44">
        <f>C23/1000000</f>
        <v>443</v>
      </c>
      <c r="T32" s="44"/>
      <c r="U32" s="44"/>
      <c r="V32" s="44">
        <f>C35/1000000</f>
        <v>886</v>
      </c>
      <c r="W32" s="44"/>
      <c r="X32" s="44"/>
      <c r="Y32" s="44">
        <f>C47/1000000</f>
        <v>886</v>
      </c>
      <c r="Z32" s="44"/>
      <c r="AA32" s="44"/>
      <c r="AB32" s="44">
        <f>C53/1000000</f>
        <v>886</v>
      </c>
      <c r="AC32" s="44"/>
      <c r="AD32" s="44"/>
      <c r="AE32" s="44">
        <f>C58/1000000</f>
        <v>309</v>
      </c>
      <c r="AF32" s="44"/>
      <c r="AG32" s="44"/>
      <c r="AH32" s="44"/>
      <c r="AI32" s="44"/>
    </row>
    <row r="33" spans="1:35" x14ac:dyDescent="0.3">
      <c r="A33" s="26">
        <v>45229</v>
      </c>
      <c r="B33" s="30" t="s">
        <v>50</v>
      </c>
      <c r="C33" s="28">
        <v>-4873000000</v>
      </c>
      <c r="D33" s="10">
        <f t="shared" si="0"/>
        <v>1102927266</v>
      </c>
      <c r="E33" s="11"/>
      <c r="J33" s="3" t="s">
        <v>29</v>
      </c>
      <c r="K33" s="44">
        <f>SUM(K34:K35)</f>
        <v>53000</v>
      </c>
      <c r="L33" s="44">
        <f t="shared" ref="L33" si="30">SUM(L34:L35)</f>
        <v>11000</v>
      </c>
      <c r="M33" s="44">
        <f t="shared" ref="M33" si="31">SUM(M34:M35)</f>
        <v>0</v>
      </c>
      <c r="N33" s="44">
        <f t="shared" ref="N33" si="32">SUM(N34:N35)</f>
        <v>0</v>
      </c>
      <c r="O33" s="44">
        <f t="shared" ref="O33" si="33">SUM(O34:O35)</f>
        <v>15000</v>
      </c>
      <c r="P33" s="44">
        <f t="shared" ref="P33" si="34">SUM(P34:P35)</f>
        <v>0</v>
      </c>
      <c r="Q33" s="44">
        <f t="shared" ref="Q33" si="35">SUM(Q34:Q35)</f>
        <v>0</v>
      </c>
      <c r="R33" s="44">
        <f t="shared" ref="R33" si="36">SUM(R34:R35)</f>
        <v>0</v>
      </c>
      <c r="S33" s="44">
        <f t="shared" ref="S33" si="37">SUM(S34:S35)</f>
        <v>0</v>
      </c>
      <c r="T33" s="44">
        <f t="shared" ref="T33" si="38">SUM(T34:T35)</f>
        <v>4000</v>
      </c>
      <c r="U33" s="44">
        <f t="shared" ref="U33" si="39">SUM(U34:U35)</f>
        <v>5000</v>
      </c>
      <c r="V33" s="44">
        <f t="shared" ref="V33" si="40">SUM(V34:V35)</f>
        <v>4000</v>
      </c>
      <c r="W33" s="44">
        <f t="shared" ref="W33" si="41">SUM(W34:W35)</f>
        <v>0</v>
      </c>
      <c r="X33" s="44">
        <f t="shared" ref="X33" si="42">SUM(X34:X35)</f>
        <v>12000</v>
      </c>
      <c r="Y33" s="44">
        <f t="shared" ref="Y33" si="43">SUM(Y34:Y35)</f>
        <v>0</v>
      </c>
      <c r="Z33" s="44">
        <f t="shared" ref="Z33" si="44">SUM(Z34:Z35)</f>
        <v>0</v>
      </c>
      <c r="AA33" s="44">
        <f t="shared" ref="AA33" si="45">SUM(AA34:AA35)</f>
        <v>0</v>
      </c>
      <c r="AB33" s="44">
        <f t="shared" ref="AB33" si="46">SUM(AB34:AB35)</f>
        <v>0</v>
      </c>
      <c r="AC33" s="44">
        <f t="shared" ref="AC33" si="47">SUM(AC34:AC35)</f>
        <v>2000</v>
      </c>
      <c r="AD33" s="44">
        <f t="shared" ref="AD33" si="48">SUM(AD34:AD35)</f>
        <v>0</v>
      </c>
      <c r="AE33" s="44">
        <f t="shared" ref="AE33" si="49">SUM(AE34:AE35)</f>
        <v>0</v>
      </c>
      <c r="AF33" s="44">
        <f t="shared" ref="AF33" si="50">SUM(AF34:AF35)</f>
        <v>0</v>
      </c>
      <c r="AG33" s="44">
        <f t="shared" ref="AG33" si="51">SUM(AG34:AG35)</f>
        <v>0</v>
      </c>
      <c r="AH33" s="44">
        <f t="shared" ref="AH33" si="52">SUM(AH34:AH35)</f>
        <v>0</v>
      </c>
      <c r="AI33" s="44">
        <f t="shared" ref="AI33" si="53">SUM(AI34:AI35)</f>
        <v>0</v>
      </c>
    </row>
    <row r="34" spans="1:35" x14ac:dyDescent="0.3">
      <c r="A34" s="23">
        <v>45229</v>
      </c>
      <c r="B34" s="16" t="s">
        <v>51</v>
      </c>
      <c r="C34" s="15">
        <v>-51700000</v>
      </c>
      <c r="D34" s="10">
        <f t="shared" si="0"/>
        <v>1051227266</v>
      </c>
      <c r="E34" s="11"/>
      <c r="J34" s="3" t="s">
        <v>31</v>
      </c>
      <c r="K34" s="44">
        <f t="shared" ref="K34:K35" si="54">SUM(L34:AI34)</f>
        <v>26000</v>
      </c>
      <c r="L34" s="44">
        <f>D5/1000000</f>
        <v>11000</v>
      </c>
      <c r="M34" s="44"/>
      <c r="N34" s="44"/>
      <c r="O34" s="44">
        <f>C12/1000000</f>
        <v>15000</v>
      </c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</row>
    <row r="35" spans="1:35" x14ac:dyDescent="0.3">
      <c r="A35" s="23">
        <v>45240</v>
      </c>
      <c r="B35" s="24" t="s">
        <v>24</v>
      </c>
      <c r="C35" s="25">
        <v>886000000</v>
      </c>
      <c r="D35" s="10">
        <f t="shared" si="0"/>
        <v>1937227266</v>
      </c>
      <c r="E35" s="11"/>
      <c r="F35" s="4"/>
      <c r="G35" s="4"/>
      <c r="H35" s="4"/>
      <c r="J35" s="3" t="s">
        <v>33</v>
      </c>
      <c r="K35" s="44">
        <f t="shared" si="54"/>
        <v>27000</v>
      </c>
      <c r="L35" s="44"/>
      <c r="M35" s="44"/>
      <c r="N35" s="44"/>
      <c r="O35" s="44"/>
      <c r="P35" s="44"/>
      <c r="Q35" s="44"/>
      <c r="R35" s="44"/>
      <c r="S35" s="44"/>
      <c r="T35" s="44">
        <f>C27/1000000</f>
        <v>4000</v>
      </c>
      <c r="U35" s="44">
        <f>C32/1000000</f>
        <v>5000</v>
      </c>
      <c r="V35" s="44">
        <f>C37/1000000</f>
        <v>4000</v>
      </c>
      <c r="W35" s="44"/>
      <c r="X35" s="44">
        <f>C44/1000000</f>
        <v>12000</v>
      </c>
      <c r="Y35" s="44"/>
      <c r="Z35" s="44"/>
      <c r="AA35" s="44"/>
      <c r="AB35" s="44"/>
      <c r="AC35" s="44">
        <f>C55/1000000</f>
        <v>2000</v>
      </c>
      <c r="AD35" s="44"/>
    </row>
    <row r="36" spans="1:35" x14ac:dyDescent="0.3">
      <c r="A36" s="23">
        <v>45245</v>
      </c>
      <c r="B36" s="16" t="s">
        <v>52</v>
      </c>
      <c r="C36" s="15">
        <v>-38500000</v>
      </c>
      <c r="D36" s="10">
        <f t="shared" si="0"/>
        <v>1898727266</v>
      </c>
      <c r="E36" s="11"/>
      <c r="J36" s="3" t="s">
        <v>99</v>
      </c>
      <c r="K36" s="44">
        <f>K33+K17</f>
        <v>240.92000700000062</v>
      </c>
      <c r="L36" s="44">
        <f t="shared" ref="L36:AI36" si="55">L33+L17</f>
        <v>6127</v>
      </c>
      <c r="M36" s="44">
        <f t="shared" si="55"/>
        <v>0</v>
      </c>
      <c r="N36" s="44">
        <f t="shared" si="55"/>
        <v>-208.81915400000003</v>
      </c>
      <c r="O36" s="44">
        <f t="shared" si="55"/>
        <v>10001.98214</v>
      </c>
      <c r="P36" s="44">
        <f t="shared" si="55"/>
        <v>-4109</v>
      </c>
      <c r="Q36" s="44">
        <f t="shared" si="55"/>
        <v>-286</v>
      </c>
      <c r="R36" s="44">
        <f t="shared" si="55"/>
        <v>-5032.1178600000003</v>
      </c>
      <c r="S36" s="44">
        <f t="shared" si="55"/>
        <v>-4468.5</v>
      </c>
      <c r="T36" s="44">
        <f t="shared" si="55"/>
        <v>-1021.5</v>
      </c>
      <c r="U36" s="44">
        <f t="shared" si="55"/>
        <v>26.18213999999989</v>
      </c>
      <c r="V36" s="44">
        <f t="shared" si="55"/>
        <v>-25.5</v>
      </c>
      <c r="W36" s="44">
        <f t="shared" si="55"/>
        <v>-210</v>
      </c>
      <c r="X36" s="44">
        <f t="shared" si="55"/>
        <v>186.54632099999981</v>
      </c>
      <c r="Y36" s="44">
        <f t="shared" si="55"/>
        <v>847.5</v>
      </c>
      <c r="Z36" s="44">
        <f t="shared" si="55"/>
        <v>-383.25</v>
      </c>
      <c r="AA36" s="44">
        <f t="shared" si="55"/>
        <v>-10.61786</v>
      </c>
      <c r="AB36" s="44">
        <f t="shared" si="55"/>
        <v>886</v>
      </c>
      <c r="AC36" s="44">
        <f t="shared" si="55"/>
        <v>-1705.25</v>
      </c>
      <c r="AD36" s="44">
        <f t="shared" si="55"/>
        <v>-10.61786</v>
      </c>
      <c r="AE36" s="44">
        <f t="shared" si="55"/>
        <v>309</v>
      </c>
      <c r="AF36" s="44">
        <f t="shared" si="55"/>
        <v>-330.75</v>
      </c>
      <c r="AG36" s="44">
        <f t="shared" si="55"/>
        <v>-10.61786</v>
      </c>
      <c r="AH36" s="44">
        <f t="shared" si="55"/>
        <v>0</v>
      </c>
      <c r="AI36" s="44">
        <f t="shared" si="55"/>
        <v>-330.75</v>
      </c>
    </row>
    <row r="37" spans="1:35" x14ac:dyDescent="0.3">
      <c r="A37" s="31">
        <v>45257</v>
      </c>
      <c r="B37" s="32" t="s">
        <v>53</v>
      </c>
      <c r="C37" s="33">
        <v>4000000000</v>
      </c>
      <c r="D37" s="34">
        <f t="shared" si="0"/>
        <v>5898727266</v>
      </c>
      <c r="E37" s="35"/>
      <c r="F37" s="36" t="s">
        <v>45</v>
      </c>
      <c r="G37" s="36"/>
      <c r="H37" s="36"/>
      <c r="J37" s="3" t="s">
        <v>100</v>
      </c>
      <c r="K37" s="44">
        <f>L37</f>
        <v>0</v>
      </c>
      <c r="L37" s="44">
        <v>0</v>
      </c>
      <c r="M37" s="44">
        <f>L38</f>
        <v>6127</v>
      </c>
      <c r="N37" s="44">
        <f t="shared" ref="N37:AI37" si="56">M38</f>
        <v>6127</v>
      </c>
      <c r="O37" s="44">
        <f t="shared" si="56"/>
        <v>5918.1808460000002</v>
      </c>
      <c r="P37" s="44">
        <f t="shared" si="56"/>
        <v>15920.162985999999</v>
      </c>
      <c r="Q37" s="44">
        <f t="shared" si="56"/>
        <v>11811.162985999999</v>
      </c>
      <c r="R37" s="44">
        <f t="shared" si="56"/>
        <v>11525.162985999999</v>
      </c>
      <c r="S37" s="44">
        <f t="shared" si="56"/>
        <v>6493.0451259999991</v>
      </c>
      <c r="T37" s="44">
        <f t="shared" si="56"/>
        <v>2024.5451259999991</v>
      </c>
      <c r="U37" s="44">
        <f t="shared" si="56"/>
        <v>1003.0451259999991</v>
      </c>
      <c r="V37" s="44">
        <f t="shared" si="56"/>
        <v>1029.227265999999</v>
      </c>
      <c r="W37" s="44">
        <f t="shared" si="56"/>
        <v>1003.727265999999</v>
      </c>
      <c r="X37" s="44">
        <f t="shared" si="56"/>
        <v>793.72726599999896</v>
      </c>
      <c r="Y37" s="44">
        <f t="shared" si="56"/>
        <v>980.27358699999877</v>
      </c>
      <c r="Z37" s="44">
        <f t="shared" si="56"/>
        <v>1827.7735869999988</v>
      </c>
      <c r="AA37" s="44">
        <f t="shared" si="56"/>
        <v>1444.5235869999988</v>
      </c>
      <c r="AB37" s="44">
        <f t="shared" si="56"/>
        <v>1433.9057269999987</v>
      </c>
      <c r="AC37" s="44">
        <f t="shared" si="56"/>
        <v>2319.9057269999985</v>
      </c>
      <c r="AD37" s="44">
        <f t="shared" si="56"/>
        <v>614.65572699999848</v>
      </c>
      <c r="AE37" s="44">
        <f t="shared" si="56"/>
        <v>604.03786699999853</v>
      </c>
      <c r="AF37" s="44">
        <f t="shared" si="56"/>
        <v>913.03786699999853</v>
      </c>
      <c r="AG37" s="44">
        <f t="shared" si="56"/>
        <v>582.28786699999853</v>
      </c>
      <c r="AH37" s="44">
        <f t="shared" si="56"/>
        <v>571.67000699999858</v>
      </c>
      <c r="AI37" s="44">
        <f t="shared" si="56"/>
        <v>571.67000699999858</v>
      </c>
    </row>
    <row r="38" spans="1:35" x14ac:dyDescent="0.3">
      <c r="A38" s="26">
        <v>45260</v>
      </c>
      <c r="B38" s="30" t="s">
        <v>54</v>
      </c>
      <c r="C38" s="28">
        <v>-4873000000</v>
      </c>
      <c r="D38" s="10">
        <f t="shared" si="0"/>
        <v>1025727266</v>
      </c>
      <c r="E38" s="11"/>
      <c r="J38" s="3" t="s">
        <v>101</v>
      </c>
      <c r="K38" s="44">
        <f>K36+K37</f>
        <v>240.92000700000062</v>
      </c>
      <c r="L38" s="44">
        <f>L36+L37</f>
        <v>6127</v>
      </c>
      <c r="M38" s="44">
        <f>M36+M37</f>
        <v>6127</v>
      </c>
      <c r="N38" s="44">
        <f t="shared" ref="N38:AI38" si="57">N36+N37</f>
        <v>5918.1808460000002</v>
      </c>
      <c r="O38" s="44">
        <f t="shared" si="57"/>
        <v>15920.162985999999</v>
      </c>
      <c r="P38" s="44">
        <f t="shared" si="57"/>
        <v>11811.162985999999</v>
      </c>
      <c r="Q38" s="44">
        <f t="shared" si="57"/>
        <v>11525.162985999999</v>
      </c>
      <c r="R38" s="44">
        <f t="shared" si="57"/>
        <v>6493.0451259999991</v>
      </c>
      <c r="S38" s="44">
        <f t="shared" si="57"/>
        <v>2024.5451259999991</v>
      </c>
      <c r="T38" s="44">
        <f t="shared" si="57"/>
        <v>1003.0451259999991</v>
      </c>
      <c r="U38" s="44">
        <f t="shared" si="57"/>
        <v>1029.227265999999</v>
      </c>
      <c r="V38" s="44">
        <f t="shared" si="57"/>
        <v>1003.727265999999</v>
      </c>
      <c r="W38" s="44">
        <f t="shared" si="57"/>
        <v>793.72726599999896</v>
      </c>
      <c r="X38" s="44">
        <f t="shared" si="57"/>
        <v>980.27358699999877</v>
      </c>
      <c r="Y38" s="44">
        <f t="shared" si="57"/>
        <v>1827.7735869999988</v>
      </c>
      <c r="Z38" s="44">
        <f t="shared" si="57"/>
        <v>1444.5235869999988</v>
      </c>
      <c r="AA38" s="44">
        <f t="shared" si="57"/>
        <v>1433.9057269999987</v>
      </c>
      <c r="AB38" s="44">
        <f t="shared" si="57"/>
        <v>2319.9057269999985</v>
      </c>
      <c r="AC38" s="44">
        <f t="shared" si="57"/>
        <v>614.65572699999848</v>
      </c>
      <c r="AD38" s="44">
        <f t="shared" si="57"/>
        <v>604.03786699999853</v>
      </c>
      <c r="AE38" s="44">
        <f t="shared" si="57"/>
        <v>913.03786699999853</v>
      </c>
      <c r="AF38" s="44">
        <f t="shared" si="57"/>
        <v>582.28786699999853</v>
      </c>
      <c r="AG38" s="44">
        <f t="shared" si="57"/>
        <v>571.67000699999858</v>
      </c>
      <c r="AH38" s="44">
        <f t="shared" si="57"/>
        <v>571.67000699999858</v>
      </c>
      <c r="AI38" s="44">
        <f t="shared" si="57"/>
        <v>240.92000699999858</v>
      </c>
    </row>
    <row r="39" spans="1:35" x14ac:dyDescent="0.3">
      <c r="A39" s="23">
        <v>45275</v>
      </c>
      <c r="B39" s="16" t="s">
        <v>55</v>
      </c>
      <c r="C39" s="15">
        <v>-38500000</v>
      </c>
      <c r="D39" s="10">
        <f t="shared" si="0"/>
        <v>987227266</v>
      </c>
      <c r="E39" s="11"/>
      <c r="J39" s="3" t="s">
        <v>36</v>
      </c>
      <c r="AI39" s="44">
        <f>D61/1000000</f>
        <v>262.920007</v>
      </c>
    </row>
    <row r="40" spans="1:35" x14ac:dyDescent="0.3">
      <c r="A40" s="23">
        <v>45287</v>
      </c>
      <c r="B40" s="16" t="s">
        <v>56</v>
      </c>
      <c r="C40" s="15">
        <v>-171500000</v>
      </c>
      <c r="D40" s="10">
        <f t="shared" si="0"/>
        <v>815727266</v>
      </c>
      <c r="E40" s="11"/>
      <c r="F40" s="38" t="s">
        <v>57</v>
      </c>
      <c r="G40" s="38"/>
      <c r="H40" s="38"/>
      <c r="J40" s="3" t="s">
        <v>38</v>
      </c>
      <c r="AI40" s="50">
        <f>AI38-AI39</f>
        <v>-22.000000000001421</v>
      </c>
    </row>
    <row r="41" spans="1:35" x14ac:dyDescent="0.3">
      <c r="A41" s="23">
        <v>44928</v>
      </c>
      <c r="B41" s="14" t="s">
        <v>58</v>
      </c>
      <c r="C41" s="15">
        <v>-246335819</v>
      </c>
      <c r="D41" s="10">
        <f t="shared" si="0"/>
        <v>569391447</v>
      </c>
      <c r="E41" s="11" t="s">
        <v>59</v>
      </c>
    </row>
    <row r="42" spans="1:35" x14ac:dyDescent="0.3">
      <c r="A42" s="23"/>
      <c r="B42" s="14" t="s">
        <v>18</v>
      </c>
      <c r="C42" s="9">
        <v>-10617860</v>
      </c>
      <c r="D42" s="10">
        <f t="shared" si="0"/>
        <v>558773587</v>
      </c>
      <c r="E42" s="11"/>
    </row>
    <row r="43" spans="1:35" x14ac:dyDescent="0.3">
      <c r="A43" s="23">
        <v>44941</v>
      </c>
      <c r="B43" s="16" t="s">
        <v>60</v>
      </c>
      <c r="C43" s="15">
        <v>-38500000</v>
      </c>
      <c r="D43" s="10">
        <f t="shared" si="0"/>
        <v>520273587</v>
      </c>
      <c r="E43" s="11"/>
    </row>
    <row r="44" spans="1:35" x14ac:dyDescent="0.3">
      <c r="A44" s="31">
        <v>44953</v>
      </c>
      <c r="B44" s="32" t="s">
        <v>61</v>
      </c>
      <c r="C44" s="33">
        <v>12000000000</v>
      </c>
      <c r="D44" s="34">
        <f t="shared" si="0"/>
        <v>12520273587</v>
      </c>
      <c r="E44" s="35"/>
      <c r="F44" s="36" t="s">
        <v>45</v>
      </c>
      <c r="G44" s="36"/>
      <c r="H44" s="36"/>
    </row>
    <row r="45" spans="1:35" x14ac:dyDescent="0.3">
      <c r="A45" s="26">
        <v>44957</v>
      </c>
      <c r="B45" s="30" t="s">
        <v>62</v>
      </c>
      <c r="C45" s="28">
        <v>-9746000000</v>
      </c>
      <c r="D45" s="10">
        <f t="shared" si="0"/>
        <v>2774273587</v>
      </c>
      <c r="E45" s="11" t="s">
        <v>63</v>
      </c>
    </row>
    <row r="46" spans="1:35" x14ac:dyDescent="0.3">
      <c r="A46" s="23"/>
      <c r="B46" s="16" t="s">
        <v>64</v>
      </c>
      <c r="C46" s="15">
        <v>-1772000000</v>
      </c>
      <c r="D46" s="10">
        <f t="shared" si="0"/>
        <v>1002273587</v>
      </c>
      <c r="E46" s="11" t="s">
        <v>32</v>
      </c>
    </row>
    <row r="47" spans="1:35" x14ac:dyDescent="0.3">
      <c r="A47" s="23">
        <v>44967</v>
      </c>
      <c r="B47" s="24" t="s">
        <v>24</v>
      </c>
      <c r="C47" s="25">
        <v>886000000</v>
      </c>
      <c r="D47" s="10">
        <f t="shared" si="0"/>
        <v>1888273587</v>
      </c>
      <c r="E47" s="11"/>
    </row>
    <row r="48" spans="1:35" x14ac:dyDescent="0.3">
      <c r="A48" s="23">
        <v>44972</v>
      </c>
      <c r="B48" s="16" t="s">
        <v>65</v>
      </c>
      <c r="C48" s="15">
        <v>-38500000</v>
      </c>
      <c r="D48" s="10">
        <f t="shared" si="0"/>
        <v>1849773587</v>
      </c>
      <c r="E48" s="11"/>
    </row>
    <row r="49" spans="1:8" x14ac:dyDescent="0.3">
      <c r="A49" s="23">
        <v>45000</v>
      </c>
      <c r="B49" s="16" t="s">
        <v>66</v>
      </c>
      <c r="C49" s="15">
        <v>-38500000</v>
      </c>
      <c r="D49" s="10">
        <f t="shared" si="0"/>
        <v>1811273587</v>
      </c>
      <c r="E49" s="11"/>
    </row>
    <row r="50" spans="1:8" x14ac:dyDescent="0.3">
      <c r="A50" s="23">
        <v>45012</v>
      </c>
      <c r="B50" s="16" t="s">
        <v>56</v>
      </c>
      <c r="C50" s="15">
        <v>-306250000</v>
      </c>
      <c r="D50" s="10">
        <f t="shared" si="0"/>
        <v>1505023587</v>
      </c>
      <c r="E50" s="11"/>
      <c r="F50" s="38" t="s">
        <v>57</v>
      </c>
      <c r="G50" s="38"/>
      <c r="H50" s="38"/>
    </row>
    <row r="51" spans="1:8" x14ac:dyDescent="0.3">
      <c r="A51" s="23">
        <v>45016</v>
      </c>
      <c r="B51" s="16" t="s">
        <v>67</v>
      </c>
      <c r="C51" s="15">
        <v>-38500000</v>
      </c>
      <c r="D51" s="10">
        <f t="shared" si="0"/>
        <v>1466523587</v>
      </c>
      <c r="E51" s="11"/>
    </row>
    <row r="52" spans="1:8" x14ac:dyDescent="0.3">
      <c r="A52" s="23">
        <v>45017</v>
      </c>
      <c r="B52" s="14" t="s">
        <v>18</v>
      </c>
      <c r="C52" s="9">
        <v>-10617860</v>
      </c>
      <c r="D52" s="10">
        <f t="shared" si="0"/>
        <v>1455905727</v>
      </c>
      <c r="E52" s="11"/>
    </row>
    <row r="53" spans="1:8" x14ac:dyDescent="0.3">
      <c r="A53" s="23">
        <v>45056</v>
      </c>
      <c r="B53" s="24" t="s">
        <v>24</v>
      </c>
      <c r="C53" s="25">
        <v>886000000</v>
      </c>
      <c r="D53" s="10">
        <f t="shared" si="0"/>
        <v>2341905727</v>
      </c>
      <c r="E53" s="11"/>
    </row>
    <row r="54" spans="1:8" x14ac:dyDescent="0.3">
      <c r="A54" s="23">
        <v>45104</v>
      </c>
      <c r="B54" s="16" t="s">
        <v>56</v>
      </c>
      <c r="C54" s="15">
        <v>-306250000</v>
      </c>
      <c r="D54" s="10">
        <f t="shared" si="0"/>
        <v>2035655727</v>
      </c>
      <c r="E54" s="11"/>
      <c r="F54" s="38" t="s">
        <v>57</v>
      </c>
      <c r="G54" s="38"/>
      <c r="H54" s="38"/>
    </row>
    <row r="55" spans="1:8" x14ac:dyDescent="0.3">
      <c r="A55" s="31">
        <v>45104</v>
      </c>
      <c r="B55" s="32" t="s">
        <v>68</v>
      </c>
      <c r="C55" s="33">
        <v>2000000000</v>
      </c>
      <c r="D55" s="34">
        <f t="shared" si="0"/>
        <v>4035655727</v>
      </c>
      <c r="E55" s="35"/>
      <c r="F55" s="36" t="s">
        <v>45</v>
      </c>
      <c r="G55" s="36"/>
      <c r="H55" s="36"/>
    </row>
    <row r="56" spans="1:8" x14ac:dyDescent="0.3">
      <c r="A56" s="26">
        <v>45107</v>
      </c>
      <c r="B56" s="30" t="s">
        <v>69</v>
      </c>
      <c r="C56" s="28">
        <v>-3399000000</v>
      </c>
      <c r="D56" s="10">
        <f t="shared" si="0"/>
        <v>636655727</v>
      </c>
      <c r="E56" s="11"/>
    </row>
    <row r="57" spans="1:8" x14ac:dyDescent="0.3">
      <c r="A57" s="23">
        <v>45108</v>
      </c>
      <c r="B57" s="14" t="s">
        <v>18</v>
      </c>
      <c r="C57" s="9">
        <v>-10617860</v>
      </c>
      <c r="D57" s="10">
        <f t="shared" si="0"/>
        <v>626037867</v>
      </c>
      <c r="E57" s="11"/>
    </row>
    <row r="58" spans="1:8" x14ac:dyDescent="0.3">
      <c r="A58" s="23">
        <v>45148</v>
      </c>
      <c r="B58" s="24" t="s">
        <v>70</v>
      </c>
      <c r="C58" s="25">
        <v>309000000</v>
      </c>
      <c r="D58" s="10">
        <f t="shared" si="0"/>
        <v>935037867</v>
      </c>
      <c r="E58" s="11"/>
    </row>
    <row r="59" spans="1:8" x14ac:dyDescent="0.3">
      <c r="A59" s="23">
        <v>45196</v>
      </c>
      <c r="B59" s="16" t="s">
        <v>56</v>
      </c>
      <c r="C59" s="15">
        <v>-330750000</v>
      </c>
      <c r="D59" s="10">
        <f t="shared" si="0"/>
        <v>604287867</v>
      </c>
      <c r="E59" s="11"/>
    </row>
    <row r="60" spans="1:8" x14ac:dyDescent="0.3">
      <c r="A60" s="23">
        <v>45200</v>
      </c>
      <c r="B60" s="14" t="s">
        <v>18</v>
      </c>
      <c r="C60" s="9">
        <v>-10617860</v>
      </c>
      <c r="D60" s="10">
        <f t="shared" si="0"/>
        <v>593670007</v>
      </c>
      <c r="E60" s="11"/>
    </row>
    <row r="61" spans="1:8" x14ac:dyDescent="0.3">
      <c r="A61" s="23">
        <v>45287</v>
      </c>
      <c r="B61" s="16" t="s">
        <v>56</v>
      </c>
      <c r="C61" s="15">
        <v>-330750000</v>
      </c>
      <c r="D61" s="10">
        <f t="shared" si="0"/>
        <v>262920007</v>
      </c>
      <c r="E61" s="11"/>
    </row>
    <row r="63" spans="1:8" s="4" customFormat="1" x14ac:dyDescent="0.3">
      <c r="A63" s="39"/>
      <c r="B63" s="40" t="s">
        <v>71</v>
      </c>
      <c r="C63" s="48">
        <f>D5+C12+C27+C32+C37+C55+C44</f>
        <v>53000000000</v>
      </c>
      <c r="D63" s="41"/>
    </row>
    <row r="65" spans="1:2" x14ac:dyDescent="0.3">
      <c r="A65" s="5"/>
      <c r="B65" s="4"/>
    </row>
    <row r="66" spans="1:2" x14ac:dyDescent="0.3">
      <c r="A66" s="5"/>
      <c r="B66" s="4"/>
    </row>
    <row r="67" spans="1:2" x14ac:dyDescent="0.3">
      <c r="A67" s="5"/>
      <c r="B67" s="4"/>
    </row>
    <row r="68" spans="1:2" x14ac:dyDescent="0.3">
      <c r="A68" s="5"/>
      <c r="B68" s="4"/>
    </row>
    <row r="69" spans="1:2" x14ac:dyDescent="0.3">
      <c r="A69" s="42"/>
      <c r="B69" s="43"/>
    </row>
    <row r="70" spans="1:2" x14ac:dyDescent="0.3">
      <c r="A70" s="42"/>
      <c r="B70" s="43"/>
    </row>
    <row r="71" spans="1:2" x14ac:dyDescent="0.3">
      <c r="A71" s="42"/>
      <c r="B71" s="43"/>
    </row>
    <row r="72" spans="1:2" x14ac:dyDescent="0.3">
      <c r="A72" s="42"/>
      <c r="B72" s="43"/>
    </row>
  </sheetData>
  <mergeCells count="3">
    <mergeCell ref="A1:E1"/>
    <mergeCell ref="L14:O14"/>
    <mergeCell ref="P14:AI14"/>
  </mergeCells>
  <phoneticPr fontId="5" type="noConversion"/>
  <pageMargins left="0" right="0" top="0" bottom="0" header="0" footer="0"/>
  <pageSetup paperSize="9" scale="56" orientation="landscape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09AD-575B-4954-B937-2B7C2F82E44D}">
  <sheetPr>
    <pageSetUpPr fitToPage="1"/>
  </sheetPr>
  <dimension ref="A1:AA43"/>
  <sheetViews>
    <sheetView view="pageBreakPreview" zoomScale="85" zoomScaleNormal="85" zoomScaleSheetLayoutView="85" workbookViewId="0">
      <pane xSplit="11" ySplit="1" topLeftCell="L2" activePane="bottomRight" state="frozen"/>
      <selection pane="topRight" activeCell="L1" sqref="L1"/>
      <selection pane="bottomLeft" activeCell="A4" sqref="A4"/>
      <selection pane="bottomRight" activeCell="F22" sqref="F22"/>
    </sheetView>
  </sheetViews>
  <sheetFormatPr defaultColWidth="8.875" defaultRowHeight="17.399999999999999" x14ac:dyDescent="0.3"/>
  <cols>
    <col min="1" max="1" width="29.875" style="3" customWidth="1"/>
    <col min="2" max="2" width="14.875" style="3" customWidth="1"/>
    <col min="3" max="3" width="12.875" style="3" customWidth="1"/>
    <col min="4" max="5" width="8.875" style="3"/>
    <col min="6" max="6" width="15.625" style="3" customWidth="1"/>
    <col min="7" max="9" width="8.75" style="3" hidden="1" customWidth="1"/>
    <col min="10" max="10" width="15.375" style="3" customWidth="1"/>
    <col min="11" max="11" width="16.125" style="3" customWidth="1"/>
    <col min="12" max="12" width="16.625" style="3" customWidth="1"/>
    <col min="13" max="13" width="52.625" style="3" customWidth="1"/>
    <col min="14" max="14" width="4.875" style="3" customWidth="1"/>
    <col min="15" max="16" width="20.375" style="3" customWidth="1"/>
    <col min="17" max="17" width="17.75" style="3" customWidth="1"/>
    <col min="18" max="21" width="16.875" style="3" customWidth="1"/>
    <col min="22" max="22" width="13.875" style="3" customWidth="1"/>
    <col min="23" max="23" width="16.25" style="3" bestFit="1" customWidth="1"/>
    <col min="24" max="26" width="16.25" style="3" customWidth="1"/>
    <col min="27" max="27" width="13.125" style="3" bestFit="1" customWidth="1"/>
    <col min="28" max="29" width="12.375" style="3" customWidth="1"/>
    <col min="30" max="32" width="11.375" style="3" bestFit="1" customWidth="1"/>
    <col min="33" max="33" width="8.875" style="3"/>
    <col min="34" max="34" width="10.875" style="3" bestFit="1" customWidth="1"/>
    <col min="35" max="40" width="11.875" style="3" bestFit="1" customWidth="1"/>
    <col min="41" max="16384" width="8.875" style="3"/>
  </cols>
  <sheetData>
    <row r="1" spans="1:27" ht="30" x14ac:dyDescent="0.3">
      <c r="A1" s="132" t="s">
        <v>138</v>
      </c>
      <c r="B1" s="133"/>
    </row>
    <row r="2" spans="1:27" ht="7.5" customHeight="1" x14ac:dyDescent="0.3">
      <c r="A2" s="133"/>
      <c r="B2" s="133"/>
    </row>
    <row r="3" spans="1:27" ht="29.25" customHeight="1" x14ac:dyDescent="0.3">
      <c r="A3" s="134" t="s">
        <v>139</v>
      </c>
      <c r="B3" s="135"/>
      <c r="M3" s="136" t="s">
        <v>140</v>
      </c>
      <c r="W3" s="3" t="s">
        <v>141</v>
      </c>
      <c r="Z3" s="3" t="s">
        <v>142</v>
      </c>
      <c r="AA3" s="3" t="s">
        <v>143</v>
      </c>
    </row>
    <row r="4" spans="1:27" ht="24" customHeight="1" x14ac:dyDescent="0.3">
      <c r="A4" s="137" t="s">
        <v>144</v>
      </c>
      <c r="B4" s="138" t="s">
        <v>145</v>
      </c>
      <c r="C4" s="138" t="s">
        <v>146</v>
      </c>
      <c r="D4" s="139" t="s">
        <v>147</v>
      </c>
      <c r="E4" s="140" t="s">
        <v>148</v>
      </c>
      <c r="F4" s="139" t="s">
        <v>149</v>
      </c>
      <c r="G4" s="139"/>
      <c r="H4" s="139"/>
      <c r="I4" s="141">
        <v>0.7</v>
      </c>
      <c r="J4" s="139" t="s">
        <v>150</v>
      </c>
      <c r="K4" s="140" t="s">
        <v>151</v>
      </c>
      <c r="L4" s="137" t="s">
        <v>152</v>
      </c>
      <c r="M4" s="137" t="s">
        <v>7</v>
      </c>
      <c r="W4" s="142" t="s">
        <v>153</v>
      </c>
      <c r="X4" s="142" t="s">
        <v>149</v>
      </c>
      <c r="Y4" s="142" t="s">
        <v>150</v>
      </c>
      <c r="Z4" s="142"/>
      <c r="AA4" s="142" t="s">
        <v>154</v>
      </c>
    </row>
    <row r="5" spans="1:27" x14ac:dyDescent="0.3">
      <c r="A5" s="143"/>
      <c r="B5" s="144" t="s">
        <v>155</v>
      </c>
      <c r="C5" s="145">
        <v>23000</v>
      </c>
      <c r="D5" s="146">
        <v>3000</v>
      </c>
      <c r="E5" s="147">
        <f t="shared" ref="E5:E10" si="0">D5*0.4</f>
        <v>1200</v>
      </c>
      <c r="F5" s="146">
        <f>C5*12000/1000</f>
        <v>276000</v>
      </c>
      <c r="G5" s="3" t="s">
        <v>156</v>
      </c>
      <c r="H5" s="3">
        <f>D5*3.3*2</f>
        <v>19800</v>
      </c>
      <c r="I5" s="3">
        <f>H5*0.7</f>
        <v>13860</v>
      </c>
      <c r="J5" s="146">
        <f>C5*400*10/1000</f>
        <v>92000</v>
      </c>
      <c r="K5" s="148">
        <v>70916</v>
      </c>
      <c r="L5" s="149">
        <f t="shared" ref="L5:L13" si="1">F5+J5+K5</f>
        <v>438916</v>
      </c>
      <c r="M5" s="150" t="s">
        <v>157</v>
      </c>
      <c r="W5" s="3">
        <v>15</v>
      </c>
      <c r="X5" s="3">
        <v>260000</v>
      </c>
      <c r="Y5" s="3">
        <f>W5*400</f>
        <v>6000</v>
      </c>
      <c r="AA5" s="3">
        <v>1</v>
      </c>
    </row>
    <row r="6" spans="1:27" x14ac:dyDescent="0.3">
      <c r="A6" s="143"/>
      <c r="B6" s="144" t="s">
        <v>158</v>
      </c>
      <c r="C6" s="145">
        <v>23000</v>
      </c>
      <c r="D6" s="146">
        <v>3000</v>
      </c>
      <c r="E6" s="147">
        <f t="shared" si="0"/>
        <v>1200</v>
      </c>
      <c r="F6" s="146">
        <f>C6*12000/1000</f>
        <v>276000</v>
      </c>
      <c r="G6" s="3" t="s">
        <v>156</v>
      </c>
      <c r="H6" s="3">
        <f>D6*3.3*2</f>
        <v>19800</v>
      </c>
      <c r="I6" s="3">
        <f>H6*0.7</f>
        <v>13860</v>
      </c>
      <c r="J6" s="146">
        <f>C6*400*10/1000</f>
        <v>92000</v>
      </c>
      <c r="K6" s="148">
        <v>70916</v>
      </c>
      <c r="L6" s="149">
        <f t="shared" si="1"/>
        <v>438916</v>
      </c>
      <c r="M6" s="150" t="s">
        <v>159</v>
      </c>
      <c r="W6" s="3">
        <v>24</v>
      </c>
      <c r="X6" s="3">
        <v>260000</v>
      </c>
      <c r="AA6" s="3">
        <v>1</v>
      </c>
    </row>
    <row r="7" spans="1:27" x14ac:dyDescent="0.3">
      <c r="A7" s="143"/>
      <c r="B7" s="144" t="s">
        <v>160</v>
      </c>
      <c r="C7" s="145">
        <v>15000</v>
      </c>
      <c r="D7" s="146">
        <v>2000</v>
      </c>
      <c r="E7" s="147">
        <f t="shared" si="0"/>
        <v>800</v>
      </c>
      <c r="F7" s="146">
        <f>C7*12000/1000</f>
        <v>180000</v>
      </c>
      <c r="G7" s="3" t="s">
        <v>156</v>
      </c>
      <c r="H7" s="3">
        <f>D7*3.3*2</f>
        <v>13200</v>
      </c>
      <c r="I7" s="3">
        <f>H7*0.7</f>
        <v>9240</v>
      </c>
      <c r="J7" s="146">
        <f>C7*400*10/1000</f>
        <v>60000</v>
      </c>
      <c r="K7" s="148">
        <v>46250</v>
      </c>
      <c r="L7" s="149">
        <f t="shared" si="1"/>
        <v>286250</v>
      </c>
      <c r="M7" s="150" t="s">
        <v>159</v>
      </c>
    </row>
    <row r="8" spans="1:27" x14ac:dyDescent="0.3">
      <c r="A8" s="143"/>
      <c r="B8" s="144" t="s">
        <v>160</v>
      </c>
      <c r="C8" s="145">
        <v>8000</v>
      </c>
      <c r="D8" s="146">
        <v>1000</v>
      </c>
      <c r="E8" s="147">
        <f t="shared" si="0"/>
        <v>400</v>
      </c>
      <c r="F8" s="146">
        <f>C8*12000/1000</f>
        <v>96000</v>
      </c>
      <c r="J8" s="146">
        <f>C8*400*10/1000</f>
        <v>32000</v>
      </c>
      <c r="K8" s="148">
        <v>24666</v>
      </c>
      <c r="L8" s="149">
        <f t="shared" si="1"/>
        <v>152666</v>
      </c>
      <c r="M8" s="150" t="s">
        <v>159</v>
      </c>
    </row>
    <row r="9" spans="1:27" ht="36" customHeight="1" x14ac:dyDescent="0.3">
      <c r="A9" s="143"/>
      <c r="B9" s="144" t="s">
        <v>161</v>
      </c>
      <c r="C9" s="145">
        <v>30000</v>
      </c>
      <c r="D9" s="146">
        <v>3000</v>
      </c>
      <c r="E9" s="147">
        <f t="shared" si="0"/>
        <v>1200</v>
      </c>
      <c r="F9" s="146">
        <f>(C9*7500*70%+C9/25*180000*30%)/1000</f>
        <v>222300</v>
      </c>
      <c r="J9" s="146">
        <f>C9*100*30/1000</f>
        <v>90000</v>
      </c>
      <c r="K9" s="148">
        <f>(C9/23*50000)/1000</f>
        <v>65217.391304347831</v>
      </c>
      <c r="L9" s="149">
        <f t="shared" si="1"/>
        <v>377517.39130434784</v>
      </c>
      <c r="M9" s="151" t="s">
        <v>162</v>
      </c>
      <c r="W9" s="3">
        <v>23</v>
      </c>
      <c r="X9" s="3">
        <v>260000</v>
      </c>
      <c r="AA9" s="3">
        <v>1</v>
      </c>
    </row>
    <row r="10" spans="1:27" x14ac:dyDescent="0.3">
      <c r="A10" s="152"/>
      <c r="B10" s="144" t="s">
        <v>163</v>
      </c>
      <c r="C10" s="145"/>
      <c r="D10" s="146">
        <v>1650</v>
      </c>
      <c r="E10" s="147">
        <f t="shared" si="0"/>
        <v>660</v>
      </c>
      <c r="F10" s="146"/>
      <c r="G10" s="3" t="s">
        <v>164</v>
      </c>
      <c r="H10" s="3">
        <f t="shared" ref="H10" si="2">D10*3.3</f>
        <v>5445</v>
      </c>
      <c r="I10" s="3">
        <f>H10*0.7</f>
        <v>3811.4999999999995</v>
      </c>
      <c r="J10" s="146">
        <f>D10*18000/1000</f>
        <v>29700</v>
      </c>
      <c r="K10" s="148"/>
      <c r="L10" s="149">
        <f t="shared" si="1"/>
        <v>29700</v>
      </c>
      <c r="M10" s="150" t="s">
        <v>165</v>
      </c>
      <c r="W10" s="3">
        <v>18</v>
      </c>
      <c r="X10" s="3">
        <f>W10*15000</f>
        <v>270000</v>
      </c>
      <c r="AA10" s="3">
        <v>1</v>
      </c>
    </row>
    <row r="11" spans="1:27" x14ac:dyDescent="0.3">
      <c r="A11" s="152"/>
      <c r="B11" s="144" t="s">
        <v>163</v>
      </c>
      <c r="C11" s="153">
        <v>400</v>
      </c>
      <c r="D11" s="146"/>
      <c r="E11" s="147"/>
      <c r="F11" s="146">
        <f>C11*280000/1000</f>
        <v>112000</v>
      </c>
      <c r="J11" s="146"/>
      <c r="K11" s="148">
        <f>(400*80000*70%+400*50000*30%)/1000</f>
        <v>28400</v>
      </c>
      <c r="L11" s="149">
        <f t="shared" si="1"/>
        <v>140400</v>
      </c>
      <c r="M11" s="150" t="s">
        <v>166</v>
      </c>
      <c r="W11" s="3">
        <v>18</v>
      </c>
      <c r="X11" s="3">
        <f>W11*15000</f>
        <v>270000</v>
      </c>
      <c r="AA11" s="3">
        <v>1</v>
      </c>
    </row>
    <row r="12" spans="1:27" x14ac:dyDescent="0.3">
      <c r="A12" s="154"/>
      <c r="B12" s="144" t="s">
        <v>167</v>
      </c>
      <c r="C12" s="155"/>
      <c r="D12" s="146">
        <v>1600</v>
      </c>
      <c r="E12" s="147">
        <f>D12*0.4</f>
        <v>640</v>
      </c>
      <c r="F12" s="146"/>
      <c r="J12" s="146">
        <f>D12*18000/1000</f>
        <v>28800</v>
      </c>
      <c r="K12" s="148"/>
      <c r="L12" s="149">
        <f t="shared" si="1"/>
        <v>28800</v>
      </c>
      <c r="M12" s="150" t="s">
        <v>165</v>
      </c>
      <c r="W12" s="3">
        <v>20</v>
      </c>
      <c r="X12" s="3">
        <f>W12*15000</f>
        <v>300000</v>
      </c>
      <c r="AA12" s="3">
        <v>1</v>
      </c>
    </row>
    <row r="13" spans="1:27" x14ac:dyDescent="0.3">
      <c r="A13" s="154"/>
      <c r="B13" s="144" t="s">
        <v>167</v>
      </c>
      <c r="C13" s="153">
        <v>500</v>
      </c>
      <c r="D13" s="146"/>
      <c r="E13" s="147"/>
      <c r="F13" s="146">
        <f>C13*180000/1000</f>
        <v>90000</v>
      </c>
      <c r="J13" s="146">
        <f>500*50000/1000</f>
        <v>25000</v>
      </c>
      <c r="K13" s="148">
        <f>(400*50000*70%+400*30000*30%)/1000</f>
        <v>17600</v>
      </c>
      <c r="L13" s="149">
        <f t="shared" si="1"/>
        <v>132600</v>
      </c>
      <c r="M13" s="150" t="s">
        <v>168</v>
      </c>
      <c r="W13" s="3">
        <v>20</v>
      </c>
      <c r="X13" s="3">
        <f>W13*15000</f>
        <v>300000</v>
      </c>
      <c r="AA13" s="3">
        <v>1</v>
      </c>
    </row>
    <row r="14" spans="1:27" ht="26.4" x14ac:dyDescent="0.3">
      <c r="A14" s="143" t="s">
        <v>169</v>
      </c>
      <c r="B14" s="144"/>
      <c r="C14" s="145"/>
      <c r="D14" s="146"/>
      <c r="E14" s="147">
        <v>4700</v>
      </c>
      <c r="F14" s="146">
        <f>400*40000/1000</f>
        <v>16000</v>
      </c>
      <c r="G14" s="156" t="s">
        <v>170</v>
      </c>
      <c r="J14" s="146">
        <f>400*5000*10/1000</f>
        <v>20000</v>
      </c>
      <c r="K14" s="148">
        <f>(400*70%*80000+400*30%*50000)/1000</f>
        <v>28400</v>
      </c>
      <c r="L14" s="149">
        <f>F14+J14+K14</f>
        <v>64400</v>
      </c>
      <c r="M14" s="157" t="s">
        <v>171</v>
      </c>
    </row>
    <row r="15" spans="1:27" ht="34.799999999999997" x14ac:dyDescent="0.3">
      <c r="A15" s="158" t="s">
        <v>172</v>
      </c>
      <c r="B15" s="144"/>
      <c r="C15" s="145"/>
      <c r="D15" s="146"/>
      <c r="E15" s="147">
        <f>7117-408</f>
        <v>6709</v>
      </c>
      <c r="F15" s="146">
        <f>1000000/1000</f>
        <v>1000</v>
      </c>
      <c r="K15" s="159"/>
      <c r="L15" s="149">
        <f t="shared" ref="L15" si="3">F15+J15+K15</f>
        <v>1000</v>
      </c>
      <c r="M15" s="160"/>
    </row>
    <row r="16" spans="1:27" x14ac:dyDescent="0.3">
      <c r="A16" s="161" t="s">
        <v>173</v>
      </c>
      <c r="B16" s="162"/>
      <c r="C16" s="163"/>
      <c r="D16" s="164">
        <f>SUM(D5:D15)</f>
        <v>15250</v>
      </c>
      <c r="E16" s="165">
        <f>SUM(E5:E15)</f>
        <v>17509</v>
      </c>
      <c r="F16" s="166"/>
      <c r="G16" s="167"/>
      <c r="H16" s="167"/>
      <c r="I16" s="167"/>
      <c r="J16" s="167"/>
      <c r="K16" s="168"/>
      <c r="L16" s="169"/>
      <c r="M16" s="169"/>
    </row>
    <row r="17" spans="1:23" ht="23.25" customHeight="1" x14ac:dyDescent="0.3">
      <c r="A17" s="170" t="s">
        <v>10</v>
      </c>
      <c r="B17" s="171"/>
      <c r="C17" s="172">
        <f>SUM(C5:C16)</f>
        <v>99900</v>
      </c>
      <c r="D17" s="626" t="e">
        <f>D16+E16+#REF!</f>
        <v>#REF!</v>
      </c>
      <c r="E17" s="626"/>
      <c r="F17" s="172">
        <f>SUM(F5:F16)</f>
        <v>1269300</v>
      </c>
      <c r="G17" s="173"/>
      <c r="H17" s="173"/>
      <c r="I17" s="173"/>
      <c r="J17" s="172">
        <f>SUM(J5:J16)</f>
        <v>469500</v>
      </c>
      <c r="K17" s="172">
        <f>SUM(K5:K16)</f>
        <v>352365.39130434784</v>
      </c>
      <c r="L17" s="172">
        <f>F17+J17+K17</f>
        <v>2091165.3913043479</v>
      </c>
      <c r="M17" s="174"/>
    </row>
    <row r="25" spans="1:23" ht="29.25" customHeight="1" x14ac:dyDescent="0.3">
      <c r="A25" s="134" t="s">
        <v>174</v>
      </c>
      <c r="B25" s="135"/>
      <c r="M25" s="136" t="s">
        <v>140</v>
      </c>
    </row>
    <row r="26" spans="1:23" ht="24" customHeight="1" x14ac:dyDescent="0.3">
      <c r="A26" s="137"/>
      <c r="B26" s="138" t="s">
        <v>145</v>
      </c>
      <c r="C26" s="139" t="s">
        <v>146</v>
      </c>
      <c r="D26" s="139" t="s">
        <v>147</v>
      </c>
      <c r="E26" s="139" t="s">
        <v>148</v>
      </c>
      <c r="F26" s="139" t="s">
        <v>149</v>
      </c>
      <c r="G26" s="139"/>
      <c r="H26" s="139"/>
      <c r="I26" s="141">
        <v>0.7</v>
      </c>
      <c r="J26" s="139" t="s">
        <v>150</v>
      </c>
      <c r="K26" s="140" t="s">
        <v>151</v>
      </c>
      <c r="L26" s="137" t="s">
        <v>152</v>
      </c>
      <c r="M26" s="137" t="s">
        <v>7</v>
      </c>
    </row>
    <row r="27" spans="1:23" x14ac:dyDescent="0.3">
      <c r="A27" s="143"/>
      <c r="B27" s="144" t="s">
        <v>155</v>
      </c>
      <c r="C27" s="145">
        <v>23000</v>
      </c>
      <c r="D27" s="146">
        <v>3000</v>
      </c>
      <c r="E27" s="147">
        <f>D27*0.4</f>
        <v>1200</v>
      </c>
      <c r="F27" s="175">
        <f>C27*7500/1000</f>
        <v>172500</v>
      </c>
      <c r="G27" s="175"/>
      <c r="H27" s="175"/>
      <c r="I27" s="175"/>
      <c r="J27" s="175">
        <v>0</v>
      </c>
      <c r="K27" s="176">
        <f>K5*0.9</f>
        <v>63824.4</v>
      </c>
      <c r="L27" s="177">
        <f>F27+J27+K27</f>
        <v>236324.4</v>
      </c>
      <c r="M27" s="150" t="s">
        <v>175</v>
      </c>
    </row>
    <row r="28" spans="1:23" x14ac:dyDescent="0.3">
      <c r="A28" s="143"/>
      <c r="B28" s="144" t="s">
        <v>158</v>
      </c>
      <c r="C28" s="145">
        <v>23000</v>
      </c>
      <c r="D28" s="146">
        <v>3000</v>
      </c>
      <c r="E28" s="147">
        <f>D28*0.4</f>
        <v>1200</v>
      </c>
      <c r="F28" s="175">
        <f t="shared" ref="F28:F30" si="4">C28*7500/1000</f>
        <v>172500</v>
      </c>
      <c r="G28" s="175"/>
      <c r="H28" s="175"/>
      <c r="I28" s="175"/>
      <c r="J28" s="175">
        <v>0</v>
      </c>
      <c r="K28" s="176">
        <f>K6*0.9</f>
        <v>63824.4</v>
      </c>
      <c r="L28" s="177">
        <f>F28+J28+K28</f>
        <v>236324.4</v>
      </c>
      <c r="M28" s="150" t="s">
        <v>175</v>
      </c>
    </row>
    <row r="29" spans="1:23" x14ac:dyDescent="0.3">
      <c r="A29" s="143"/>
      <c r="B29" s="144" t="s">
        <v>160</v>
      </c>
      <c r="C29" s="145">
        <v>15000</v>
      </c>
      <c r="D29" s="146">
        <v>2000</v>
      </c>
      <c r="E29" s="147">
        <f>D29*0.4</f>
        <v>800</v>
      </c>
      <c r="F29" s="175">
        <f t="shared" si="4"/>
        <v>112500</v>
      </c>
      <c r="G29" s="175"/>
      <c r="H29" s="175"/>
      <c r="I29" s="175">
        <v>0.7</v>
      </c>
      <c r="J29" s="175">
        <v>0</v>
      </c>
      <c r="K29" s="176">
        <f>K7*0.9</f>
        <v>41625</v>
      </c>
      <c r="L29" s="177">
        <f t="shared" ref="L29:L34" si="5">F29+J29+K29</f>
        <v>154125</v>
      </c>
      <c r="M29" s="150" t="s">
        <v>175</v>
      </c>
    </row>
    <row r="30" spans="1:23" x14ac:dyDescent="0.3">
      <c r="A30" s="143"/>
      <c r="B30" s="144" t="s">
        <v>160</v>
      </c>
      <c r="C30" s="145">
        <v>8000</v>
      </c>
      <c r="D30" s="146">
        <v>1000</v>
      </c>
      <c r="E30" s="147">
        <f>D30*0.4</f>
        <v>400</v>
      </c>
      <c r="F30" s="175">
        <f t="shared" si="4"/>
        <v>60000</v>
      </c>
      <c r="G30" s="175"/>
      <c r="H30" s="175"/>
      <c r="I30" s="175"/>
      <c r="J30" s="175"/>
      <c r="K30" s="176">
        <f>K8*0.9</f>
        <v>22199.4</v>
      </c>
      <c r="L30" s="177">
        <f t="shared" si="5"/>
        <v>82199.399999999994</v>
      </c>
      <c r="M30" s="150" t="s">
        <v>175</v>
      </c>
    </row>
    <row r="31" spans="1:23" ht="36" customHeight="1" x14ac:dyDescent="0.3">
      <c r="A31" s="143"/>
      <c r="B31" s="178" t="s">
        <v>161</v>
      </c>
      <c r="C31" s="179">
        <v>30000</v>
      </c>
      <c r="D31" s="180">
        <v>3000</v>
      </c>
      <c r="E31" s="181">
        <v>1200</v>
      </c>
      <c r="F31" s="175">
        <f>(C31*6500*70%+C31/25*140000*30%)/1000</f>
        <v>186900</v>
      </c>
      <c r="G31" s="175"/>
      <c r="H31" s="175"/>
      <c r="I31" s="175">
        <v>0.7</v>
      </c>
      <c r="J31" s="175">
        <v>0</v>
      </c>
      <c r="K31" s="176">
        <f>K9*0.9</f>
        <v>58695.652173913048</v>
      </c>
      <c r="L31" s="177">
        <f t="shared" si="5"/>
        <v>245595.65217391305</v>
      </c>
      <c r="M31" s="151" t="s">
        <v>176</v>
      </c>
      <c r="W31" s="3" t="s">
        <v>177</v>
      </c>
    </row>
    <row r="32" spans="1:23" x14ac:dyDescent="0.3">
      <c r="A32" s="160"/>
      <c r="B32" s="178" t="s">
        <v>178</v>
      </c>
      <c r="C32" s="153">
        <v>400</v>
      </c>
      <c r="D32" s="180">
        <v>1650</v>
      </c>
      <c r="E32" s="181">
        <v>660</v>
      </c>
      <c r="F32" s="175">
        <f>C32*180000/1000</f>
        <v>72000</v>
      </c>
      <c r="G32" s="175"/>
      <c r="H32" s="175"/>
      <c r="I32" s="175"/>
      <c r="J32" s="175">
        <v>0</v>
      </c>
      <c r="K32" s="176">
        <f>(400*70000*70%+400*45000*30%)/1000</f>
        <v>25000</v>
      </c>
      <c r="L32" s="177">
        <f>F32+J32+K32</f>
        <v>97000</v>
      </c>
      <c r="M32" s="160" t="s">
        <v>179</v>
      </c>
    </row>
    <row r="33" spans="1:13" x14ac:dyDescent="0.3">
      <c r="A33" s="160"/>
      <c r="B33" s="178" t="s">
        <v>180</v>
      </c>
      <c r="C33" s="153">
        <v>500</v>
      </c>
      <c r="D33" s="180">
        <v>1600</v>
      </c>
      <c r="E33" s="181">
        <v>640</v>
      </c>
      <c r="F33" s="175">
        <f>C33*140000/1000</f>
        <v>70000</v>
      </c>
      <c r="G33" s="175"/>
      <c r="H33" s="175"/>
      <c r="I33" s="175"/>
      <c r="J33" s="175">
        <v>0</v>
      </c>
      <c r="K33" s="176">
        <f>(400*45000*70%+400*27000*30%)/1000</f>
        <v>15840</v>
      </c>
      <c r="L33" s="177">
        <f>F33+J33+K33</f>
        <v>85840</v>
      </c>
      <c r="M33" s="160" t="s">
        <v>181</v>
      </c>
    </row>
    <row r="34" spans="1:13" x14ac:dyDescent="0.3">
      <c r="A34" s="182"/>
      <c r="B34" s="178"/>
      <c r="C34" s="183"/>
      <c r="D34" s="175"/>
      <c r="E34" s="176">
        <v>4700</v>
      </c>
      <c r="F34" s="175">
        <f>400*20000/1000</f>
        <v>8000</v>
      </c>
      <c r="G34" s="175"/>
      <c r="H34" s="175"/>
      <c r="I34" s="175"/>
      <c r="J34" s="175">
        <v>0</v>
      </c>
      <c r="K34" s="176">
        <f>(400*70%*70000+400*30%*45000)/1000</f>
        <v>25000</v>
      </c>
      <c r="L34" s="177">
        <f t="shared" si="5"/>
        <v>33000</v>
      </c>
      <c r="M34" s="160" t="s">
        <v>182</v>
      </c>
    </row>
    <row r="35" spans="1:13" x14ac:dyDescent="0.3">
      <c r="A35" s="158"/>
      <c r="B35" s="178"/>
      <c r="C35" s="183">
        <v>0</v>
      </c>
      <c r="D35" s="175">
        <v>200</v>
      </c>
      <c r="E35" s="176">
        <v>150</v>
      </c>
      <c r="F35" s="175">
        <f>C35*12000/1000</f>
        <v>0</v>
      </c>
      <c r="G35" s="175" t="s">
        <v>156</v>
      </c>
      <c r="H35" s="175">
        <f>D35*3.3</f>
        <v>660</v>
      </c>
      <c r="I35" s="175">
        <f>H35*0.7</f>
        <v>461.99999999999994</v>
      </c>
      <c r="J35" s="175">
        <v>0</v>
      </c>
      <c r="K35" s="176">
        <f>C35/20*100000/1000</f>
        <v>0</v>
      </c>
      <c r="L35" s="177">
        <f>F35+J35+K35</f>
        <v>0</v>
      </c>
      <c r="M35" s="160"/>
    </row>
    <row r="36" spans="1:13" x14ac:dyDescent="0.3">
      <c r="A36" s="158"/>
      <c r="B36" s="178"/>
      <c r="C36" s="183"/>
      <c r="D36" s="175"/>
      <c r="E36" s="176">
        <v>1800</v>
      </c>
      <c r="F36" s="175">
        <f>0/1000</f>
        <v>0</v>
      </c>
      <c r="G36" s="175"/>
      <c r="H36" s="175"/>
      <c r="I36" s="175"/>
      <c r="J36" s="175"/>
      <c r="K36" s="176"/>
      <c r="L36" s="177"/>
      <c r="M36" s="160"/>
    </row>
    <row r="37" spans="1:13" x14ac:dyDescent="0.3">
      <c r="A37" s="158" t="s">
        <v>183</v>
      </c>
      <c r="B37" s="178"/>
      <c r="C37" s="183"/>
      <c r="D37" s="175"/>
      <c r="E37" s="176">
        <f>7117-408</f>
        <v>6709</v>
      </c>
      <c r="F37" s="175"/>
      <c r="G37" s="175"/>
      <c r="H37" s="175"/>
      <c r="I37" s="175"/>
      <c r="J37" s="175"/>
      <c r="K37" s="176"/>
      <c r="L37" s="177"/>
      <c r="M37" s="160"/>
    </row>
    <row r="38" spans="1:13" x14ac:dyDescent="0.3">
      <c r="A38" s="160" t="s">
        <v>184</v>
      </c>
      <c r="B38" s="178"/>
      <c r="C38" s="183"/>
      <c r="D38" s="184"/>
      <c r="E38" s="185">
        <v>250</v>
      </c>
      <c r="F38" s="175"/>
      <c r="G38" s="175"/>
      <c r="H38" s="175"/>
      <c r="I38" s="175"/>
      <c r="J38" s="175"/>
      <c r="K38" s="176"/>
      <c r="L38" s="177"/>
      <c r="M38" s="160"/>
    </row>
    <row r="39" spans="1:13" x14ac:dyDescent="0.3">
      <c r="A39" s="186" t="s">
        <v>72</v>
      </c>
      <c r="B39" s="187"/>
      <c r="C39" s="188"/>
      <c r="D39" s="189">
        <f>SUM(D27:D36)</f>
        <v>15450</v>
      </c>
      <c r="E39" s="190">
        <f>SUM(E27:E38)</f>
        <v>19709</v>
      </c>
      <c r="F39" s="189"/>
      <c r="G39" s="189"/>
      <c r="H39" s="189"/>
      <c r="I39" s="189"/>
      <c r="J39" s="189"/>
      <c r="K39" s="190"/>
      <c r="L39" s="191"/>
      <c r="M39" s="186"/>
    </row>
    <row r="40" spans="1:13" ht="23.25" customHeight="1" x14ac:dyDescent="0.3">
      <c r="A40" s="170" t="s">
        <v>10</v>
      </c>
      <c r="B40" s="171"/>
      <c r="C40" s="172">
        <f>SUM(C27:C38)</f>
        <v>99900</v>
      </c>
      <c r="D40" s="626">
        <f>D39+E39</f>
        <v>35159</v>
      </c>
      <c r="E40" s="626"/>
      <c r="F40" s="172">
        <f>SUM(F27:F38)</f>
        <v>854400</v>
      </c>
      <c r="G40" s="173"/>
      <c r="H40" s="173"/>
      <c r="I40" s="173">
        <v>0.7</v>
      </c>
      <c r="J40" s="172">
        <f>SUM(J27:J38)</f>
        <v>0</v>
      </c>
      <c r="K40" s="172">
        <f>SUM(K27:K38)</f>
        <v>316008.85217391304</v>
      </c>
      <c r="L40" s="172">
        <f>SUM(L27:L38)</f>
        <v>1170408.8521739133</v>
      </c>
      <c r="M40" s="174"/>
    </row>
    <row r="41" spans="1:13" ht="32.25" customHeight="1" x14ac:dyDescent="0.3"/>
    <row r="42" spans="1:13" ht="21" x14ac:dyDescent="0.3">
      <c r="A42" s="134" t="s">
        <v>185</v>
      </c>
      <c r="B42" s="38"/>
    </row>
    <row r="43" spans="1:13" ht="23.25" customHeight="1" x14ac:dyDescent="0.3">
      <c r="A43" s="170" t="s">
        <v>10</v>
      </c>
      <c r="B43" s="171"/>
      <c r="C43" s="171"/>
      <c r="D43" s="171"/>
      <c r="E43" s="171"/>
      <c r="F43" s="172">
        <f>F17-F40</f>
        <v>414900</v>
      </c>
      <c r="G43" s="171"/>
      <c r="H43" s="171"/>
      <c r="I43" s="171">
        <v>0.7</v>
      </c>
      <c r="J43" s="172">
        <f>J17-J40</f>
        <v>469500</v>
      </c>
      <c r="K43" s="172">
        <f>K17-K40</f>
        <v>36356.539130434801</v>
      </c>
      <c r="L43" s="172">
        <f>L17-L40</f>
        <v>920756.53913043463</v>
      </c>
      <c r="M43" s="174"/>
    </row>
  </sheetData>
  <mergeCells count="2">
    <mergeCell ref="D17:E17"/>
    <mergeCell ref="D40:E40"/>
  </mergeCells>
  <phoneticPr fontId="5" type="noConversion"/>
  <pageMargins left="0.23622047244094491" right="0.23622047244094491" top="0.55118110236220474" bottom="0.55118110236220474" header="0.31496062992125984" footer="0.31496062992125984"/>
  <pageSetup paperSize="9" scale="85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ABA-3FF8-46BD-9A52-A727D596B8CB}">
  <sheetPr>
    <pageSetUpPr fitToPage="1"/>
  </sheetPr>
  <dimension ref="A1:P46"/>
  <sheetViews>
    <sheetView view="pageBreakPreview" zoomScale="70" zoomScaleNormal="70" zoomScaleSheetLayoutView="70" workbookViewId="0">
      <selection activeCell="F17" sqref="F17:F19"/>
    </sheetView>
  </sheetViews>
  <sheetFormatPr defaultColWidth="10.875" defaultRowHeight="17.399999999999999" x14ac:dyDescent="0.3"/>
  <cols>
    <col min="1" max="1" width="30.75" style="3" customWidth="1"/>
    <col min="2" max="2" width="16.875" style="3" customWidth="1"/>
    <col min="3" max="3" width="18.375" style="3" customWidth="1"/>
    <col min="4" max="5" width="18.625" style="3" customWidth="1"/>
    <col min="6" max="6" width="19.375" style="3" customWidth="1"/>
    <col min="7" max="7" width="60.375" style="3" customWidth="1"/>
    <col min="8" max="8" width="10.875" style="3"/>
    <col min="9" max="9" width="25" style="3" customWidth="1"/>
    <col min="10" max="11" width="10.875" style="3"/>
    <col min="12" max="12" width="14.375" style="3" customWidth="1"/>
    <col min="13" max="16" width="10.875" style="3" customWidth="1"/>
    <col min="17" max="16384" width="10.875" style="3"/>
  </cols>
  <sheetData>
    <row r="1" spans="1:16" ht="30" x14ac:dyDescent="0.3">
      <c r="A1" s="192" t="s">
        <v>186</v>
      </c>
    </row>
    <row r="2" spans="1:16" ht="27.6" x14ac:dyDescent="0.3">
      <c r="A2" s="193" t="s">
        <v>187</v>
      </c>
      <c r="B2" s="194"/>
      <c r="C2" s="194"/>
      <c r="D2" s="194"/>
      <c r="E2" s="194"/>
      <c r="F2" s="194"/>
      <c r="G2" s="136"/>
    </row>
    <row r="3" spans="1:16" ht="21" x14ac:dyDescent="0.3">
      <c r="A3" s="195"/>
      <c r="B3" s="196"/>
      <c r="C3" s="196"/>
      <c r="D3" s="196"/>
      <c r="E3" s="196"/>
      <c r="F3" s="196"/>
      <c r="G3" s="197" t="s">
        <v>140</v>
      </c>
    </row>
    <row r="4" spans="1:16" ht="26.25" customHeight="1" x14ac:dyDescent="0.3">
      <c r="A4" s="198" t="s">
        <v>188</v>
      </c>
      <c r="B4" s="198" t="s">
        <v>59</v>
      </c>
      <c r="C4" s="198" t="s">
        <v>189</v>
      </c>
      <c r="D4" s="198" t="s">
        <v>190</v>
      </c>
      <c r="E4" s="198" t="s">
        <v>191</v>
      </c>
      <c r="F4" s="198" t="s">
        <v>192</v>
      </c>
      <c r="G4" s="198" t="s">
        <v>193</v>
      </c>
      <c r="K4" s="199"/>
    </row>
    <row r="5" spans="1:16" ht="26.25" customHeight="1" x14ac:dyDescent="0.3">
      <c r="A5" s="200" t="s">
        <v>194</v>
      </c>
      <c r="B5" s="201">
        <f>SUM(B6:B9)</f>
        <v>10794705.6</v>
      </c>
      <c r="C5" s="201">
        <f>SUM(C6:C9)</f>
        <v>13916082</v>
      </c>
      <c r="D5" s="201">
        <f>SUM(D6:D9)</f>
        <v>16421192.4</v>
      </c>
      <c r="E5" s="201">
        <f>SUM(E6:E9)</f>
        <v>18926303.800000001</v>
      </c>
      <c r="F5" s="201">
        <f>SUM(F6:F9)</f>
        <v>21431413.199999999</v>
      </c>
      <c r="G5" s="202"/>
    </row>
    <row r="6" spans="1:16" ht="26.25" customHeight="1" x14ac:dyDescent="0.3">
      <c r="A6" s="203" t="s">
        <v>195</v>
      </c>
      <c r="B6" s="204">
        <v>8341440</v>
      </c>
      <c r="C6" s="204">
        <v>10426800</v>
      </c>
      <c r="D6" s="204">
        <v>12512160</v>
      </c>
      <c r="E6" s="204">
        <v>14597520</v>
      </c>
      <c r="F6" s="204">
        <v>16682880</v>
      </c>
      <c r="G6" s="205" t="s">
        <v>196</v>
      </c>
    </row>
    <row r="7" spans="1:16" ht="26.25" customHeight="1" x14ac:dyDescent="0.3">
      <c r="A7" s="203" t="s">
        <v>197</v>
      </c>
      <c r="B7" s="204">
        <v>1691265.6</v>
      </c>
      <c r="C7" s="206">
        <v>2114082</v>
      </c>
      <c r="D7" s="206">
        <v>2536898.4</v>
      </c>
      <c r="E7" s="204">
        <v>2959714.8</v>
      </c>
      <c r="F7" s="204">
        <v>3382531.2</v>
      </c>
      <c r="G7" s="205"/>
    </row>
    <row r="8" spans="1:16" ht="26.25" customHeight="1" x14ac:dyDescent="0.3">
      <c r="A8" s="203" t="s">
        <v>198</v>
      </c>
      <c r="B8" s="207">
        <v>0</v>
      </c>
      <c r="C8" s="206">
        <v>613200</v>
      </c>
      <c r="D8" s="206">
        <v>610134</v>
      </c>
      <c r="E8" s="206">
        <v>607069</v>
      </c>
      <c r="F8" s="206">
        <v>604002</v>
      </c>
      <c r="G8" s="205" t="s">
        <v>199</v>
      </c>
    </row>
    <row r="9" spans="1:16" ht="57.75" customHeight="1" x14ac:dyDescent="0.3">
      <c r="A9" s="203" t="s">
        <v>200</v>
      </c>
      <c r="B9" s="204">
        <f>60000+356400+345600</f>
        <v>762000</v>
      </c>
      <c r="C9" s="204">
        <f>60000+356400+345600</f>
        <v>762000</v>
      </c>
      <c r="D9" s="204">
        <f>60000+356400+345600</f>
        <v>762000</v>
      </c>
      <c r="E9" s="204">
        <f>60000+356400+345600</f>
        <v>762000</v>
      </c>
      <c r="F9" s="204">
        <f>60000+356400+345600</f>
        <v>762000</v>
      </c>
      <c r="G9" s="208" t="s">
        <v>201</v>
      </c>
    </row>
    <row r="10" spans="1:16" ht="26.25" customHeight="1" x14ac:dyDescent="0.3">
      <c r="A10" s="200" t="s">
        <v>202</v>
      </c>
      <c r="B10" s="209">
        <f>SUM(B11:B14)</f>
        <v>5896158.04</v>
      </c>
      <c r="C10" s="209">
        <f>SUM(C11:C14)</f>
        <v>7361972.7999999998</v>
      </c>
      <c r="D10" s="209">
        <f>SUM(D11:D14)</f>
        <v>8767787.5600000005</v>
      </c>
      <c r="E10" s="209">
        <f>SUM(E11:E14)</f>
        <v>10173602.32</v>
      </c>
      <c r="F10" s="209">
        <f>SUM(F11:F14)</f>
        <v>11579417.08</v>
      </c>
      <c r="G10" s="202"/>
    </row>
    <row r="11" spans="1:16" ht="26.25" customHeight="1" x14ac:dyDescent="0.3">
      <c r="A11" s="203" t="s">
        <v>203</v>
      </c>
      <c r="B11" s="204">
        <v>4101120</v>
      </c>
      <c r="C11" s="204">
        <v>5126400</v>
      </c>
      <c r="D11" s="204">
        <v>6151680</v>
      </c>
      <c r="E11" s="204">
        <v>7176960</v>
      </c>
      <c r="F11" s="204">
        <v>8202240</v>
      </c>
      <c r="G11" s="210" t="s">
        <v>204</v>
      </c>
    </row>
    <row r="12" spans="1:16" ht="26.25" customHeight="1" x14ac:dyDescent="0.3">
      <c r="A12" s="203" t="s">
        <v>197</v>
      </c>
      <c r="B12" s="204">
        <f>B7*0.9</f>
        <v>1522139.04</v>
      </c>
      <c r="C12" s="204">
        <f>C7*0.9</f>
        <v>1902673.8</v>
      </c>
      <c r="D12" s="204">
        <f>D7*0.9</f>
        <v>2283208.56</v>
      </c>
      <c r="E12" s="204">
        <f>E7*0.9</f>
        <v>2663743.3199999998</v>
      </c>
      <c r="F12" s="204">
        <f>F7*0.9</f>
        <v>3044278.08</v>
      </c>
      <c r="G12" s="210" t="s">
        <v>204</v>
      </c>
    </row>
    <row r="13" spans="1:16" ht="26.25" customHeight="1" x14ac:dyDescent="0.3">
      <c r="A13" s="203" t="s">
        <v>205</v>
      </c>
      <c r="B13" s="207">
        <v>0</v>
      </c>
      <c r="C13" s="204">
        <v>60000</v>
      </c>
      <c r="D13" s="204">
        <v>60000</v>
      </c>
      <c r="E13" s="204">
        <v>60000</v>
      </c>
      <c r="F13" s="204">
        <v>60000</v>
      </c>
      <c r="G13" s="210" t="s">
        <v>206</v>
      </c>
    </row>
    <row r="14" spans="1:16" ht="34.799999999999997" x14ac:dyDescent="0.3">
      <c r="A14" s="211" t="s">
        <v>207</v>
      </c>
      <c r="B14" s="212">
        <f>232766+40133</f>
        <v>272899</v>
      </c>
      <c r="C14" s="212">
        <f>232766+40133</f>
        <v>272899</v>
      </c>
      <c r="D14" s="212">
        <f>232766+40133</f>
        <v>272899</v>
      </c>
      <c r="E14" s="212">
        <f>232766+40133</f>
        <v>272899</v>
      </c>
      <c r="F14" s="212">
        <f>232766+40133</f>
        <v>272899</v>
      </c>
      <c r="G14" s="213" t="s">
        <v>208</v>
      </c>
      <c r="K14" s="44"/>
      <c r="L14" s="44"/>
      <c r="M14" s="44"/>
    </row>
    <row r="15" spans="1:16" ht="26.25" customHeight="1" x14ac:dyDescent="0.3">
      <c r="A15" s="200" t="s">
        <v>209</v>
      </c>
      <c r="B15" s="209">
        <f>B5-B10</f>
        <v>4898547.5599999996</v>
      </c>
      <c r="C15" s="209">
        <f>C5-C10</f>
        <v>6554109.2000000002</v>
      </c>
      <c r="D15" s="209">
        <f>D5-D10</f>
        <v>7653404.8399999999</v>
      </c>
      <c r="E15" s="209">
        <f>E5-E10</f>
        <v>8752701.4800000004</v>
      </c>
      <c r="F15" s="209">
        <f>F5-F10</f>
        <v>9851996.1199999992</v>
      </c>
      <c r="G15" s="202"/>
      <c r="K15" s="44"/>
      <c r="L15" s="44"/>
      <c r="M15" s="44"/>
    </row>
    <row r="16" spans="1:16" ht="26.25" customHeight="1" x14ac:dyDescent="0.3">
      <c r="A16" s="200" t="s">
        <v>210</v>
      </c>
      <c r="B16" s="209">
        <f>SUM(B17:B30)</f>
        <v>2500762.2091999999</v>
      </c>
      <c r="C16" s="209">
        <f>SUM(C17:C30)</f>
        <v>2701859.1094</v>
      </c>
      <c r="D16" s="209">
        <f>SUM(D17:D30)</f>
        <v>2780557.5022999998</v>
      </c>
      <c r="E16" s="209">
        <f>SUM(E17:E30)</f>
        <v>2921589.4750000001</v>
      </c>
      <c r="F16" s="209">
        <f>SUM(F17:F30)</f>
        <v>2950084.1395999999</v>
      </c>
      <c r="G16" s="202"/>
      <c r="L16" s="3">
        <v>660588</v>
      </c>
      <c r="M16" s="3">
        <v>773166</v>
      </c>
      <c r="N16" s="3">
        <v>838147</v>
      </c>
      <c r="O16" s="3">
        <v>947750</v>
      </c>
      <c r="P16" s="3">
        <v>971444</v>
      </c>
    </row>
    <row r="17" spans="1:13" ht="26.25" customHeight="1" x14ac:dyDescent="0.3">
      <c r="A17" s="211" t="s">
        <v>211</v>
      </c>
      <c r="B17" s="212">
        <v>806011</v>
      </c>
      <c r="C17" s="214">
        <v>943042</v>
      </c>
      <c r="D17" s="214">
        <v>1022060</v>
      </c>
      <c r="E17" s="214">
        <v>1155498</v>
      </c>
      <c r="F17" s="214">
        <v>1184128</v>
      </c>
      <c r="G17" s="205" t="s">
        <v>212</v>
      </c>
      <c r="I17" s="259">
        <f>C17/B17-1</f>
        <v>0.17001132738883218</v>
      </c>
      <c r="J17" s="259">
        <f t="shared" ref="J17:L17" si="0">D17/C17-1</f>
        <v>8.379054167258726E-2</v>
      </c>
      <c r="K17" s="259">
        <f t="shared" si="0"/>
        <v>0.1305578928830009</v>
      </c>
      <c r="L17" s="259">
        <f t="shared" si="0"/>
        <v>2.4777195633397975E-2</v>
      </c>
      <c r="M17" s="259"/>
    </row>
    <row r="18" spans="1:13" ht="26.25" customHeight="1" x14ac:dyDescent="0.3">
      <c r="A18" s="211" t="s">
        <v>213</v>
      </c>
      <c r="B18" s="212">
        <v>66058.8</v>
      </c>
      <c r="C18" s="214">
        <v>77316.600000000006</v>
      </c>
      <c r="D18" s="214">
        <v>83814.700000000012</v>
      </c>
      <c r="E18" s="214">
        <v>94775</v>
      </c>
      <c r="F18" s="214">
        <v>97144.400000000009</v>
      </c>
      <c r="G18" s="205" t="s">
        <v>214</v>
      </c>
      <c r="I18" s="260">
        <f>B18/B17</f>
        <v>8.1957690403728981E-2</v>
      </c>
      <c r="J18" s="260">
        <f t="shared" ref="J18:L18" si="1">C18/C17</f>
        <v>8.1986380246054799E-2</v>
      </c>
      <c r="K18" s="260">
        <f t="shared" si="1"/>
        <v>8.2005655245288939E-2</v>
      </c>
      <c r="L18" s="260">
        <f t="shared" si="1"/>
        <v>8.2020912195434351E-2</v>
      </c>
      <c r="M18" s="260">
        <f>F18/F17</f>
        <v>8.2038766079342781E-2</v>
      </c>
    </row>
    <row r="19" spans="1:13" ht="26.25" customHeight="1" x14ac:dyDescent="0.3">
      <c r="A19" s="211" t="s">
        <v>215</v>
      </c>
      <c r="B19" s="212">
        <v>7200.4092000000001</v>
      </c>
      <c r="C19" s="212">
        <v>8427.5094000000008</v>
      </c>
      <c r="D19" s="212">
        <v>9135.8023000000012</v>
      </c>
      <c r="E19" s="212">
        <v>10330.475</v>
      </c>
      <c r="F19" s="212">
        <v>10588.739600000001</v>
      </c>
      <c r="G19" s="215" t="s">
        <v>216</v>
      </c>
      <c r="I19" s="259">
        <f>B19/B17</f>
        <v>8.9333882540064587E-3</v>
      </c>
      <c r="J19" s="259">
        <f t="shared" ref="J19:M19" si="2">C19/C17</f>
        <v>8.9365154468199724E-3</v>
      </c>
      <c r="K19" s="259">
        <f t="shared" si="2"/>
        <v>8.9386164217364946E-3</v>
      </c>
      <c r="L19" s="259">
        <f t="shared" si="2"/>
        <v>8.9402794293023443E-3</v>
      </c>
      <c r="M19" s="259">
        <f t="shared" si="2"/>
        <v>8.9422255026483637E-3</v>
      </c>
    </row>
    <row r="20" spans="1:13" ht="26.25" customHeight="1" x14ac:dyDescent="0.3">
      <c r="A20" s="211" t="s">
        <v>217</v>
      </c>
      <c r="B20" s="212">
        <v>36000</v>
      </c>
      <c r="C20" s="212">
        <v>36000</v>
      </c>
      <c r="D20" s="212">
        <v>36000</v>
      </c>
      <c r="E20" s="212">
        <v>36000</v>
      </c>
      <c r="F20" s="212">
        <v>36000</v>
      </c>
      <c r="G20" s="205" t="s">
        <v>218</v>
      </c>
      <c r="I20" s="49"/>
    </row>
    <row r="21" spans="1:13" ht="26.25" customHeight="1" x14ac:dyDescent="0.3">
      <c r="A21" s="211" t="s">
        <v>219</v>
      </c>
      <c r="B21" s="212">
        <v>1259064</v>
      </c>
      <c r="C21" s="212">
        <v>1310645</v>
      </c>
      <c r="D21" s="212">
        <v>1303119</v>
      </c>
      <c r="E21" s="212">
        <v>1298558</v>
      </c>
      <c r="F21" s="212">
        <v>1295795</v>
      </c>
      <c r="G21" s="205" t="s">
        <v>220</v>
      </c>
      <c r="I21" s="44">
        <f>AVERAGE(B21:F21)/1000</f>
        <v>1293.4361999999999</v>
      </c>
      <c r="J21" s="49">
        <f>I22/I21</f>
        <v>40.789858821795775</v>
      </c>
    </row>
    <row r="22" spans="1:13" ht="26.25" customHeight="1" x14ac:dyDescent="0.3">
      <c r="A22" s="211" t="s">
        <v>221</v>
      </c>
      <c r="B22" s="212">
        <v>12000</v>
      </c>
      <c r="C22" s="214">
        <v>12000</v>
      </c>
      <c r="D22" s="214">
        <v>12000</v>
      </c>
      <c r="E22" s="214">
        <v>12000</v>
      </c>
      <c r="F22" s="214">
        <v>12000</v>
      </c>
      <c r="G22" s="205" t="s">
        <v>222</v>
      </c>
      <c r="I22" s="44">
        <f>-'수정본 (7)'!K18</f>
        <v>52759.079992999999</v>
      </c>
    </row>
    <row r="23" spans="1:13" ht="26.25" customHeight="1" x14ac:dyDescent="0.3">
      <c r="A23" s="211" t="s">
        <v>223</v>
      </c>
      <c r="B23" s="212">
        <v>24000</v>
      </c>
      <c r="C23" s="212">
        <v>24000</v>
      </c>
      <c r="D23" s="212">
        <v>24000</v>
      </c>
      <c r="E23" s="212">
        <v>24000</v>
      </c>
      <c r="F23" s="212">
        <v>24000</v>
      </c>
      <c r="G23" s="205" t="s">
        <v>224</v>
      </c>
      <c r="I23" s="49"/>
    </row>
    <row r="24" spans="1:13" ht="26.25" customHeight="1" x14ac:dyDescent="0.3">
      <c r="A24" s="211" t="s">
        <v>225</v>
      </c>
      <c r="B24" s="212">
        <v>12000</v>
      </c>
      <c r="C24" s="214">
        <v>12000</v>
      </c>
      <c r="D24" s="214">
        <v>12000</v>
      </c>
      <c r="E24" s="214">
        <v>12000</v>
      </c>
      <c r="F24" s="214">
        <v>12000</v>
      </c>
      <c r="G24" s="205" t="s">
        <v>226</v>
      </c>
      <c r="I24" s="49"/>
    </row>
    <row r="25" spans="1:13" ht="36.75" customHeight="1" x14ac:dyDescent="0.3">
      <c r="A25" s="211" t="s">
        <v>227</v>
      </c>
      <c r="B25" s="212">
        <f>60000</f>
        <v>60000</v>
      </c>
      <c r="C25" s="212">
        <f>60000</f>
        <v>60000</v>
      </c>
      <c r="D25" s="212">
        <f>60000</f>
        <v>60000</v>
      </c>
      <c r="E25" s="212">
        <f>60000</f>
        <v>60000</v>
      </c>
      <c r="F25" s="212">
        <f>60000</f>
        <v>60000</v>
      </c>
      <c r="G25" s="205" t="s">
        <v>228</v>
      </c>
      <c r="I25" s="49"/>
    </row>
    <row r="26" spans="1:13" ht="26.25" customHeight="1" x14ac:dyDescent="0.3">
      <c r="A26" s="211" t="s">
        <v>229</v>
      </c>
      <c r="B26" s="212">
        <v>6000</v>
      </c>
      <c r="C26" s="212">
        <v>6000</v>
      </c>
      <c r="D26" s="212">
        <v>6000</v>
      </c>
      <c r="E26" s="212">
        <v>6000</v>
      </c>
      <c r="F26" s="212">
        <v>6000</v>
      </c>
      <c r="G26" s="205" t="s">
        <v>230</v>
      </c>
      <c r="I26" s="49"/>
    </row>
    <row r="27" spans="1:13" ht="26.25" customHeight="1" x14ac:dyDescent="0.3">
      <c r="A27" s="211" t="s">
        <v>231</v>
      </c>
      <c r="B27" s="212">
        <f>60000</f>
        <v>60000</v>
      </c>
      <c r="C27" s="212">
        <f>60000</f>
        <v>60000</v>
      </c>
      <c r="D27" s="212">
        <f>60000</f>
        <v>60000</v>
      </c>
      <c r="E27" s="212">
        <f>60000</f>
        <v>60000</v>
      </c>
      <c r="F27" s="212">
        <f>60000</f>
        <v>60000</v>
      </c>
      <c r="G27" s="205" t="s">
        <v>232</v>
      </c>
      <c r="I27" s="49"/>
    </row>
    <row r="28" spans="1:13" ht="26.25" customHeight="1" x14ac:dyDescent="0.3">
      <c r="A28" s="211" t="s">
        <v>233</v>
      </c>
      <c r="B28" s="212">
        <v>36000</v>
      </c>
      <c r="C28" s="212">
        <v>36000</v>
      </c>
      <c r="D28" s="212">
        <v>36000</v>
      </c>
      <c r="E28" s="212">
        <v>36000</v>
      </c>
      <c r="F28" s="212">
        <v>36000</v>
      </c>
      <c r="G28" s="205" t="s">
        <v>234</v>
      </c>
      <c r="I28" s="49"/>
    </row>
    <row r="29" spans="1:13" ht="26.25" customHeight="1" x14ac:dyDescent="0.3">
      <c r="A29" s="211" t="s">
        <v>235</v>
      </c>
      <c r="B29" s="212">
        <f>5000*12</f>
        <v>60000</v>
      </c>
      <c r="C29" s="212">
        <f>5000*12</f>
        <v>60000</v>
      </c>
      <c r="D29" s="212">
        <f>5000*12</f>
        <v>60000</v>
      </c>
      <c r="E29" s="212">
        <f>5000*12</f>
        <v>60000</v>
      </c>
      <c r="F29" s="212">
        <f>5000*12</f>
        <v>60000</v>
      </c>
      <c r="G29" s="205" t="s">
        <v>301</v>
      </c>
      <c r="I29" s="49"/>
    </row>
    <row r="30" spans="1:13" ht="26.25" customHeight="1" x14ac:dyDescent="0.3">
      <c r="A30" s="211" t="s">
        <v>236</v>
      </c>
      <c r="B30" s="212">
        <f>4800+48000+3628</f>
        <v>56428</v>
      </c>
      <c r="C30" s="212">
        <f>4800+48000+3628</f>
        <v>56428</v>
      </c>
      <c r="D30" s="212">
        <f>4800+48000+3628</f>
        <v>56428</v>
      </c>
      <c r="E30" s="212">
        <f>4800+48000+3628</f>
        <v>56428</v>
      </c>
      <c r="F30" s="212">
        <f>4800+48000+3628</f>
        <v>56428</v>
      </c>
      <c r="G30" s="205" t="s">
        <v>237</v>
      </c>
      <c r="I30" s="49"/>
    </row>
    <row r="31" spans="1:13" ht="26.25" customHeight="1" x14ac:dyDescent="0.3">
      <c r="A31" s="200" t="s">
        <v>238</v>
      </c>
      <c r="B31" s="216">
        <f>B15-B16</f>
        <v>2397785.3507999997</v>
      </c>
      <c r="C31" s="216">
        <f>C15-C16</f>
        <v>3852250.0906000002</v>
      </c>
      <c r="D31" s="216">
        <f>D15-D16</f>
        <v>4872847.3377</v>
      </c>
      <c r="E31" s="216">
        <f>E15-E16</f>
        <v>5831112.0050000008</v>
      </c>
      <c r="F31" s="216">
        <f>F15-F16</f>
        <v>6901911.9803999998</v>
      </c>
      <c r="G31" s="202"/>
    </row>
    <row r="32" spans="1:13" ht="26.25" customHeight="1" x14ac:dyDescent="0.3">
      <c r="A32" s="217" t="s">
        <v>239</v>
      </c>
      <c r="B32" s="218">
        <v>50000</v>
      </c>
      <c r="C32" s="218">
        <v>0</v>
      </c>
      <c r="D32" s="218">
        <v>0</v>
      </c>
      <c r="E32" s="218">
        <v>0</v>
      </c>
      <c r="F32" s="218">
        <v>0</v>
      </c>
      <c r="G32" s="219"/>
    </row>
    <row r="33" spans="1:10" ht="26.25" customHeight="1" x14ac:dyDescent="0.3">
      <c r="A33" s="217" t="s">
        <v>240</v>
      </c>
      <c r="B33" s="216">
        <f>B34</f>
        <v>1372000</v>
      </c>
      <c r="C33" s="216">
        <f>C34</f>
        <v>1372000</v>
      </c>
      <c r="D33" s="216">
        <f>D34</f>
        <v>1372000</v>
      </c>
      <c r="E33" s="216">
        <f>E34</f>
        <v>1372000</v>
      </c>
      <c r="F33" s="216">
        <f>F34</f>
        <v>1372000</v>
      </c>
      <c r="G33" s="219"/>
    </row>
    <row r="34" spans="1:10" ht="26.25" customHeight="1" x14ac:dyDescent="0.3">
      <c r="A34" s="211" t="s">
        <v>241</v>
      </c>
      <c r="B34" s="212">
        <v>1372000</v>
      </c>
      <c r="C34" s="212">
        <v>1372000</v>
      </c>
      <c r="D34" s="212">
        <v>1372000</v>
      </c>
      <c r="E34" s="212">
        <v>1372000</v>
      </c>
      <c r="F34" s="212">
        <v>1372000</v>
      </c>
      <c r="G34" s="220" t="s">
        <v>242</v>
      </c>
    </row>
    <row r="35" spans="1:10" ht="33" customHeight="1" x14ac:dyDescent="0.3">
      <c r="A35" s="217" t="s">
        <v>243</v>
      </c>
      <c r="B35" s="221">
        <f>B31-B34+B32</f>
        <v>1075785.3507999997</v>
      </c>
      <c r="C35" s="221">
        <f>C31-C34+C32</f>
        <v>2480250.0906000002</v>
      </c>
      <c r="D35" s="221">
        <f>D31-D34+D32</f>
        <v>3500847.3377</v>
      </c>
      <c r="E35" s="221">
        <f>E31-E34+E32</f>
        <v>4459112.0050000008</v>
      </c>
      <c r="F35" s="221">
        <f>F31-F34+F32</f>
        <v>5529911.9803999998</v>
      </c>
      <c r="G35" s="174"/>
    </row>
    <row r="36" spans="1:10" ht="33" customHeight="1" x14ac:dyDescent="0.3">
      <c r="A36" s="222" t="s">
        <v>244</v>
      </c>
      <c r="B36" s="223">
        <f>B35*0.22</f>
        <v>236672.77717599992</v>
      </c>
      <c r="C36" s="223">
        <f>C35*0.22</f>
        <v>545655.01993200008</v>
      </c>
      <c r="D36" s="223">
        <f>D35*0.22</f>
        <v>770186.41429400002</v>
      </c>
      <c r="E36" s="223">
        <f>E35*0.22</f>
        <v>981004.64110000024</v>
      </c>
      <c r="F36" s="223">
        <f>F35*0.22</f>
        <v>1216580.6356879999</v>
      </c>
      <c r="G36" s="220" t="s">
        <v>245</v>
      </c>
    </row>
    <row r="37" spans="1:10" ht="33" customHeight="1" x14ac:dyDescent="0.3">
      <c r="A37" s="217" t="s">
        <v>246</v>
      </c>
      <c r="B37" s="221">
        <f>B35-B36</f>
        <v>839112.57362399972</v>
      </c>
      <c r="C37" s="221">
        <f>C35-C36</f>
        <v>1934595.0706680003</v>
      </c>
      <c r="D37" s="221">
        <f>D35-D36</f>
        <v>2730660.9234060002</v>
      </c>
      <c r="E37" s="221">
        <f>E35-E36</f>
        <v>3478107.3639000007</v>
      </c>
      <c r="F37" s="221">
        <f>F35-F36</f>
        <v>4313331.3447120003</v>
      </c>
      <c r="G37" s="174"/>
    </row>
    <row r="38" spans="1:10" ht="33" customHeight="1" x14ac:dyDescent="0.3">
      <c r="A38" s="224"/>
      <c r="B38" s="225"/>
      <c r="C38" s="226"/>
      <c r="D38" s="226"/>
      <c r="E38" s="226"/>
      <c r="F38" s="226"/>
      <c r="G38" s="226"/>
      <c r="H38" s="226"/>
      <c r="I38" s="226"/>
      <c r="J38" s="226"/>
    </row>
    <row r="39" spans="1:10" ht="33" customHeight="1" x14ac:dyDescent="0.3">
      <c r="A39" s="227"/>
      <c r="B39" s="261">
        <f>B16-SUM(B17:B19,B21,B25,B27,B29:B30)</f>
        <v>126000</v>
      </c>
      <c r="C39" s="261">
        <f t="shared" ref="C39:F39" si="3">C16-SUM(C17:C19,C21,C25,C27,C29:C30)</f>
        <v>126000</v>
      </c>
      <c r="D39" s="261">
        <f t="shared" si="3"/>
        <v>126000</v>
      </c>
      <c r="E39" s="261">
        <f t="shared" si="3"/>
        <v>126000</v>
      </c>
      <c r="F39" s="261">
        <f t="shared" si="3"/>
        <v>126000</v>
      </c>
      <c r="G39" s="226"/>
      <c r="H39" s="226"/>
      <c r="I39" s="226"/>
      <c r="J39" s="226"/>
    </row>
    <row r="40" spans="1:10" ht="33" customHeight="1" x14ac:dyDescent="0.3">
      <c r="A40" s="228"/>
      <c r="B40" s="226"/>
      <c r="C40" s="226"/>
      <c r="D40" s="226"/>
      <c r="E40" s="226"/>
      <c r="F40" s="226"/>
      <c r="G40" s="226"/>
      <c r="H40" s="226"/>
      <c r="I40" s="226"/>
      <c r="J40" s="226"/>
    </row>
    <row r="41" spans="1:10" ht="33" customHeight="1" x14ac:dyDescent="0.3">
      <c r="A41" s="227"/>
      <c r="B41" s="226"/>
      <c r="C41" s="226"/>
      <c r="D41" s="226"/>
      <c r="E41" s="226"/>
      <c r="F41" s="226"/>
      <c r="G41" s="226"/>
      <c r="H41" s="226"/>
      <c r="I41" s="226"/>
      <c r="J41" s="226"/>
    </row>
    <row r="42" spans="1:10" ht="33" customHeight="1" x14ac:dyDescent="0.3">
      <c r="A42" s="227"/>
      <c r="B42" s="226"/>
      <c r="C42" s="226"/>
      <c r="D42" s="226"/>
      <c r="E42" s="226"/>
      <c r="F42" s="226"/>
      <c r="G42" s="226"/>
      <c r="H42" s="226"/>
      <c r="I42" s="226"/>
      <c r="J42" s="226"/>
    </row>
    <row r="43" spans="1:10" ht="33" customHeight="1" x14ac:dyDescent="0.3">
      <c r="A43" s="227"/>
      <c r="B43" s="226"/>
      <c r="C43" s="226"/>
      <c r="D43" s="226"/>
      <c r="E43" s="226"/>
      <c r="F43" s="226"/>
      <c r="G43" s="226"/>
      <c r="H43" s="226"/>
      <c r="I43" s="226"/>
      <c r="J43" s="226"/>
    </row>
    <row r="44" spans="1:10" ht="33" customHeight="1" x14ac:dyDescent="0.3">
      <c r="A44" s="227"/>
      <c r="B44" s="226"/>
      <c r="C44" s="226"/>
      <c r="D44" s="226"/>
      <c r="E44" s="226"/>
      <c r="F44" s="226"/>
      <c r="G44" s="226"/>
      <c r="H44" s="226"/>
      <c r="I44" s="226"/>
      <c r="J44" s="226"/>
    </row>
    <row r="45" spans="1:10" ht="33" customHeight="1" x14ac:dyDescent="0.3">
      <c r="B45" s="226"/>
      <c r="C45" s="226"/>
      <c r="D45" s="226"/>
      <c r="E45" s="226"/>
      <c r="F45" s="226"/>
      <c r="G45" s="226"/>
      <c r="H45" s="226"/>
      <c r="I45" s="226"/>
      <c r="J45" s="226"/>
    </row>
    <row r="46" spans="1:10" ht="33" customHeight="1" x14ac:dyDescent="0.3">
      <c r="A46" s="229"/>
      <c r="B46" s="226"/>
      <c r="C46" s="226"/>
      <c r="D46" s="226"/>
      <c r="E46" s="226"/>
      <c r="F46" s="226"/>
      <c r="G46" s="226"/>
      <c r="H46" s="226"/>
      <c r="I46" s="226"/>
      <c r="J46" s="226"/>
    </row>
  </sheetData>
  <phoneticPr fontId="5" type="noConversion"/>
  <pageMargins left="0.43307086614173229" right="0.43307086614173229" top="0.55118110236220474" bottom="0.55118110236220474" header="0.31496062992125984" footer="0.31496062992125984"/>
  <pageSetup paperSize="9" scale="59" fitToHeight="0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index</vt:lpstr>
      <vt:lpstr>Assumption</vt:lpstr>
      <vt:lpstr>현금흐름</vt:lpstr>
      <vt:lpstr>펀드</vt:lpstr>
      <vt:lpstr>개발기간</vt:lpstr>
      <vt:lpstr>운영기간</vt:lpstr>
      <vt:lpstr>상환가능성</vt:lpstr>
      <vt:lpstr>공정표</vt:lpstr>
      <vt:lpstr>민감도</vt:lpstr>
      <vt:lpstr>PBC&gt;</vt:lpstr>
      <vt:lpstr>수정본 (7)</vt:lpstr>
      <vt:lpstr>추정매출(1안)</vt:lpstr>
      <vt:lpstr>첨부1 추정손익(태양광 포함)</vt:lpstr>
      <vt:lpstr>'수정본 (7)'!Print_Area</vt:lpstr>
      <vt:lpstr>'첨부1 추정손익(태양광 포함)'!Print_Area</vt:lpstr>
      <vt:lpstr>'추정매출(1안)'!Print_Area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Oh,Seungjun</dc:creator>
  <cp:lastModifiedBy>Rae Kim</cp:lastModifiedBy>
  <dcterms:created xsi:type="dcterms:W3CDTF">2023-05-16T00:40:01Z</dcterms:created>
  <dcterms:modified xsi:type="dcterms:W3CDTF">2024-01-05T01:32:46Z</dcterms:modified>
</cp:coreProperties>
</file>