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40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comments1.xml" ContentType="application/vnd.openxmlformats-officedocument.spreadsheetml.comments+xml"/>
  <Override PartName="/xl/externalLinks/externalLink7.xml" ContentType="application/vnd.openxmlformats-officedocument.spreadsheetml.externalLink+xml"/>
  <Override PartName="/xl/comments2.xml" ContentType="application/vnd.openxmlformats-officedocument.spreadsheetml.comments+xml"/>
  <Override PartName="/xl/externalLinks/externalLink6.xml" ContentType="application/vnd.openxmlformats-officedocument.spreadsheetml.externalLink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5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AppData\Local\Microsoft\Windows\INetCache\Content.Outlook\FEGMTQZQ\"/>
    </mc:Choice>
  </mc:AlternateContent>
  <bookViews>
    <workbookView xWindow="0" yWindow="0" windowWidth="28800" windowHeight="10740" tabRatio="783"/>
  </bookViews>
  <sheets>
    <sheet name="재무상태표" sheetId="38" r:id="rId1"/>
    <sheet name="기타무형자산" sheetId="110" r:id="rId2"/>
    <sheet name="배출권" sheetId="124" r:id="rId3"/>
    <sheet name="원재료" sheetId="113" r:id="rId4"/>
    <sheet name="저장품" sheetId="79" r:id="rId5"/>
    <sheet name="저장품첨부" sheetId="104" state="hidden" r:id="rId6"/>
    <sheet name="기타재고" sheetId="116" r:id="rId7"/>
    <sheet name="매출채권" sheetId="33" r:id="rId8"/>
    <sheet name="미수금" sheetId="63" r:id="rId9"/>
    <sheet name="미수수익" sheetId="7" r:id="rId10"/>
    <sheet name="선급비용(이자)" sheetId="102" state="hidden" r:id="rId11"/>
    <sheet name="선급금" sheetId="117" r:id="rId12"/>
    <sheet name="선급비용(법인세,지방소득세)" sheetId="66" r:id="rId13"/>
    <sheet name="선급비용(보험료,기타)" sheetId="67" r:id="rId14"/>
    <sheet name="조기상환(161013)" sheetId="101" state="hidden" r:id="rId15"/>
    <sheet name="참고1" sheetId="86" state="hidden" r:id="rId16"/>
    <sheet name="참고2" sheetId="87" state="hidden" r:id="rId17"/>
    <sheet name="이자비용" sheetId="98" state="hidden" r:id="rId18"/>
    <sheet name="현금예금" sheetId="10" r:id="rId19"/>
    <sheet name="차입금(장기,유동성)" sheetId="100" r:id="rId20"/>
    <sheet name="확정급여부채" sheetId="54" r:id="rId21"/>
    <sheet name="사외적립자산" sheetId="58" r:id="rId22"/>
    <sheet name="참고3-사외적립자산" sheetId="88" state="hidden" r:id="rId23"/>
    <sheet name="장기선수수익" sheetId="103" r:id="rId24"/>
    <sheet name="매입채무(외상매입금)" sheetId="59" r:id="rId25"/>
    <sheet name="미지급금(일반)" sheetId="118" r:id="rId26"/>
    <sheet name="미지급금(법인카드,자동이체)" sheetId="68" r:id="rId27"/>
    <sheet name="미지급법인세" sheetId="99" state="hidden" r:id="rId28"/>
    <sheet name="예수금" sheetId="15" r:id="rId29"/>
    <sheet name="예수금(소득,주민세)" sheetId="75" state="hidden" r:id="rId30"/>
    <sheet name="예수금(기타)" sheetId="71" state="hidden" r:id="rId31"/>
    <sheet name="예수금(법인세)" sheetId="93" state="hidden" r:id="rId32"/>
    <sheet name="주발차" sheetId="17" state="hidden" r:id="rId33"/>
    <sheet name="미지급분" sheetId="90" state="hidden" r:id="rId34"/>
    <sheet name="예수보증금" sheetId="122" r:id="rId35"/>
    <sheet name="미지급비용" sheetId="119" r:id="rId36"/>
    <sheet name="가수금" sheetId="120" r:id="rId37"/>
    <sheet name="보험수리적손익" sheetId="70" r:id="rId38"/>
    <sheet name="첨부4" sheetId="94" state="hidden" r:id="rId39"/>
    <sheet name="이익준비금" sheetId="81" state="hidden" r:id="rId40"/>
  </sheets>
  <externalReferences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_xlnm._FilterDatabase" localSheetId="25" hidden="1">'미지급금(일반)'!$A$4:$E$49</definedName>
    <definedName name="_xlnm._FilterDatabase" localSheetId="12" hidden="1">'선급비용(법인세,지방소득세)'!$A$4:$G$4</definedName>
    <definedName name="_xlnm._FilterDatabase" localSheetId="4" hidden="1">저장품!$A$4:$F$74</definedName>
    <definedName name="CCP" localSheetId="36">#REF!</definedName>
    <definedName name="CCP" localSheetId="1">#REF!</definedName>
    <definedName name="CCP" localSheetId="6">#REF!</definedName>
    <definedName name="CCP" localSheetId="24">#REF!</definedName>
    <definedName name="CCP" localSheetId="8">#REF!</definedName>
    <definedName name="CCP" localSheetId="26">#REF!</definedName>
    <definedName name="CCP" localSheetId="25">#REF!</definedName>
    <definedName name="CCP" localSheetId="27">#REF!</definedName>
    <definedName name="CCP" localSheetId="35">#REF!</definedName>
    <definedName name="CCP" localSheetId="37">#REF!</definedName>
    <definedName name="CCP" localSheetId="21">#REF!</definedName>
    <definedName name="CCP" localSheetId="11">#REF!</definedName>
    <definedName name="CCP" localSheetId="12">#REF!</definedName>
    <definedName name="CCP" localSheetId="13">#REF!</definedName>
    <definedName name="CCP" localSheetId="10">#REF!</definedName>
    <definedName name="CCP" localSheetId="30">#REF!</definedName>
    <definedName name="CCP" localSheetId="31">#REF!</definedName>
    <definedName name="CCP" localSheetId="29">#REF!</definedName>
    <definedName name="CCP" localSheetId="34">#REF!</definedName>
    <definedName name="CCP" localSheetId="3">#REF!</definedName>
    <definedName name="CCP" localSheetId="23">#REF!</definedName>
    <definedName name="CCP" localSheetId="4">#REF!</definedName>
    <definedName name="CCP" localSheetId="5">#REF!</definedName>
    <definedName name="CCP" localSheetId="19">#REF!</definedName>
    <definedName name="CCP" localSheetId="15">#REF!</definedName>
    <definedName name="CCP" localSheetId="22">#REF!</definedName>
    <definedName name="CCP" localSheetId="38">#REF!</definedName>
    <definedName name="CCP">#REF!</definedName>
    <definedName name="_xlnm.Database" localSheetId="36">#REF!</definedName>
    <definedName name="_xlnm.Database" localSheetId="1">#REF!</definedName>
    <definedName name="_xlnm.Database" localSheetId="6">#REF!</definedName>
    <definedName name="_xlnm.Database" localSheetId="24">#REF!</definedName>
    <definedName name="_xlnm.Database" localSheetId="8">#REF!</definedName>
    <definedName name="_xlnm.Database" localSheetId="26">#REF!</definedName>
    <definedName name="_xlnm.Database" localSheetId="25">#REF!</definedName>
    <definedName name="_xlnm.Database" localSheetId="27">#REF!</definedName>
    <definedName name="_xlnm.Database" localSheetId="35">#REF!</definedName>
    <definedName name="_xlnm.Database" localSheetId="37">#REF!</definedName>
    <definedName name="_xlnm.Database" localSheetId="21">#REF!</definedName>
    <definedName name="_xlnm.Database" localSheetId="11">#REF!</definedName>
    <definedName name="_xlnm.Database" localSheetId="12">#REF!</definedName>
    <definedName name="_xlnm.Database" localSheetId="13">#REF!</definedName>
    <definedName name="_xlnm.Database" localSheetId="10">#REF!</definedName>
    <definedName name="_xlnm.Database" localSheetId="30">#REF!</definedName>
    <definedName name="_xlnm.Database" localSheetId="31">#REF!</definedName>
    <definedName name="_xlnm.Database" localSheetId="29">#REF!</definedName>
    <definedName name="_xlnm.Database" localSheetId="34">#REF!</definedName>
    <definedName name="_xlnm.Database" localSheetId="3">#REF!</definedName>
    <definedName name="_xlnm.Database" localSheetId="23">#REF!</definedName>
    <definedName name="_xlnm.Database" localSheetId="4">#REF!</definedName>
    <definedName name="_xlnm.Database" localSheetId="5">#REF!</definedName>
    <definedName name="_xlnm.Database" localSheetId="19">#REF!</definedName>
    <definedName name="_xlnm.Database" localSheetId="15">#REF!</definedName>
    <definedName name="_xlnm.Database" localSheetId="22">#REF!</definedName>
    <definedName name="_xlnm.Database" localSheetId="38">#REF!</definedName>
    <definedName name="_xlnm.Database">#REF!</definedName>
    <definedName name="Database_MI" localSheetId="36">#REF!</definedName>
    <definedName name="Database_MI" localSheetId="1">#REF!</definedName>
    <definedName name="Database_MI" localSheetId="6">#REF!</definedName>
    <definedName name="Database_MI" localSheetId="24">#REF!</definedName>
    <definedName name="Database_MI" localSheetId="8">#REF!</definedName>
    <definedName name="Database_MI" localSheetId="26">#REF!</definedName>
    <definedName name="Database_MI" localSheetId="25">#REF!</definedName>
    <definedName name="Database_MI" localSheetId="27">#REF!</definedName>
    <definedName name="Database_MI" localSheetId="35">#REF!</definedName>
    <definedName name="Database_MI" localSheetId="37">#REF!</definedName>
    <definedName name="Database_MI" localSheetId="21">#REF!</definedName>
    <definedName name="Database_MI" localSheetId="11">#REF!</definedName>
    <definedName name="Database_MI" localSheetId="12">#REF!</definedName>
    <definedName name="Database_MI" localSheetId="13">#REF!</definedName>
    <definedName name="Database_MI" localSheetId="10">#REF!</definedName>
    <definedName name="Database_MI" localSheetId="30">#REF!</definedName>
    <definedName name="Database_MI" localSheetId="31">#REF!</definedName>
    <definedName name="Database_MI" localSheetId="29">#REF!</definedName>
    <definedName name="Database_MI" localSheetId="34">#REF!</definedName>
    <definedName name="Database_MI" localSheetId="3">#REF!</definedName>
    <definedName name="Database_MI" localSheetId="23">#REF!</definedName>
    <definedName name="Database_MI" localSheetId="4">#REF!</definedName>
    <definedName name="Database_MI" localSheetId="5">#REF!</definedName>
    <definedName name="Database_MI" localSheetId="19">#REF!</definedName>
    <definedName name="Database_MI" localSheetId="15">#REF!</definedName>
    <definedName name="Database_MI" localSheetId="22">#REF!</definedName>
    <definedName name="Database_MI" localSheetId="38">#REF!</definedName>
    <definedName name="Database_MI">#REF!</definedName>
    <definedName name="gy" localSheetId="13" hidden="1">{#N/A,#N/A,TRUE,"근태일보"}</definedName>
    <definedName name="gy" localSheetId="3" hidden="1">{#N/A,#N/A,TRUE,"근태일보"}</definedName>
    <definedName name="gy" localSheetId="0" hidden="1">{#N/A,#N/A,TRUE,"근태일보"}</definedName>
    <definedName name="gy" localSheetId="5" hidden="1">{#N/A,#N/A,TRUE,"근태일보"}</definedName>
    <definedName name="gy" localSheetId="19" hidden="1">{#N/A,#N/A,TRUE,"근태일보"}</definedName>
    <definedName name="gy" localSheetId="22" hidden="1">{#N/A,#N/A,TRUE,"근태일보"}</definedName>
    <definedName name="gy" localSheetId="38" hidden="1">{#N/A,#N/A,TRUE,"근태일보"}</definedName>
    <definedName name="gy" localSheetId="18" hidden="1">{#N/A,#N/A,TRUE,"근태일보"}</definedName>
    <definedName name="gy" hidden="1">{#N/A,#N/A,TRUE,"근태일보"}</definedName>
    <definedName name="_xlnm.Print_Area" localSheetId="26">'미지급금(법인카드,자동이체)'!$A$1:$E$19</definedName>
    <definedName name="_xlnm.Print_Area" localSheetId="27">미지급법인세!$A$1:$E$23</definedName>
    <definedName name="_xlnm.Print_Area" localSheetId="2">배출권!$A$1:$H$32</definedName>
    <definedName name="_xlnm.Print_Area" localSheetId="13">'선급비용(보험료,기타)'!$A$1:$H$23</definedName>
    <definedName name="_xlnm.Print_Area" localSheetId="10">'선급비용(이자)'!$A$1:$H$22</definedName>
    <definedName name="_xlnm.Print_Area" localSheetId="3">원재료!$A$1:$J$55</definedName>
    <definedName name="_xlnm.Print_Area" localSheetId="17">이자비용!$A$1:$R$32</definedName>
    <definedName name="_xlnm.Print_Area" localSheetId="0">재무상태표!$A$1:$H$43</definedName>
    <definedName name="_xlnm.Print_Area" localSheetId="18">현금예금!$A$1:$E$18</definedName>
    <definedName name="wrn.99.1.1일._.근태일보." localSheetId="36" hidden="1">{#N/A,#N/A,TRUE,"근태일보"}</definedName>
    <definedName name="wrn.99.1.1일._.근태일보." localSheetId="1" hidden="1">{#N/A,#N/A,TRUE,"근태일보"}</definedName>
    <definedName name="wrn.99.1.1일._.근태일보." localSheetId="6" hidden="1">{#N/A,#N/A,TRUE,"근태일보"}</definedName>
    <definedName name="wrn.99.1.1일._.근태일보." localSheetId="24" hidden="1">{#N/A,#N/A,TRUE,"근태일보"}</definedName>
    <definedName name="wrn.99.1.1일._.근태일보." localSheetId="7" hidden="1">{#N/A,#N/A,TRUE,"근태일보"}</definedName>
    <definedName name="wrn.99.1.1일._.근태일보." localSheetId="8" hidden="1">{#N/A,#N/A,TRUE,"근태일보"}</definedName>
    <definedName name="wrn.99.1.1일._.근태일보." localSheetId="9" hidden="1">{#N/A,#N/A,TRUE,"근태일보"}</definedName>
    <definedName name="wrn.99.1.1일._.근태일보." localSheetId="26" hidden="1">{#N/A,#N/A,TRUE,"근태일보"}</definedName>
    <definedName name="wrn.99.1.1일._.근태일보." localSheetId="25" hidden="1">{#N/A,#N/A,TRUE,"근태일보"}</definedName>
    <definedName name="wrn.99.1.1일._.근태일보." localSheetId="27" hidden="1">{#N/A,#N/A,TRUE,"근태일보"}</definedName>
    <definedName name="wrn.99.1.1일._.근태일보." localSheetId="35" hidden="1">{#N/A,#N/A,TRUE,"근태일보"}</definedName>
    <definedName name="wrn.99.1.1일._.근태일보." localSheetId="37" hidden="1">{#N/A,#N/A,TRUE,"근태일보"}</definedName>
    <definedName name="wrn.99.1.1일._.근태일보." localSheetId="21" hidden="1">{#N/A,#N/A,TRUE,"근태일보"}</definedName>
    <definedName name="wrn.99.1.1일._.근태일보." localSheetId="11" hidden="1">{#N/A,#N/A,TRUE,"근태일보"}</definedName>
    <definedName name="wrn.99.1.1일._.근태일보." localSheetId="12" hidden="1">{#N/A,#N/A,TRUE,"근태일보"}</definedName>
    <definedName name="wrn.99.1.1일._.근태일보." localSheetId="13" hidden="1">{#N/A,#N/A,TRUE,"근태일보"}</definedName>
    <definedName name="wrn.99.1.1일._.근태일보." localSheetId="28" hidden="1">{#N/A,#N/A,TRUE,"근태일보"}</definedName>
    <definedName name="wrn.99.1.1일._.근태일보." localSheetId="30" hidden="1">{#N/A,#N/A,TRUE,"근태일보"}</definedName>
    <definedName name="wrn.99.1.1일._.근태일보." localSheetId="31" hidden="1">{#N/A,#N/A,TRUE,"근태일보"}</definedName>
    <definedName name="wrn.99.1.1일._.근태일보." localSheetId="29" hidden="1">{#N/A,#N/A,TRUE,"근태일보"}</definedName>
    <definedName name="wrn.99.1.1일._.근태일보." localSheetId="34" hidden="1">{#N/A,#N/A,TRUE,"근태일보"}</definedName>
    <definedName name="wrn.99.1.1일._.근태일보." localSheetId="3" hidden="1">{#N/A,#N/A,TRUE,"근태일보"}</definedName>
    <definedName name="wrn.99.1.1일._.근태일보." localSheetId="23" hidden="1">{#N/A,#N/A,TRUE,"근태일보"}</definedName>
    <definedName name="wrn.99.1.1일._.근태일보." localSheetId="0" hidden="1">{#N/A,#N/A,TRUE,"근태일보"}</definedName>
    <definedName name="wrn.99.1.1일._.근태일보." localSheetId="4" hidden="1">{#N/A,#N/A,TRUE,"근태일보"}</definedName>
    <definedName name="wrn.99.1.1일._.근태일보." localSheetId="5" hidden="1">{#N/A,#N/A,TRUE,"근태일보"}</definedName>
    <definedName name="wrn.99.1.1일._.근태일보." localSheetId="32" hidden="1">{#N/A,#N/A,TRUE,"근태일보"}</definedName>
    <definedName name="wrn.99.1.1일._.근태일보." localSheetId="19" hidden="1">{#N/A,#N/A,TRUE,"근태일보"}</definedName>
    <definedName name="wrn.99.1.1일._.근태일보." localSheetId="22" hidden="1">{#N/A,#N/A,TRUE,"근태일보"}</definedName>
    <definedName name="wrn.99.1.1일._.근태일보." localSheetId="38" hidden="1">{#N/A,#N/A,TRUE,"근태일보"}</definedName>
    <definedName name="wrn.99.1.1일._.근태일보." localSheetId="18" hidden="1">{#N/A,#N/A,TRUE,"근태일보"}</definedName>
    <definedName name="wrn.99.1.1일._.근태일보." localSheetId="20" hidden="1">{#N/A,#N/A,TRUE,"근태일보"}</definedName>
    <definedName name="wrn.99.1.1일._.근태일보." hidden="1">{#N/A,#N/A,TRUE,"근태일보"}</definedName>
    <definedName name="가" localSheetId="13" hidden="1">{#N/A,#N/A,TRUE,"근태일보"}</definedName>
    <definedName name="가" localSheetId="3" hidden="1">{#N/A,#N/A,TRUE,"근태일보"}</definedName>
    <definedName name="가" localSheetId="0" hidden="1">{#N/A,#N/A,TRUE,"근태일보"}</definedName>
    <definedName name="가" localSheetId="5" hidden="1">{#N/A,#N/A,TRUE,"근태일보"}</definedName>
    <definedName name="가" localSheetId="19" hidden="1">{#N/A,#N/A,TRUE,"근태일보"}</definedName>
    <definedName name="가" localSheetId="22" hidden="1">{#N/A,#N/A,TRUE,"근태일보"}</definedName>
    <definedName name="가" localSheetId="38" hidden="1">{#N/A,#N/A,TRUE,"근태일보"}</definedName>
    <definedName name="가" localSheetId="18" hidden="1">{#N/A,#N/A,TRUE,"근태일보"}</definedName>
    <definedName name="가" hidden="1">{#N/A,#N/A,TRUE,"근태일보"}</definedName>
    <definedName name="가나" localSheetId="13" hidden="1">{#N/A,#N/A,TRUE,"근태일보"}</definedName>
    <definedName name="가나" localSheetId="3" hidden="1">{#N/A,#N/A,TRUE,"근태일보"}</definedName>
    <definedName name="가나" localSheetId="0" hidden="1">{#N/A,#N/A,TRUE,"근태일보"}</definedName>
    <definedName name="가나" localSheetId="5" hidden="1">{#N/A,#N/A,TRUE,"근태일보"}</definedName>
    <definedName name="가나" localSheetId="19" hidden="1">{#N/A,#N/A,TRUE,"근태일보"}</definedName>
    <definedName name="가나" localSheetId="22" hidden="1">{#N/A,#N/A,TRUE,"근태일보"}</definedName>
    <definedName name="가나" localSheetId="38" hidden="1">{#N/A,#N/A,TRUE,"근태일보"}</definedName>
    <definedName name="가나" localSheetId="18" hidden="1">{#N/A,#N/A,TRUE,"근태일보"}</definedName>
    <definedName name="가나" hidden="1">{#N/A,#N/A,TRUE,"근태일보"}</definedName>
    <definedName name="계획" localSheetId="36">#REF!</definedName>
    <definedName name="계획" localSheetId="1">#REF!</definedName>
    <definedName name="계획" localSheetId="6">#REF!</definedName>
    <definedName name="계획" localSheetId="24">#REF!</definedName>
    <definedName name="계획" localSheetId="8">#REF!</definedName>
    <definedName name="계획" localSheetId="26">#REF!</definedName>
    <definedName name="계획" localSheetId="25">#REF!</definedName>
    <definedName name="계획" localSheetId="27">#REF!</definedName>
    <definedName name="계획" localSheetId="35">#REF!</definedName>
    <definedName name="계획" localSheetId="37">#REF!</definedName>
    <definedName name="계획" localSheetId="21">#REF!</definedName>
    <definedName name="계획" localSheetId="11">#REF!</definedName>
    <definedName name="계획" localSheetId="12">#REF!</definedName>
    <definedName name="계획" localSheetId="13">#REF!</definedName>
    <definedName name="계획" localSheetId="10">#REF!</definedName>
    <definedName name="계획" localSheetId="30">#REF!</definedName>
    <definedName name="계획" localSheetId="31">#REF!</definedName>
    <definedName name="계획" localSheetId="29">#REF!</definedName>
    <definedName name="계획" localSheetId="34">#REF!</definedName>
    <definedName name="계획" localSheetId="3">#REF!</definedName>
    <definedName name="계획" localSheetId="23">#REF!</definedName>
    <definedName name="계획" localSheetId="4">#REF!</definedName>
    <definedName name="계획" localSheetId="5">#REF!</definedName>
    <definedName name="계획" localSheetId="19">#REF!</definedName>
    <definedName name="계획" localSheetId="15">#REF!</definedName>
    <definedName name="계획" localSheetId="22">#REF!</definedName>
    <definedName name="계획" localSheetId="38">#REF!</definedName>
    <definedName name="계획">#REF!</definedName>
    <definedName name="공사24" localSheetId="36" hidden="1">{#N/A,#N/A,TRUE,"근태일보"}</definedName>
    <definedName name="공사24" localSheetId="1" hidden="1">{#N/A,#N/A,TRUE,"근태일보"}</definedName>
    <definedName name="공사24" localSheetId="6" hidden="1">{#N/A,#N/A,TRUE,"근태일보"}</definedName>
    <definedName name="공사24" localSheetId="24" hidden="1">{#N/A,#N/A,TRUE,"근태일보"}</definedName>
    <definedName name="공사24" localSheetId="7" hidden="1">{#N/A,#N/A,TRUE,"근태일보"}</definedName>
    <definedName name="공사24" localSheetId="8" hidden="1">{#N/A,#N/A,TRUE,"근태일보"}</definedName>
    <definedName name="공사24" localSheetId="9" hidden="1">{#N/A,#N/A,TRUE,"근태일보"}</definedName>
    <definedName name="공사24" localSheetId="26" hidden="1">{#N/A,#N/A,TRUE,"근태일보"}</definedName>
    <definedName name="공사24" localSheetId="25" hidden="1">{#N/A,#N/A,TRUE,"근태일보"}</definedName>
    <definedName name="공사24" localSheetId="27" hidden="1">{#N/A,#N/A,TRUE,"근태일보"}</definedName>
    <definedName name="공사24" localSheetId="35" hidden="1">{#N/A,#N/A,TRUE,"근태일보"}</definedName>
    <definedName name="공사24" localSheetId="37" hidden="1">{#N/A,#N/A,TRUE,"근태일보"}</definedName>
    <definedName name="공사24" localSheetId="21" hidden="1">{#N/A,#N/A,TRUE,"근태일보"}</definedName>
    <definedName name="공사24" localSheetId="11" hidden="1">{#N/A,#N/A,TRUE,"근태일보"}</definedName>
    <definedName name="공사24" localSheetId="12" hidden="1">{#N/A,#N/A,TRUE,"근태일보"}</definedName>
    <definedName name="공사24" localSheetId="13" hidden="1">{#N/A,#N/A,TRUE,"근태일보"}</definedName>
    <definedName name="공사24" localSheetId="28" hidden="1">{#N/A,#N/A,TRUE,"근태일보"}</definedName>
    <definedName name="공사24" localSheetId="30" hidden="1">{#N/A,#N/A,TRUE,"근태일보"}</definedName>
    <definedName name="공사24" localSheetId="31" hidden="1">{#N/A,#N/A,TRUE,"근태일보"}</definedName>
    <definedName name="공사24" localSheetId="29" hidden="1">{#N/A,#N/A,TRUE,"근태일보"}</definedName>
    <definedName name="공사24" localSheetId="34" hidden="1">{#N/A,#N/A,TRUE,"근태일보"}</definedName>
    <definedName name="공사24" localSheetId="3" hidden="1">{#N/A,#N/A,TRUE,"근태일보"}</definedName>
    <definedName name="공사24" localSheetId="23" hidden="1">{#N/A,#N/A,TRUE,"근태일보"}</definedName>
    <definedName name="공사24" localSheetId="0" hidden="1">{#N/A,#N/A,TRUE,"근태일보"}</definedName>
    <definedName name="공사24" localSheetId="4" hidden="1">{#N/A,#N/A,TRUE,"근태일보"}</definedName>
    <definedName name="공사24" localSheetId="5" hidden="1">{#N/A,#N/A,TRUE,"근태일보"}</definedName>
    <definedName name="공사24" localSheetId="32" hidden="1">{#N/A,#N/A,TRUE,"근태일보"}</definedName>
    <definedName name="공사24" localSheetId="19" hidden="1">{#N/A,#N/A,TRUE,"근태일보"}</definedName>
    <definedName name="공사24" localSheetId="22" hidden="1">{#N/A,#N/A,TRUE,"근태일보"}</definedName>
    <definedName name="공사24" localSheetId="38" hidden="1">{#N/A,#N/A,TRUE,"근태일보"}</definedName>
    <definedName name="공사24" localSheetId="18" hidden="1">{#N/A,#N/A,TRUE,"근태일보"}</definedName>
    <definedName name="공사24" localSheetId="20" hidden="1">{#N/A,#N/A,TRUE,"근태일보"}</definedName>
    <definedName name="공사24" hidden="1">{#N/A,#N/A,TRUE,"근태일보"}</definedName>
    <definedName name="공사현황" localSheetId="36" hidden="1">{#N/A,#N/A,TRUE,"근태일보"}</definedName>
    <definedName name="공사현황" localSheetId="1" hidden="1">{#N/A,#N/A,TRUE,"근태일보"}</definedName>
    <definedName name="공사현황" localSheetId="6" hidden="1">{#N/A,#N/A,TRUE,"근태일보"}</definedName>
    <definedName name="공사현황" localSheetId="24" hidden="1">{#N/A,#N/A,TRUE,"근태일보"}</definedName>
    <definedName name="공사현황" localSheetId="7" hidden="1">{#N/A,#N/A,TRUE,"근태일보"}</definedName>
    <definedName name="공사현황" localSheetId="8" hidden="1">{#N/A,#N/A,TRUE,"근태일보"}</definedName>
    <definedName name="공사현황" localSheetId="9" hidden="1">{#N/A,#N/A,TRUE,"근태일보"}</definedName>
    <definedName name="공사현황" localSheetId="26" hidden="1">{#N/A,#N/A,TRUE,"근태일보"}</definedName>
    <definedName name="공사현황" localSheetId="25" hidden="1">{#N/A,#N/A,TRUE,"근태일보"}</definedName>
    <definedName name="공사현황" localSheetId="27" hidden="1">{#N/A,#N/A,TRUE,"근태일보"}</definedName>
    <definedName name="공사현황" localSheetId="35" hidden="1">{#N/A,#N/A,TRUE,"근태일보"}</definedName>
    <definedName name="공사현황" localSheetId="37" hidden="1">{#N/A,#N/A,TRUE,"근태일보"}</definedName>
    <definedName name="공사현황" localSheetId="21" hidden="1">{#N/A,#N/A,TRUE,"근태일보"}</definedName>
    <definedName name="공사현황" localSheetId="11" hidden="1">{#N/A,#N/A,TRUE,"근태일보"}</definedName>
    <definedName name="공사현황" localSheetId="12" hidden="1">{#N/A,#N/A,TRUE,"근태일보"}</definedName>
    <definedName name="공사현황" localSheetId="13" hidden="1">{#N/A,#N/A,TRUE,"근태일보"}</definedName>
    <definedName name="공사현황" localSheetId="28" hidden="1">{#N/A,#N/A,TRUE,"근태일보"}</definedName>
    <definedName name="공사현황" localSheetId="30" hidden="1">{#N/A,#N/A,TRUE,"근태일보"}</definedName>
    <definedName name="공사현황" localSheetId="31" hidden="1">{#N/A,#N/A,TRUE,"근태일보"}</definedName>
    <definedName name="공사현황" localSheetId="29" hidden="1">{#N/A,#N/A,TRUE,"근태일보"}</definedName>
    <definedName name="공사현황" localSheetId="34" hidden="1">{#N/A,#N/A,TRUE,"근태일보"}</definedName>
    <definedName name="공사현황" localSheetId="3" hidden="1">{#N/A,#N/A,TRUE,"근태일보"}</definedName>
    <definedName name="공사현황" localSheetId="23" hidden="1">{#N/A,#N/A,TRUE,"근태일보"}</definedName>
    <definedName name="공사현황" localSheetId="0" hidden="1">{#N/A,#N/A,TRUE,"근태일보"}</definedName>
    <definedName name="공사현황" localSheetId="4" hidden="1">{#N/A,#N/A,TRUE,"근태일보"}</definedName>
    <definedName name="공사현황" localSheetId="5" hidden="1">{#N/A,#N/A,TRUE,"근태일보"}</definedName>
    <definedName name="공사현황" localSheetId="32" hidden="1">{#N/A,#N/A,TRUE,"근태일보"}</definedName>
    <definedName name="공사현황" localSheetId="19" hidden="1">{#N/A,#N/A,TRUE,"근태일보"}</definedName>
    <definedName name="공사현황" localSheetId="22" hidden="1">{#N/A,#N/A,TRUE,"근태일보"}</definedName>
    <definedName name="공사현황" localSheetId="38" hidden="1">{#N/A,#N/A,TRUE,"근태일보"}</definedName>
    <definedName name="공사현황" localSheetId="18" hidden="1">{#N/A,#N/A,TRUE,"근태일보"}</definedName>
    <definedName name="공사현황" localSheetId="20" hidden="1">{#N/A,#N/A,TRUE,"근태일보"}</definedName>
    <definedName name="공사현황" hidden="1">{#N/A,#N/A,TRUE,"근태일보"}</definedName>
    <definedName name="规格" localSheetId="36">#REF!</definedName>
    <definedName name="规格" localSheetId="1">#REF!</definedName>
    <definedName name="规格" localSheetId="6">#REF!</definedName>
    <definedName name="规格" localSheetId="24">#REF!</definedName>
    <definedName name="规格" localSheetId="7">#REF!</definedName>
    <definedName name="规格" localSheetId="8">#REF!</definedName>
    <definedName name="规格" localSheetId="9">#REF!</definedName>
    <definedName name="规格" localSheetId="26">#REF!</definedName>
    <definedName name="规格" localSheetId="25">#REF!</definedName>
    <definedName name="规格" localSheetId="27">#REF!</definedName>
    <definedName name="规格" localSheetId="35">#REF!</definedName>
    <definedName name="规格" localSheetId="37">#REF!</definedName>
    <definedName name="规格" localSheetId="21">#REF!</definedName>
    <definedName name="规格" localSheetId="11">#REF!</definedName>
    <definedName name="规格" localSheetId="12">#REF!</definedName>
    <definedName name="规格" localSheetId="13">#REF!</definedName>
    <definedName name="规格" localSheetId="10">#REF!</definedName>
    <definedName name="规格" localSheetId="30">#REF!</definedName>
    <definedName name="规格" localSheetId="31">#REF!</definedName>
    <definedName name="规格" localSheetId="29">#REF!</definedName>
    <definedName name="规格" localSheetId="34">#REF!</definedName>
    <definedName name="规格" localSheetId="3">#REF!</definedName>
    <definedName name="规格" localSheetId="23">#REF!</definedName>
    <definedName name="规格" localSheetId="0">#REF!</definedName>
    <definedName name="规格" localSheetId="4">#REF!</definedName>
    <definedName name="规格" localSheetId="5">#REF!</definedName>
    <definedName name="规格" localSheetId="32">#REF!</definedName>
    <definedName name="规格" localSheetId="19">#REF!</definedName>
    <definedName name="规格" localSheetId="15">#REF!</definedName>
    <definedName name="规格" localSheetId="22">#REF!</definedName>
    <definedName name="规格" localSheetId="38">#REF!</definedName>
    <definedName name="规格" localSheetId="18">#REF!</definedName>
    <definedName name="规格" localSheetId="20">#REF!</definedName>
    <definedName name="规格">#REF!</definedName>
    <definedName name="기술0805" localSheetId="13" hidden="1">{#N/A,#N/A,TRUE,"근태일보"}</definedName>
    <definedName name="기술0805" localSheetId="3" hidden="1">{#N/A,#N/A,TRUE,"근태일보"}</definedName>
    <definedName name="기술0805" localSheetId="0" hidden="1">{#N/A,#N/A,TRUE,"근태일보"}</definedName>
    <definedName name="기술0805" localSheetId="5" hidden="1">{#N/A,#N/A,TRUE,"근태일보"}</definedName>
    <definedName name="기술0805" localSheetId="19" hidden="1">{#N/A,#N/A,TRUE,"근태일보"}</definedName>
    <definedName name="기술0805" localSheetId="22" hidden="1">{#N/A,#N/A,TRUE,"근태일보"}</definedName>
    <definedName name="기술0805" localSheetId="38" hidden="1">{#N/A,#N/A,TRUE,"근태일보"}</definedName>
    <definedName name="기술0805" localSheetId="18" hidden="1">{#N/A,#N/A,TRUE,"근태일보"}</definedName>
    <definedName name="기술0805" hidden="1">{#N/A,#N/A,TRUE,"근태일보"}</definedName>
    <definedName name="金额" localSheetId="36">#REF!</definedName>
    <definedName name="金额" localSheetId="1">#REF!</definedName>
    <definedName name="金额" localSheetId="6">#REF!</definedName>
    <definedName name="金额" localSheetId="24">#REF!</definedName>
    <definedName name="金额" localSheetId="7">#REF!</definedName>
    <definedName name="金额" localSheetId="8">#REF!</definedName>
    <definedName name="金额" localSheetId="9">#REF!</definedName>
    <definedName name="金额" localSheetId="26">#REF!</definedName>
    <definedName name="金额" localSheetId="25">#REF!</definedName>
    <definedName name="金额" localSheetId="27">#REF!</definedName>
    <definedName name="金额" localSheetId="35">#REF!</definedName>
    <definedName name="金额" localSheetId="37">#REF!</definedName>
    <definedName name="金额" localSheetId="21">#REF!</definedName>
    <definedName name="金额" localSheetId="11">#REF!</definedName>
    <definedName name="金额" localSheetId="12">#REF!</definedName>
    <definedName name="金额" localSheetId="13">#REF!</definedName>
    <definedName name="金额" localSheetId="10">#REF!</definedName>
    <definedName name="金额" localSheetId="30">#REF!</definedName>
    <definedName name="金额" localSheetId="31">#REF!</definedName>
    <definedName name="金额" localSheetId="29">#REF!</definedName>
    <definedName name="金额" localSheetId="34">#REF!</definedName>
    <definedName name="金额" localSheetId="3">#REF!</definedName>
    <definedName name="金额" localSheetId="23">#REF!</definedName>
    <definedName name="金额" localSheetId="0">#REF!</definedName>
    <definedName name="金额" localSheetId="4">#REF!</definedName>
    <definedName name="金额" localSheetId="5">#REF!</definedName>
    <definedName name="金额" localSheetId="32">#REF!</definedName>
    <definedName name="金额" localSheetId="19">#REF!</definedName>
    <definedName name="金额" localSheetId="15">#REF!</definedName>
    <definedName name="金额" localSheetId="22">#REF!</definedName>
    <definedName name="金额" localSheetId="38">#REF!</definedName>
    <definedName name="金额" localSheetId="18">#REF!</definedName>
    <definedName name="金额" localSheetId="20">#REF!</definedName>
    <definedName name="金额">#REF!</definedName>
    <definedName name="ㄴㅇㅎ" localSheetId="13" hidden="1">{#N/A,#N/A,TRUE,"근태일보"}</definedName>
    <definedName name="ㄴㅇㅎ" localSheetId="3" hidden="1">{#N/A,#N/A,TRUE,"근태일보"}</definedName>
    <definedName name="ㄴㅇㅎ" localSheetId="0" hidden="1">{#N/A,#N/A,TRUE,"근태일보"}</definedName>
    <definedName name="ㄴㅇㅎ" localSheetId="5" hidden="1">{#N/A,#N/A,TRUE,"근태일보"}</definedName>
    <definedName name="ㄴㅇㅎ" localSheetId="19" hidden="1">{#N/A,#N/A,TRUE,"근태일보"}</definedName>
    <definedName name="ㄴㅇㅎ" localSheetId="22" hidden="1">{#N/A,#N/A,TRUE,"근태일보"}</definedName>
    <definedName name="ㄴㅇㅎ" localSheetId="38" hidden="1">{#N/A,#N/A,TRUE,"근태일보"}</definedName>
    <definedName name="ㄴㅇㅎ" localSheetId="18" hidden="1">{#N/A,#N/A,TRUE,"근태일보"}</definedName>
    <definedName name="ㄴㅇㅎ" hidden="1">{#N/A,#N/A,TRUE,"근태일보"}</definedName>
    <definedName name="단가차이" localSheetId="36">#REF!</definedName>
    <definedName name="단가차이" localSheetId="1">#REF!</definedName>
    <definedName name="단가차이" localSheetId="6">#REF!</definedName>
    <definedName name="단가차이" localSheetId="24">#REF!</definedName>
    <definedName name="단가차이" localSheetId="8">#REF!</definedName>
    <definedName name="단가차이" localSheetId="26">#REF!</definedName>
    <definedName name="단가차이" localSheetId="25">#REF!</definedName>
    <definedName name="단가차이" localSheetId="27">#REF!</definedName>
    <definedName name="단가차이" localSheetId="35">#REF!</definedName>
    <definedName name="단가차이" localSheetId="37">#REF!</definedName>
    <definedName name="단가차이" localSheetId="21">#REF!</definedName>
    <definedName name="단가차이" localSheetId="11">#REF!</definedName>
    <definedName name="단가차이" localSheetId="12">#REF!</definedName>
    <definedName name="단가차이" localSheetId="13">#REF!</definedName>
    <definedName name="단가차이" localSheetId="10">#REF!</definedName>
    <definedName name="단가차이" localSheetId="30">#REF!</definedName>
    <definedName name="단가차이" localSheetId="31">#REF!</definedName>
    <definedName name="단가차이" localSheetId="29">#REF!</definedName>
    <definedName name="단가차이" localSheetId="34">#REF!</definedName>
    <definedName name="단가차이" localSheetId="3">#REF!</definedName>
    <definedName name="단가차이" localSheetId="23">#REF!</definedName>
    <definedName name="단가차이" localSheetId="4">#REF!</definedName>
    <definedName name="단가차이" localSheetId="5">#REF!</definedName>
    <definedName name="단가차이" localSheetId="19">#REF!</definedName>
    <definedName name="단가차이" localSheetId="15">#REF!</definedName>
    <definedName name="단가차이" localSheetId="22">#REF!</definedName>
    <definedName name="단가차이" localSheetId="38">#REF!</definedName>
    <definedName name="단가차이">#REF!</definedName>
    <definedName name="单位成本" localSheetId="36">#REF!</definedName>
    <definedName name="单位成本" localSheetId="1">#REF!</definedName>
    <definedName name="单位成本" localSheetId="6">#REF!</definedName>
    <definedName name="单位成本" localSheetId="24">#REF!</definedName>
    <definedName name="单位成本" localSheetId="7">#REF!</definedName>
    <definedName name="单位成本" localSheetId="8">#REF!</definedName>
    <definedName name="单位成本" localSheetId="9">#REF!</definedName>
    <definedName name="单位成本" localSheetId="26">#REF!</definedName>
    <definedName name="单位成本" localSheetId="25">#REF!</definedName>
    <definedName name="单位成本" localSheetId="27">#REF!</definedName>
    <definedName name="单位成本" localSheetId="35">#REF!</definedName>
    <definedName name="单位成本" localSheetId="37">#REF!</definedName>
    <definedName name="单位成本" localSheetId="21">#REF!</definedName>
    <definedName name="单位成本" localSheetId="11">#REF!</definedName>
    <definedName name="单位成本" localSheetId="12">#REF!</definedName>
    <definedName name="单位成本" localSheetId="13">#REF!</definedName>
    <definedName name="单位成本" localSheetId="10">#REF!</definedName>
    <definedName name="单位成本" localSheetId="30">#REF!</definedName>
    <definedName name="单位成本" localSheetId="31">#REF!</definedName>
    <definedName name="单位成本" localSheetId="29">#REF!</definedName>
    <definedName name="单位成本" localSheetId="34">#REF!</definedName>
    <definedName name="单位成本" localSheetId="3">#REF!</definedName>
    <definedName name="单位成本" localSheetId="23">#REF!</definedName>
    <definedName name="单位成本" localSheetId="0">#REF!</definedName>
    <definedName name="单位成本" localSheetId="4">#REF!</definedName>
    <definedName name="单位成本" localSheetId="5">#REF!</definedName>
    <definedName name="单位成本" localSheetId="32">#REF!</definedName>
    <definedName name="单位成本" localSheetId="19">#REF!</definedName>
    <definedName name="单位成本" localSheetId="15">#REF!</definedName>
    <definedName name="单位成本" localSheetId="22">#REF!</definedName>
    <definedName name="单位成本" localSheetId="38">#REF!</definedName>
    <definedName name="单位成本" localSheetId="18">#REF!</definedName>
    <definedName name="单位成本" localSheetId="20">#REF!</definedName>
    <definedName name="单位成本">#REF!</definedName>
    <definedName name="당단" localSheetId="36">#REF!</definedName>
    <definedName name="당단" localSheetId="1">#REF!</definedName>
    <definedName name="당단" localSheetId="6">#REF!</definedName>
    <definedName name="당단" localSheetId="24">#REF!</definedName>
    <definedName name="당단" localSheetId="8">#REF!</definedName>
    <definedName name="당단" localSheetId="26">#REF!</definedName>
    <definedName name="당단" localSheetId="25">#REF!</definedName>
    <definedName name="당단" localSheetId="27">#REF!</definedName>
    <definedName name="당단" localSheetId="35">#REF!</definedName>
    <definedName name="당단" localSheetId="37">#REF!</definedName>
    <definedName name="당단" localSheetId="21">#REF!</definedName>
    <definedName name="당단" localSheetId="11">#REF!</definedName>
    <definedName name="당단" localSheetId="12">#REF!</definedName>
    <definedName name="당단" localSheetId="13">#REF!</definedName>
    <definedName name="당단" localSheetId="10">#REF!</definedName>
    <definedName name="당단" localSheetId="30">#REF!</definedName>
    <definedName name="당단" localSheetId="31">#REF!</definedName>
    <definedName name="당단" localSheetId="29">#REF!</definedName>
    <definedName name="당단" localSheetId="34">#REF!</definedName>
    <definedName name="당단" localSheetId="3">#REF!</definedName>
    <definedName name="당단" localSheetId="23">#REF!</definedName>
    <definedName name="당단" localSheetId="4">#REF!</definedName>
    <definedName name="당단" localSheetId="5">#REF!</definedName>
    <definedName name="당단" localSheetId="19">#REF!</definedName>
    <definedName name="당단" localSheetId="15">#REF!</definedName>
    <definedName name="당단" localSheetId="22">#REF!</definedName>
    <definedName name="당단" localSheetId="38">#REF!</definedName>
    <definedName name="당단">#REF!</definedName>
    <definedName name="당수" localSheetId="36">#REF!</definedName>
    <definedName name="당수" localSheetId="1">#REF!</definedName>
    <definedName name="당수" localSheetId="6">#REF!</definedName>
    <definedName name="당수" localSheetId="24">#REF!</definedName>
    <definedName name="당수" localSheetId="8">#REF!</definedName>
    <definedName name="당수" localSheetId="26">#REF!</definedName>
    <definedName name="당수" localSheetId="25">#REF!</definedName>
    <definedName name="당수" localSheetId="27">#REF!</definedName>
    <definedName name="당수" localSheetId="35">#REF!</definedName>
    <definedName name="당수" localSheetId="37">#REF!</definedName>
    <definedName name="당수" localSheetId="21">#REF!</definedName>
    <definedName name="당수" localSheetId="11">#REF!</definedName>
    <definedName name="당수" localSheetId="12">#REF!</definedName>
    <definedName name="당수" localSheetId="13">#REF!</definedName>
    <definedName name="당수" localSheetId="10">#REF!</definedName>
    <definedName name="당수" localSheetId="30">#REF!</definedName>
    <definedName name="당수" localSheetId="31">#REF!</definedName>
    <definedName name="당수" localSheetId="29">#REF!</definedName>
    <definedName name="당수" localSheetId="34">#REF!</definedName>
    <definedName name="당수" localSheetId="3">#REF!</definedName>
    <definedName name="당수" localSheetId="23">#REF!</definedName>
    <definedName name="당수" localSheetId="4">#REF!</definedName>
    <definedName name="당수" localSheetId="5">#REF!</definedName>
    <definedName name="당수" localSheetId="19">#REF!</definedName>
    <definedName name="당수" localSheetId="15">#REF!</definedName>
    <definedName name="당수" localSheetId="22">#REF!</definedName>
    <definedName name="당수" localSheetId="38">#REF!</definedName>
    <definedName name="당수">#REF!</definedName>
    <definedName name="도피기타지" localSheetId="36">#REF!</definedName>
    <definedName name="도피기타지" localSheetId="1">#REF!</definedName>
    <definedName name="도피기타지" localSheetId="6">#REF!</definedName>
    <definedName name="도피기타지" localSheetId="24">#REF!</definedName>
    <definedName name="도피기타지" localSheetId="8">#REF!</definedName>
    <definedName name="도피기타지" localSheetId="26">#REF!</definedName>
    <definedName name="도피기타지" localSheetId="25">#REF!</definedName>
    <definedName name="도피기타지" localSheetId="27">#REF!</definedName>
    <definedName name="도피기타지" localSheetId="35">#REF!</definedName>
    <definedName name="도피기타지" localSheetId="37">#REF!</definedName>
    <definedName name="도피기타지" localSheetId="21">#REF!</definedName>
    <definedName name="도피기타지" localSheetId="11">#REF!</definedName>
    <definedName name="도피기타지" localSheetId="12">#REF!</definedName>
    <definedName name="도피기타지" localSheetId="13">#REF!</definedName>
    <definedName name="도피기타지" localSheetId="10">#REF!</definedName>
    <definedName name="도피기타지" localSheetId="30">#REF!</definedName>
    <definedName name="도피기타지" localSheetId="31">#REF!</definedName>
    <definedName name="도피기타지" localSheetId="29">#REF!</definedName>
    <definedName name="도피기타지" localSheetId="34">#REF!</definedName>
    <definedName name="도피기타지" localSheetId="3">#REF!</definedName>
    <definedName name="도피기타지" localSheetId="23">#REF!</definedName>
    <definedName name="도피기타지" localSheetId="4">#REF!</definedName>
    <definedName name="도피기타지" localSheetId="5">#REF!</definedName>
    <definedName name="도피기타지" localSheetId="19">#REF!</definedName>
    <definedName name="도피기타지" localSheetId="15">#REF!</definedName>
    <definedName name="도피기타지" localSheetId="22">#REF!</definedName>
    <definedName name="도피기타지" localSheetId="38">#REF!</definedName>
    <definedName name="도피기타지">#REF!</definedName>
    <definedName name="동업" localSheetId="36">#REF!</definedName>
    <definedName name="동업" localSheetId="1">#REF!</definedName>
    <definedName name="동업" localSheetId="6">#REF!</definedName>
    <definedName name="동업" localSheetId="24">#REF!</definedName>
    <definedName name="동업" localSheetId="8">#REF!</definedName>
    <definedName name="동업" localSheetId="26">#REF!</definedName>
    <definedName name="동업" localSheetId="25">#REF!</definedName>
    <definedName name="동업" localSheetId="27">#REF!</definedName>
    <definedName name="동업" localSheetId="35">#REF!</definedName>
    <definedName name="동업" localSheetId="37">#REF!</definedName>
    <definedName name="동업" localSheetId="21">#REF!</definedName>
    <definedName name="동업" localSheetId="11">#REF!</definedName>
    <definedName name="동업" localSheetId="12">#REF!</definedName>
    <definedName name="동업" localSheetId="13">#REF!</definedName>
    <definedName name="동업" localSheetId="10">#REF!</definedName>
    <definedName name="동업" localSheetId="30">#REF!</definedName>
    <definedName name="동업" localSheetId="31">#REF!</definedName>
    <definedName name="동업" localSheetId="29">#REF!</definedName>
    <definedName name="동업" localSheetId="34">#REF!</definedName>
    <definedName name="동업" localSheetId="3">#REF!</definedName>
    <definedName name="동업" localSheetId="23">#REF!</definedName>
    <definedName name="동업" localSheetId="4">#REF!</definedName>
    <definedName name="동업" localSheetId="5">#REF!</definedName>
    <definedName name="동업" localSheetId="19">#REF!</definedName>
    <definedName name="동업" localSheetId="15">#REF!</definedName>
    <definedName name="동업" localSheetId="22">#REF!</definedName>
    <definedName name="동업" localSheetId="38">#REF!</definedName>
    <definedName name="동업">#REF!</definedName>
    <definedName name="동업자료" localSheetId="36">#REF!</definedName>
    <definedName name="동업자료" localSheetId="1">#REF!</definedName>
    <definedName name="동업자료" localSheetId="6">#REF!</definedName>
    <definedName name="동업자료" localSheetId="24">#REF!</definedName>
    <definedName name="동업자료" localSheetId="8">#REF!</definedName>
    <definedName name="동업자료" localSheetId="26">#REF!</definedName>
    <definedName name="동업자료" localSheetId="25">#REF!</definedName>
    <definedName name="동업자료" localSheetId="27">#REF!</definedName>
    <definedName name="동업자료" localSheetId="35">#REF!</definedName>
    <definedName name="동업자료" localSheetId="37">#REF!</definedName>
    <definedName name="동업자료" localSheetId="21">#REF!</definedName>
    <definedName name="동업자료" localSheetId="11">#REF!</definedName>
    <definedName name="동업자료" localSheetId="12">#REF!</definedName>
    <definedName name="동업자료" localSheetId="13">#REF!</definedName>
    <definedName name="동업자료" localSheetId="10">#REF!</definedName>
    <definedName name="동업자료" localSheetId="30">#REF!</definedName>
    <definedName name="동업자료" localSheetId="31">#REF!</definedName>
    <definedName name="동업자료" localSheetId="29">#REF!</definedName>
    <definedName name="동업자료" localSheetId="34">#REF!</definedName>
    <definedName name="동업자료" localSheetId="3">#REF!</definedName>
    <definedName name="동업자료" localSheetId="23">#REF!</definedName>
    <definedName name="동업자료" localSheetId="4">#REF!</definedName>
    <definedName name="동업자료" localSheetId="5">#REF!</definedName>
    <definedName name="동업자료" localSheetId="19">#REF!</definedName>
    <definedName name="동업자료" localSheetId="15">#REF!</definedName>
    <definedName name="동업자료" localSheetId="22">#REF!</definedName>
    <definedName name="동업자료" localSheetId="38">#REF!</definedName>
    <definedName name="동업자료">#REF!</definedName>
    <definedName name="로" localSheetId="36">#REF!</definedName>
    <definedName name="로" localSheetId="1">#REF!</definedName>
    <definedName name="로" localSheetId="6">#REF!</definedName>
    <definedName name="로" localSheetId="24">#REF!</definedName>
    <definedName name="로" localSheetId="7">#REF!</definedName>
    <definedName name="로" localSheetId="8">#REF!</definedName>
    <definedName name="로" localSheetId="9">#REF!</definedName>
    <definedName name="로" localSheetId="26">#REF!</definedName>
    <definedName name="로" localSheetId="25">#REF!</definedName>
    <definedName name="로" localSheetId="27">#REF!</definedName>
    <definedName name="로" localSheetId="35">#REF!</definedName>
    <definedName name="로" localSheetId="37">#REF!</definedName>
    <definedName name="로" localSheetId="21">#REF!</definedName>
    <definedName name="로" localSheetId="11">#REF!</definedName>
    <definedName name="로" localSheetId="12">#REF!</definedName>
    <definedName name="로" localSheetId="13">#REF!</definedName>
    <definedName name="로" localSheetId="10">#REF!</definedName>
    <definedName name="로" localSheetId="30">#REF!</definedName>
    <definedName name="로" localSheetId="31">#REF!</definedName>
    <definedName name="로" localSheetId="29">#REF!</definedName>
    <definedName name="로" localSheetId="34">#REF!</definedName>
    <definedName name="로" localSheetId="3">#REF!</definedName>
    <definedName name="로" localSheetId="23">#REF!</definedName>
    <definedName name="로" localSheetId="0">#REF!</definedName>
    <definedName name="로" localSheetId="4">#REF!</definedName>
    <definedName name="로" localSheetId="5">#REF!</definedName>
    <definedName name="로" localSheetId="32">#REF!</definedName>
    <definedName name="로" localSheetId="19">#REF!</definedName>
    <definedName name="로" localSheetId="15">#REF!</definedName>
    <definedName name="로" localSheetId="22">#REF!</definedName>
    <definedName name="로" localSheetId="38">#REF!</definedName>
    <definedName name="로" localSheetId="18">#REF!</definedName>
    <definedName name="로" localSheetId="20">#REF!</definedName>
    <definedName name="로">#REF!</definedName>
    <definedName name="ㅁㅁ" localSheetId="36" hidden="1">{#N/A,#N/A,TRUE,"근태일보"}</definedName>
    <definedName name="ㅁㅁ" localSheetId="1" hidden="1">{#N/A,#N/A,TRUE,"근태일보"}</definedName>
    <definedName name="ㅁㅁ" localSheetId="6" hidden="1">{#N/A,#N/A,TRUE,"근태일보"}</definedName>
    <definedName name="ㅁㅁ" localSheetId="24" hidden="1">{#N/A,#N/A,TRUE,"근태일보"}</definedName>
    <definedName name="ㅁㅁ" localSheetId="7" hidden="1">{#N/A,#N/A,TRUE,"근태일보"}</definedName>
    <definedName name="ㅁㅁ" localSheetId="8" hidden="1">{#N/A,#N/A,TRUE,"근태일보"}</definedName>
    <definedName name="ㅁㅁ" localSheetId="9" hidden="1">{#N/A,#N/A,TRUE,"근태일보"}</definedName>
    <definedName name="ㅁㅁ" localSheetId="26" hidden="1">{#N/A,#N/A,TRUE,"근태일보"}</definedName>
    <definedName name="ㅁㅁ" localSheetId="25" hidden="1">{#N/A,#N/A,TRUE,"근태일보"}</definedName>
    <definedName name="ㅁㅁ" localSheetId="27" hidden="1">{#N/A,#N/A,TRUE,"근태일보"}</definedName>
    <definedName name="ㅁㅁ" localSheetId="35" hidden="1">{#N/A,#N/A,TRUE,"근태일보"}</definedName>
    <definedName name="ㅁㅁ" localSheetId="37" hidden="1">{#N/A,#N/A,TRUE,"근태일보"}</definedName>
    <definedName name="ㅁㅁ" localSheetId="21" hidden="1">{#N/A,#N/A,TRUE,"근태일보"}</definedName>
    <definedName name="ㅁㅁ" localSheetId="11" hidden="1">{#N/A,#N/A,TRUE,"근태일보"}</definedName>
    <definedName name="ㅁㅁ" localSheetId="12" hidden="1">{#N/A,#N/A,TRUE,"근태일보"}</definedName>
    <definedName name="ㅁㅁ" localSheetId="13" hidden="1">{#N/A,#N/A,TRUE,"근태일보"}</definedName>
    <definedName name="ㅁㅁ" localSheetId="28" hidden="1">{#N/A,#N/A,TRUE,"근태일보"}</definedName>
    <definedName name="ㅁㅁ" localSheetId="30" hidden="1">{#N/A,#N/A,TRUE,"근태일보"}</definedName>
    <definedName name="ㅁㅁ" localSheetId="31" hidden="1">{#N/A,#N/A,TRUE,"근태일보"}</definedName>
    <definedName name="ㅁㅁ" localSheetId="29" hidden="1">{#N/A,#N/A,TRUE,"근태일보"}</definedName>
    <definedName name="ㅁㅁ" localSheetId="34" hidden="1">{#N/A,#N/A,TRUE,"근태일보"}</definedName>
    <definedName name="ㅁㅁ" localSheetId="3" hidden="1">{#N/A,#N/A,TRUE,"근태일보"}</definedName>
    <definedName name="ㅁㅁ" localSheetId="23" hidden="1">{#N/A,#N/A,TRUE,"근태일보"}</definedName>
    <definedName name="ㅁㅁ" localSheetId="0" hidden="1">{#N/A,#N/A,TRUE,"근태일보"}</definedName>
    <definedName name="ㅁㅁ" localSheetId="4" hidden="1">{#N/A,#N/A,TRUE,"근태일보"}</definedName>
    <definedName name="ㅁㅁ" localSheetId="5" hidden="1">{#N/A,#N/A,TRUE,"근태일보"}</definedName>
    <definedName name="ㅁㅁ" localSheetId="32" hidden="1">{#N/A,#N/A,TRUE,"근태일보"}</definedName>
    <definedName name="ㅁㅁ" localSheetId="19" hidden="1">{#N/A,#N/A,TRUE,"근태일보"}</definedName>
    <definedName name="ㅁㅁ" localSheetId="22" hidden="1">{#N/A,#N/A,TRUE,"근태일보"}</definedName>
    <definedName name="ㅁㅁ" localSheetId="38" hidden="1">{#N/A,#N/A,TRUE,"근태일보"}</definedName>
    <definedName name="ㅁㅁ" localSheetId="18" hidden="1">{#N/A,#N/A,TRUE,"근태일보"}</definedName>
    <definedName name="ㅁㅁ" localSheetId="20" hidden="1">{#N/A,#N/A,TRUE,"근태일보"}</definedName>
    <definedName name="ㅁㅁ" hidden="1">{#N/A,#N/A,TRUE,"근태일보"}</definedName>
    <definedName name="백상지" localSheetId="36">#REF!</definedName>
    <definedName name="백상지" localSheetId="1">#REF!</definedName>
    <definedName name="백상지" localSheetId="6">#REF!</definedName>
    <definedName name="백상지" localSheetId="24">#REF!</definedName>
    <definedName name="백상지" localSheetId="8">#REF!</definedName>
    <definedName name="백상지" localSheetId="26">#REF!</definedName>
    <definedName name="백상지" localSheetId="25">#REF!</definedName>
    <definedName name="백상지" localSheetId="27">#REF!</definedName>
    <definedName name="백상지" localSheetId="35">#REF!</definedName>
    <definedName name="백상지" localSheetId="37">#REF!</definedName>
    <definedName name="백상지" localSheetId="21">#REF!</definedName>
    <definedName name="백상지" localSheetId="11">#REF!</definedName>
    <definedName name="백상지" localSheetId="12">#REF!</definedName>
    <definedName name="백상지" localSheetId="13">#REF!</definedName>
    <definedName name="백상지" localSheetId="10">#REF!</definedName>
    <definedName name="백상지" localSheetId="30">#REF!</definedName>
    <definedName name="백상지" localSheetId="31">#REF!</definedName>
    <definedName name="백상지" localSheetId="29">#REF!</definedName>
    <definedName name="백상지" localSheetId="34">#REF!</definedName>
    <definedName name="백상지" localSheetId="3">#REF!</definedName>
    <definedName name="백상지" localSheetId="23">#REF!</definedName>
    <definedName name="백상지" localSheetId="4">#REF!</definedName>
    <definedName name="백상지" localSheetId="5">#REF!</definedName>
    <definedName name="백상지" localSheetId="19">#REF!</definedName>
    <definedName name="백상지" localSheetId="15">#REF!</definedName>
    <definedName name="백상지" localSheetId="22">#REF!</definedName>
    <definedName name="백상지" localSheetId="38">#REF!</definedName>
    <definedName name="백상지">#REF!</definedName>
    <definedName name="削皮" localSheetId="36">#REF!</definedName>
    <definedName name="削皮" localSheetId="1">#REF!</definedName>
    <definedName name="削皮" localSheetId="6">#REF!</definedName>
    <definedName name="削皮" localSheetId="24">#REF!</definedName>
    <definedName name="削皮" localSheetId="7">#REF!</definedName>
    <definedName name="削皮" localSheetId="8">#REF!</definedName>
    <definedName name="削皮" localSheetId="9">#REF!</definedName>
    <definedName name="削皮" localSheetId="26">#REF!</definedName>
    <definedName name="削皮" localSheetId="25">#REF!</definedName>
    <definedName name="削皮" localSheetId="27">#REF!</definedName>
    <definedName name="削皮" localSheetId="35">#REF!</definedName>
    <definedName name="削皮" localSheetId="37">#REF!</definedName>
    <definedName name="削皮" localSheetId="21">#REF!</definedName>
    <definedName name="削皮" localSheetId="11">#REF!</definedName>
    <definedName name="削皮" localSheetId="12">#REF!</definedName>
    <definedName name="削皮" localSheetId="13">#REF!</definedName>
    <definedName name="削皮" localSheetId="10">#REF!</definedName>
    <definedName name="削皮" localSheetId="30">#REF!</definedName>
    <definedName name="削皮" localSheetId="31">#REF!</definedName>
    <definedName name="削皮" localSheetId="29">#REF!</definedName>
    <definedName name="削皮" localSheetId="34">#REF!</definedName>
    <definedName name="削皮" localSheetId="3">#REF!</definedName>
    <definedName name="削皮" localSheetId="23">#REF!</definedName>
    <definedName name="削皮" localSheetId="0">#REF!</definedName>
    <definedName name="削皮" localSheetId="4">#REF!</definedName>
    <definedName name="削皮" localSheetId="5">#REF!</definedName>
    <definedName name="削皮" localSheetId="32">#REF!</definedName>
    <definedName name="削皮" localSheetId="19">#REF!</definedName>
    <definedName name="削皮" localSheetId="15">#REF!</definedName>
    <definedName name="削皮" localSheetId="22">#REF!</definedName>
    <definedName name="削皮" localSheetId="38">#REF!</definedName>
    <definedName name="削皮" localSheetId="18">#REF!</definedName>
    <definedName name="削皮" localSheetId="20">#REF!</definedName>
    <definedName name="削皮">#REF!</definedName>
    <definedName name="产量" localSheetId="36">#REF!</definedName>
    <definedName name="产量" localSheetId="1">#REF!</definedName>
    <definedName name="产量" localSheetId="6">#REF!</definedName>
    <definedName name="产量" localSheetId="24">#REF!</definedName>
    <definedName name="产量" localSheetId="7">#REF!</definedName>
    <definedName name="产量" localSheetId="8">#REF!</definedName>
    <definedName name="产量" localSheetId="9">#REF!</definedName>
    <definedName name="产量" localSheetId="26">#REF!</definedName>
    <definedName name="产量" localSheetId="25">#REF!</definedName>
    <definedName name="产量" localSheetId="27">#REF!</definedName>
    <definedName name="产量" localSheetId="35">#REF!</definedName>
    <definedName name="产量" localSheetId="37">#REF!</definedName>
    <definedName name="产量" localSheetId="21">#REF!</definedName>
    <definedName name="产量" localSheetId="11">#REF!</definedName>
    <definedName name="产量" localSheetId="12">#REF!</definedName>
    <definedName name="产量" localSheetId="13">#REF!</definedName>
    <definedName name="产量" localSheetId="10">#REF!</definedName>
    <definedName name="产量" localSheetId="30">#REF!</definedName>
    <definedName name="产量" localSheetId="31">#REF!</definedName>
    <definedName name="产量" localSheetId="29">#REF!</definedName>
    <definedName name="产量" localSheetId="34">#REF!</definedName>
    <definedName name="产量" localSheetId="3">#REF!</definedName>
    <definedName name="产量" localSheetId="23">#REF!</definedName>
    <definedName name="产量" localSheetId="0">#REF!</definedName>
    <definedName name="产量" localSheetId="4">#REF!</definedName>
    <definedName name="产量" localSheetId="5">#REF!</definedName>
    <definedName name="产量" localSheetId="32">#REF!</definedName>
    <definedName name="产量" localSheetId="19">#REF!</definedName>
    <definedName name="产量" localSheetId="15">#REF!</definedName>
    <definedName name="产量" localSheetId="22">#REF!</definedName>
    <definedName name="产量" localSheetId="38">#REF!</definedName>
    <definedName name="产量" localSheetId="18">#REF!</definedName>
    <definedName name="产量" localSheetId="20">#REF!</definedName>
    <definedName name="产量">#REF!</definedName>
    <definedName name="생산량" localSheetId="36">#REF!</definedName>
    <definedName name="생산량" localSheetId="1">#REF!</definedName>
    <definedName name="생산량" localSheetId="6">#REF!</definedName>
    <definedName name="생산량" localSheetId="24">#REF!</definedName>
    <definedName name="생산량" localSheetId="7">#REF!</definedName>
    <definedName name="생산량" localSheetId="8">#REF!</definedName>
    <definedName name="생산량" localSheetId="9">#REF!</definedName>
    <definedName name="생산량" localSheetId="26">#REF!</definedName>
    <definedName name="생산량" localSheetId="25">#REF!</definedName>
    <definedName name="생산량" localSheetId="27">#REF!</definedName>
    <definedName name="생산량" localSheetId="35">#REF!</definedName>
    <definedName name="생산량" localSheetId="37">#REF!</definedName>
    <definedName name="생산량" localSheetId="21">#REF!</definedName>
    <definedName name="생산량" localSheetId="11">#REF!</definedName>
    <definedName name="생산량" localSheetId="12">#REF!</definedName>
    <definedName name="생산량" localSheetId="13">#REF!</definedName>
    <definedName name="생산량" localSheetId="10">#REF!</definedName>
    <definedName name="생산량" localSheetId="30">#REF!</definedName>
    <definedName name="생산량" localSheetId="31">#REF!</definedName>
    <definedName name="생산량" localSheetId="29">#REF!</definedName>
    <definedName name="생산량" localSheetId="34">#REF!</definedName>
    <definedName name="생산량" localSheetId="3">#REF!</definedName>
    <definedName name="생산량" localSheetId="23">#REF!</definedName>
    <definedName name="생산량" localSheetId="0">#REF!</definedName>
    <definedName name="생산량" localSheetId="4">#REF!</definedName>
    <definedName name="생산량" localSheetId="5">#REF!</definedName>
    <definedName name="생산량" localSheetId="32">#REF!</definedName>
    <definedName name="생산량" localSheetId="19">#REF!</definedName>
    <definedName name="생산량" localSheetId="15">#REF!</definedName>
    <definedName name="생산량" localSheetId="22">#REF!</definedName>
    <definedName name="생산량" localSheetId="38">#REF!</definedName>
    <definedName name="생산량" localSheetId="18">#REF!</definedName>
    <definedName name="생산량" localSheetId="20">#REF!</definedName>
    <definedName name="생산량">#REF!</definedName>
    <definedName name="旋工车间" localSheetId="36">#REF!</definedName>
    <definedName name="旋工车间" localSheetId="1">#REF!</definedName>
    <definedName name="旋工车间" localSheetId="6">#REF!</definedName>
    <definedName name="旋工车间" localSheetId="24">#REF!</definedName>
    <definedName name="旋工车间" localSheetId="7">#REF!</definedName>
    <definedName name="旋工车间" localSheetId="8">#REF!</definedName>
    <definedName name="旋工车间" localSheetId="9">#REF!</definedName>
    <definedName name="旋工车间" localSheetId="26">#REF!</definedName>
    <definedName name="旋工车间" localSheetId="25">#REF!</definedName>
    <definedName name="旋工车间" localSheetId="27">#REF!</definedName>
    <definedName name="旋工车间" localSheetId="35">#REF!</definedName>
    <definedName name="旋工车间" localSheetId="37">#REF!</definedName>
    <definedName name="旋工车间" localSheetId="21">#REF!</definedName>
    <definedName name="旋工车间" localSheetId="11">#REF!</definedName>
    <definedName name="旋工车间" localSheetId="12">#REF!</definedName>
    <definedName name="旋工车间" localSheetId="13">#REF!</definedName>
    <definedName name="旋工车间" localSheetId="10">#REF!</definedName>
    <definedName name="旋工车间" localSheetId="30">#REF!</definedName>
    <definedName name="旋工车间" localSheetId="31">#REF!</definedName>
    <definedName name="旋工车间" localSheetId="29">#REF!</definedName>
    <definedName name="旋工车间" localSheetId="34">#REF!</definedName>
    <definedName name="旋工车间" localSheetId="3">#REF!</definedName>
    <definedName name="旋工车间" localSheetId="23">#REF!</definedName>
    <definedName name="旋工车间" localSheetId="0">#REF!</definedName>
    <definedName name="旋工车间" localSheetId="4">#REF!</definedName>
    <definedName name="旋工车间" localSheetId="5">#REF!</definedName>
    <definedName name="旋工车间" localSheetId="32">#REF!</definedName>
    <definedName name="旋工车间" localSheetId="19">#REF!</definedName>
    <definedName name="旋工车间" localSheetId="15">#REF!</definedName>
    <definedName name="旋工车间" localSheetId="22">#REF!</definedName>
    <definedName name="旋工车间" localSheetId="38">#REF!</definedName>
    <definedName name="旋工车间" localSheetId="18">#REF!</definedName>
    <definedName name="旋工车间" localSheetId="20">#REF!</definedName>
    <definedName name="旋工车间">#REF!</definedName>
    <definedName name="损耗" localSheetId="36">#REF!</definedName>
    <definedName name="损耗" localSheetId="1">#REF!</definedName>
    <definedName name="损耗" localSheetId="6">#REF!</definedName>
    <definedName name="损耗" localSheetId="24">#REF!</definedName>
    <definedName name="损耗" localSheetId="7">#REF!</definedName>
    <definedName name="损耗" localSheetId="8">#REF!</definedName>
    <definedName name="损耗" localSheetId="9">#REF!</definedName>
    <definedName name="损耗" localSheetId="26">#REF!</definedName>
    <definedName name="损耗" localSheetId="25">#REF!</definedName>
    <definedName name="损耗" localSheetId="27">#REF!</definedName>
    <definedName name="损耗" localSheetId="35">#REF!</definedName>
    <definedName name="损耗" localSheetId="37">#REF!</definedName>
    <definedName name="损耗" localSheetId="21">#REF!</definedName>
    <definedName name="损耗" localSheetId="11">#REF!</definedName>
    <definedName name="损耗" localSheetId="12">#REF!</definedName>
    <definedName name="损耗" localSheetId="13">#REF!</definedName>
    <definedName name="损耗" localSheetId="10">#REF!</definedName>
    <definedName name="损耗" localSheetId="30">#REF!</definedName>
    <definedName name="损耗" localSheetId="31">#REF!</definedName>
    <definedName name="损耗" localSheetId="29">#REF!</definedName>
    <definedName name="损耗" localSheetId="34">#REF!</definedName>
    <definedName name="损耗" localSheetId="3">#REF!</definedName>
    <definedName name="损耗" localSheetId="23">#REF!</definedName>
    <definedName name="损耗" localSheetId="0">#REF!</definedName>
    <definedName name="损耗" localSheetId="4">#REF!</definedName>
    <definedName name="损耗" localSheetId="5">#REF!</definedName>
    <definedName name="损耗" localSheetId="32">#REF!</definedName>
    <definedName name="损耗" localSheetId="19">#REF!</definedName>
    <definedName name="损耗" localSheetId="15">#REF!</definedName>
    <definedName name="损耗" localSheetId="22">#REF!</definedName>
    <definedName name="损耗" localSheetId="38">#REF!</definedName>
    <definedName name="损耗" localSheetId="18">#REF!</definedName>
    <definedName name="损耗" localSheetId="20">#REF!</definedName>
    <definedName name="损耗">#REF!</definedName>
    <definedName name="晒板" localSheetId="36">#REF!</definedName>
    <definedName name="晒板" localSheetId="1">#REF!</definedName>
    <definedName name="晒板" localSheetId="6">#REF!</definedName>
    <definedName name="晒板" localSheetId="24">#REF!</definedName>
    <definedName name="晒板" localSheetId="7">#REF!</definedName>
    <definedName name="晒板" localSheetId="8">#REF!</definedName>
    <definedName name="晒板" localSheetId="9">#REF!</definedName>
    <definedName name="晒板" localSheetId="26">#REF!</definedName>
    <definedName name="晒板" localSheetId="25">#REF!</definedName>
    <definedName name="晒板" localSheetId="27">#REF!</definedName>
    <definedName name="晒板" localSheetId="35">#REF!</definedName>
    <definedName name="晒板" localSheetId="37">#REF!</definedName>
    <definedName name="晒板" localSheetId="21">#REF!</definedName>
    <definedName name="晒板" localSheetId="11">#REF!</definedName>
    <definedName name="晒板" localSheetId="12">#REF!</definedName>
    <definedName name="晒板" localSheetId="13">#REF!</definedName>
    <definedName name="晒板" localSheetId="10">#REF!</definedName>
    <definedName name="晒板" localSheetId="30">#REF!</definedName>
    <definedName name="晒板" localSheetId="31">#REF!</definedName>
    <definedName name="晒板" localSheetId="29">#REF!</definedName>
    <definedName name="晒板" localSheetId="34">#REF!</definedName>
    <definedName name="晒板" localSheetId="3">#REF!</definedName>
    <definedName name="晒板" localSheetId="23">#REF!</definedName>
    <definedName name="晒板" localSheetId="0">#REF!</definedName>
    <definedName name="晒板" localSheetId="4">#REF!</definedName>
    <definedName name="晒板" localSheetId="5">#REF!</definedName>
    <definedName name="晒板" localSheetId="32">#REF!</definedName>
    <definedName name="晒板" localSheetId="19">#REF!</definedName>
    <definedName name="晒板" localSheetId="15">#REF!</definedName>
    <definedName name="晒板" localSheetId="22">#REF!</definedName>
    <definedName name="晒板" localSheetId="38">#REF!</definedName>
    <definedName name="晒板" localSheetId="18">#REF!</definedName>
    <definedName name="晒板" localSheetId="20">#REF!</definedName>
    <definedName name="晒板">#REF!</definedName>
    <definedName name="수량차이" localSheetId="36">#REF!</definedName>
    <definedName name="수량차이" localSheetId="1">#REF!</definedName>
    <definedName name="수량차이" localSheetId="6">#REF!</definedName>
    <definedName name="수량차이" localSheetId="24">#REF!</definedName>
    <definedName name="수량차이" localSheetId="8">#REF!</definedName>
    <definedName name="수량차이" localSheetId="26">#REF!</definedName>
    <definedName name="수량차이" localSheetId="25">#REF!</definedName>
    <definedName name="수량차이" localSheetId="27">#REF!</definedName>
    <definedName name="수량차이" localSheetId="35">#REF!</definedName>
    <definedName name="수량차이" localSheetId="37">#REF!</definedName>
    <definedName name="수량차이" localSheetId="21">#REF!</definedName>
    <definedName name="수량차이" localSheetId="11">#REF!</definedName>
    <definedName name="수량차이" localSheetId="12">#REF!</definedName>
    <definedName name="수량차이" localSheetId="13">#REF!</definedName>
    <definedName name="수량차이" localSheetId="10">#REF!</definedName>
    <definedName name="수량차이" localSheetId="30">#REF!</definedName>
    <definedName name="수량차이" localSheetId="31">#REF!</definedName>
    <definedName name="수량차이" localSheetId="29">#REF!</definedName>
    <definedName name="수량차이" localSheetId="34">#REF!</definedName>
    <definedName name="수량차이" localSheetId="3">#REF!</definedName>
    <definedName name="수량차이" localSheetId="23">#REF!</definedName>
    <definedName name="수량차이" localSheetId="4">#REF!</definedName>
    <definedName name="수량차이" localSheetId="5">#REF!</definedName>
    <definedName name="수량차이" localSheetId="19">#REF!</definedName>
    <definedName name="수량차이" localSheetId="15">#REF!</definedName>
    <definedName name="수량차이" localSheetId="22">#REF!</definedName>
    <definedName name="수량차이" localSheetId="38">#REF!</definedName>
    <definedName name="수량차이">#REF!</definedName>
    <definedName name="순" localSheetId="36">#REF!</definedName>
    <definedName name="순" localSheetId="1">#REF!</definedName>
    <definedName name="순" localSheetId="6">#REF!</definedName>
    <definedName name="순" localSheetId="24">#REF!</definedName>
    <definedName name="순" localSheetId="7">#REF!</definedName>
    <definedName name="순" localSheetId="8">#REF!</definedName>
    <definedName name="순" localSheetId="9">#REF!</definedName>
    <definedName name="순" localSheetId="26">#REF!</definedName>
    <definedName name="순" localSheetId="25">#REF!</definedName>
    <definedName name="순" localSheetId="27">#REF!</definedName>
    <definedName name="순" localSheetId="35">#REF!</definedName>
    <definedName name="순" localSheetId="37">#REF!</definedName>
    <definedName name="순" localSheetId="21">#REF!</definedName>
    <definedName name="순" localSheetId="11">#REF!</definedName>
    <definedName name="순" localSheetId="12">#REF!</definedName>
    <definedName name="순" localSheetId="13">#REF!</definedName>
    <definedName name="순" localSheetId="10">#REF!</definedName>
    <definedName name="순" localSheetId="30">#REF!</definedName>
    <definedName name="순" localSheetId="31">#REF!</definedName>
    <definedName name="순" localSheetId="29">#REF!</definedName>
    <definedName name="순" localSheetId="34">#REF!</definedName>
    <definedName name="순" localSheetId="3">#REF!</definedName>
    <definedName name="순" localSheetId="23">#REF!</definedName>
    <definedName name="순" localSheetId="0">#REF!</definedName>
    <definedName name="순" localSheetId="4">#REF!</definedName>
    <definedName name="순" localSheetId="5">#REF!</definedName>
    <definedName name="순" localSheetId="32">#REF!</definedName>
    <definedName name="순" localSheetId="19">#REF!</definedName>
    <definedName name="순" localSheetId="15">#REF!</definedName>
    <definedName name="순" localSheetId="22">#REF!</definedName>
    <definedName name="순" localSheetId="38">#REF!</definedName>
    <definedName name="순" localSheetId="18">#REF!</definedName>
    <definedName name="순" localSheetId="20">#REF!</definedName>
    <definedName name="순">#REF!</definedName>
    <definedName name="아" localSheetId="36">#REF!</definedName>
    <definedName name="아" localSheetId="1">#REF!</definedName>
    <definedName name="아" localSheetId="6">#REF!</definedName>
    <definedName name="아" localSheetId="24">#REF!</definedName>
    <definedName name="아" localSheetId="8">#REF!</definedName>
    <definedName name="아" localSheetId="26">#REF!</definedName>
    <definedName name="아" localSheetId="25">#REF!</definedName>
    <definedName name="아" localSheetId="27">#REF!</definedName>
    <definedName name="아" localSheetId="35">#REF!</definedName>
    <definedName name="아" localSheetId="37">#REF!</definedName>
    <definedName name="아" localSheetId="21">#REF!</definedName>
    <definedName name="아" localSheetId="11">#REF!</definedName>
    <definedName name="아" localSheetId="12">#REF!</definedName>
    <definedName name="아" localSheetId="13">#REF!</definedName>
    <definedName name="아" localSheetId="10">#REF!</definedName>
    <definedName name="아" localSheetId="30">#REF!</definedName>
    <definedName name="아" localSheetId="31">#REF!</definedName>
    <definedName name="아" localSheetId="29">#REF!</definedName>
    <definedName name="아" localSheetId="34">#REF!</definedName>
    <definedName name="아" localSheetId="3">#REF!</definedName>
    <definedName name="아" localSheetId="23">#REF!</definedName>
    <definedName name="아" localSheetId="4">#REF!</definedName>
    <definedName name="아" localSheetId="5">#REF!</definedName>
    <definedName name="아" localSheetId="19">#REF!</definedName>
    <definedName name="아" localSheetId="15">#REF!</definedName>
    <definedName name="아" localSheetId="22">#REF!</definedName>
    <definedName name="아" localSheetId="38">#REF!</definedName>
    <definedName name="아">#REF!</definedName>
    <definedName name="아트지" localSheetId="36">#REF!</definedName>
    <definedName name="아트지" localSheetId="1">#REF!</definedName>
    <definedName name="아트지" localSheetId="6">#REF!</definedName>
    <definedName name="아트지" localSheetId="24">#REF!</definedName>
    <definedName name="아트지" localSheetId="8">#REF!</definedName>
    <definedName name="아트지" localSheetId="26">#REF!</definedName>
    <definedName name="아트지" localSheetId="25">#REF!</definedName>
    <definedName name="아트지" localSheetId="27">#REF!</definedName>
    <definedName name="아트지" localSheetId="35">#REF!</definedName>
    <definedName name="아트지" localSheetId="37">#REF!</definedName>
    <definedName name="아트지" localSheetId="21">#REF!</definedName>
    <definedName name="아트지" localSheetId="11">#REF!</definedName>
    <definedName name="아트지" localSheetId="12">#REF!</definedName>
    <definedName name="아트지" localSheetId="13">#REF!</definedName>
    <definedName name="아트지" localSheetId="10">#REF!</definedName>
    <definedName name="아트지" localSheetId="30">#REF!</definedName>
    <definedName name="아트지" localSheetId="31">#REF!</definedName>
    <definedName name="아트지" localSheetId="29">#REF!</definedName>
    <definedName name="아트지" localSheetId="34">#REF!</definedName>
    <definedName name="아트지" localSheetId="3">#REF!</definedName>
    <definedName name="아트지" localSheetId="23">#REF!</definedName>
    <definedName name="아트지" localSheetId="4">#REF!</definedName>
    <definedName name="아트지" localSheetId="5">#REF!</definedName>
    <definedName name="아트지" localSheetId="19">#REF!</definedName>
    <definedName name="아트지" localSheetId="15">#REF!</definedName>
    <definedName name="아트지" localSheetId="22">#REF!</definedName>
    <definedName name="아트지" localSheetId="38">#REF!</definedName>
    <definedName name="아트지">#REF!</definedName>
    <definedName name="用量" localSheetId="36">#REF!</definedName>
    <definedName name="用量" localSheetId="1">#REF!</definedName>
    <definedName name="用量" localSheetId="6">#REF!</definedName>
    <definedName name="用量" localSheetId="24">#REF!</definedName>
    <definedName name="用量" localSheetId="7">#REF!</definedName>
    <definedName name="用量" localSheetId="8">#REF!</definedName>
    <definedName name="用量" localSheetId="9">#REF!</definedName>
    <definedName name="用量" localSheetId="26">#REF!</definedName>
    <definedName name="用量" localSheetId="25">#REF!</definedName>
    <definedName name="用量" localSheetId="27">#REF!</definedName>
    <definedName name="用量" localSheetId="35">#REF!</definedName>
    <definedName name="用量" localSheetId="37">#REF!</definedName>
    <definedName name="用量" localSheetId="21">#REF!</definedName>
    <definedName name="用量" localSheetId="11">#REF!</definedName>
    <definedName name="用量" localSheetId="12">#REF!</definedName>
    <definedName name="用量" localSheetId="13">#REF!</definedName>
    <definedName name="用量" localSheetId="10">#REF!</definedName>
    <definedName name="用量" localSheetId="30">#REF!</definedName>
    <definedName name="用量" localSheetId="31">#REF!</definedName>
    <definedName name="用量" localSheetId="29">#REF!</definedName>
    <definedName name="用量" localSheetId="34">#REF!</definedName>
    <definedName name="用量" localSheetId="3">#REF!</definedName>
    <definedName name="用量" localSheetId="23">#REF!</definedName>
    <definedName name="用量" localSheetId="0">#REF!</definedName>
    <definedName name="用量" localSheetId="4">#REF!</definedName>
    <definedName name="用量" localSheetId="5">#REF!</definedName>
    <definedName name="用量" localSheetId="32">#REF!</definedName>
    <definedName name="用量" localSheetId="19">#REF!</definedName>
    <definedName name="用量" localSheetId="15">#REF!</definedName>
    <definedName name="用量" localSheetId="22">#REF!</definedName>
    <definedName name="用量" localSheetId="38">#REF!</definedName>
    <definedName name="用量" localSheetId="18">#REF!</definedName>
    <definedName name="用量" localSheetId="20">#REF!</definedName>
    <definedName name="用量">#REF!</definedName>
    <definedName name="일기" localSheetId="36">#REF!</definedName>
    <definedName name="일기" localSheetId="1">#REF!</definedName>
    <definedName name="일기" localSheetId="6">#REF!</definedName>
    <definedName name="일기" localSheetId="24">#REF!</definedName>
    <definedName name="일기" localSheetId="7">#REF!</definedName>
    <definedName name="일기" localSheetId="8">#REF!</definedName>
    <definedName name="일기" localSheetId="9">#REF!</definedName>
    <definedName name="일기" localSheetId="26">#REF!</definedName>
    <definedName name="일기" localSheetId="25">#REF!</definedName>
    <definedName name="일기" localSheetId="27">#REF!</definedName>
    <definedName name="일기" localSheetId="35">#REF!</definedName>
    <definedName name="일기" localSheetId="37">#REF!</definedName>
    <definedName name="일기" localSheetId="21">#REF!</definedName>
    <definedName name="일기" localSheetId="11">#REF!</definedName>
    <definedName name="일기" localSheetId="12">#REF!</definedName>
    <definedName name="일기" localSheetId="13">#REF!</definedName>
    <definedName name="일기" localSheetId="10">#REF!</definedName>
    <definedName name="일기" localSheetId="30">#REF!</definedName>
    <definedName name="일기" localSheetId="31">#REF!</definedName>
    <definedName name="일기" localSheetId="29">#REF!</definedName>
    <definedName name="일기" localSheetId="34">#REF!</definedName>
    <definedName name="일기" localSheetId="3">#REF!</definedName>
    <definedName name="일기" localSheetId="23">#REF!</definedName>
    <definedName name="일기" localSheetId="0">#REF!</definedName>
    <definedName name="일기" localSheetId="4">#REF!</definedName>
    <definedName name="일기" localSheetId="5">#REF!</definedName>
    <definedName name="일기" localSheetId="32">#REF!</definedName>
    <definedName name="일기" localSheetId="19">#REF!</definedName>
    <definedName name="일기" localSheetId="15">#REF!</definedName>
    <definedName name="일기" localSheetId="22">#REF!</definedName>
    <definedName name="일기" localSheetId="38">#REF!</definedName>
    <definedName name="일기" localSheetId="18">#REF!</definedName>
    <definedName name="일기" localSheetId="20">#REF!</definedName>
    <definedName name="일기">#REF!</definedName>
    <definedName name="日期" localSheetId="36">#REF!</definedName>
    <definedName name="日期" localSheetId="1">#REF!</definedName>
    <definedName name="日期" localSheetId="6">#REF!</definedName>
    <definedName name="日期" localSheetId="24">#REF!</definedName>
    <definedName name="日期" localSheetId="7">#REF!</definedName>
    <definedName name="日期" localSheetId="8">#REF!</definedName>
    <definedName name="日期" localSheetId="9">#REF!</definedName>
    <definedName name="日期" localSheetId="26">#REF!</definedName>
    <definedName name="日期" localSheetId="25">#REF!</definedName>
    <definedName name="日期" localSheetId="27">#REF!</definedName>
    <definedName name="日期" localSheetId="35">#REF!</definedName>
    <definedName name="日期" localSheetId="37">#REF!</definedName>
    <definedName name="日期" localSheetId="21">#REF!</definedName>
    <definedName name="日期" localSheetId="11">#REF!</definedName>
    <definedName name="日期" localSheetId="12">#REF!</definedName>
    <definedName name="日期" localSheetId="13">#REF!</definedName>
    <definedName name="日期" localSheetId="10">#REF!</definedName>
    <definedName name="日期" localSheetId="30">#REF!</definedName>
    <definedName name="日期" localSheetId="31">#REF!</definedName>
    <definedName name="日期" localSheetId="29">#REF!</definedName>
    <definedName name="日期" localSheetId="34">#REF!</definedName>
    <definedName name="日期" localSheetId="3">#REF!</definedName>
    <definedName name="日期" localSheetId="23">#REF!</definedName>
    <definedName name="日期" localSheetId="0">#REF!</definedName>
    <definedName name="日期" localSheetId="4">#REF!</definedName>
    <definedName name="日期" localSheetId="5">#REF!</definedName>
    <definedName name="日期" localSheetId="32">#REF!</definedName>
    <definedName name="日期" localSheetId="19">#REF!</definedName>
    <definedName name="日期" localSheetId="15">#REF!</definedName>
    <definedName name="日期" localSheetId="22">#REF!</definedName>
    <definedName name="日期" localSheetId="38">#REF!</definedName>
    <definedName name="日期" localSheetId="18">#REF!</definedName>
    <definedName name="日期" localSheetId="20">#REF!</definedName>
    <definedName name="日期">#REF!</definedName>
    <definedName name="자금실적" localSheetId="13" hidden="1">{#N/A,#N/A,TRUE,"근태일보"}</definedName>
    <definedName name="자금실적" localSheetId="3" hidden="1">{#N/A,#N/A,TRUE,"근태일보"}</definedName>
    <definedName name="자금실적" localSheetId="0" hidden="1">{#N/A,#N/A,TRUE,"근태일보"}</definedName>
    <definedName name="자금실적" localSheetId="5" hidden="1">{#N/A,#N/A,TRUE,"근태일보"}</definedName>
    <definedName name="자금실적" localSheetId="19" hidden="1">{#N/A,#N/A,TRUE,"근태일보"}</definedName>
    <definedName name="자금실적" localSheetId="22" hidden="1">{#N/A,#N/A,TRUE,"근태일보"}</definedName>
    <definedName name="자금실적" localSheetId="38" hidden="1">{#N/A,#N/A,TRUE,"근태일보"}</definedName>
    <definedName name="자금실적" localSheetId="18" hidden="1">{#N/A,#N/A,TRUE,"근태일보"}</definedName>
    <definedName name="자금실적" hidden="1">{#N/A,#N/A,TRUE,"근태일보"}</definedName>
    <definedName name="재고량" localSheetId="13" hidden="1">{#N/A,#N/A,TRUE,"근태일보"}</definedName>
    <definedName name="재고량" localSheetId="3" hidden="1">{#N/A,#N/A,TRUE,"근태일보"}</definedName>
    <definedName name="재고량" localSheetId="0" hidden="1">{#N/A,#N/A,TRUE,"근태일보"}</definedName>
    <definedName name="재고량" localSheetId="5" hidden="1">{#N/A,#N/A,TRUE,"근태일보"}</definedName>
    <definedName name="재고량" localSheetId="19" hidden="1">{#N/A,#N/A,TRUE,"근태일보"}</definedName>
    <definedName name="재고량" localSheetId="22" hidden="1">{#N/A,#N/A,TRUE,"근태일보"}</definedName>
    <definedName name="재고량" localSheetId="38" hidden="1">{#N/A,#N/A,TRUE,"근태일보"}</definedName>
    <definedName name="재고량" localSheetId="18" hidden="1">{#N/A,#N/A,TRUE,"근태일보"}</definedName>
    <definedName name="재고량" hidden="1">{#N/A,#N/A,TRUE,"근태일보"}</definedName>
    <definedName name="전력" localSheetId="13" hidden="1">{#N/A,#N/A,TRUE,"근태일보"}</definedName>
    <definedName name="전력" localSheetId="3" hidden="1">{#N/A,#N/A,TRUE,"근태일보"}</definedName>
    <definedName name="전력" localSheetId="0" hidden="1">{#N/A,#N/A,TRUE,"근태일보"}</definedName>
    <definedName name="전력" localSheetId="5" hidden="1">{#N/A,#N/A,TRUE,"근태일보"}</definedName>
    <definedName name="전력" localSheetId="19" hidden="1">{#N/A,#N/A,TRUE,"근태일보"}</definedName>
    <definedName name="전력" localSheetId="22" hidden="1">{#N/A,#N/A,TRUE,"근태일보"}</definedName>
    <definedName name="전력" localSheetId="38" hidden="1">{#N/A,#N/A,TRUE,"근태일보"}</definedName>
    <definedName name="전력" localSheetId="18" hidden="1">{#N/A,#N/A,TRUE,"근태일보"}</definedName>
    <definedName name="전력" hidden="1">{#N/A,#N/A,TRUE,"근태일보"}</definedName>
    <definedName name="종합" localSheetId="36" hidden="1">{#N/A,#N/A,TRUE,"근태일보"}</definedName>
    <definedName name="종합" localSheetId="1" hidden="1">{#N/A,#N/A,TRUE,"근태일보"}</definedName>
    <definedName name="종합" localSheetId="6" hidden="1">{#N/A,#N/A,TRUE,"근태일보"}</definedName>
    <definedName name="종합" localSheetId="24" hidden="1">{#N/A,#N/A,TRUE,"근태일보"}</definedName>
    <definedName name="종합" localSheetId="7" hidden="1">{#N/A,#N/A,TRUE,"근태일보"}</definedName>
    <definedName name="종합" localSheetId="8" hidden="1">{#N/A,#N/A,TRUE,"근태일보"}</definedName>
    <definedName name="종합" localSheetId="9" hidden="1">{#N/A,#N/A,TRUE,"근태일보"}</definedName>
    <definedName name="종합" localSheetId="26" hidden="1">{#N/A,#N/A,TRUE,"근태일보"}</definedName>
    <definedName name="종합" localSheetId="25" hidden="1">{#N/A,#N/A,TRUE,"근태일보"}</definedName>
    <definedName name="종합" localSheetId="27" hidden="1">{#N/A,#N/A,TRUE,"근태일보"}</definedName>
    <definedName name="종합" localSheetId="35" hidden="1">{#N/A,#N/A,TRUE,"근태일보"}</definedName>
    <definedName name="종합" localSheetId="37" hidden="1">{#N/A,#N/A,TRUE,"근태일보"}</definedName>
    <definedName name="종합" localSheetId="21" hidden="1">{#N/A,#N/A,TRUE,"근태일보"}</definedName>
    <definedName name="종합" localSheetId="11" hidden="1">{#N/A,#N/A,TRUE,"근태일보"}</definedName>
    <definedName name="종합" localSheetId="12" hidden="1">{#N/A,#N/A,TRUE,"근태일보"}</definedName>
    <definedName name="종합" localSheetId="13" hidden="1">{#N/A,#N/A,TRUE,"근태일보"}</definedName>
    <definedName name="종합" localSheetId="28" hidden="1">{#N/A,#N/A,TRUE,"근태일보"}</definedName>
    <definedName name="종합" localSheetId="30" hidden="1">{#N/A,#N/A,TRUE,"근태일보"}</definedName>
    <definedName name="종합" localSheetId="31" hidden="1">{#N/A,#N/A,TRUE,"근태일보"}</definedName>
    <definedName name="종합" localSheetId="29" hidden="1">{#N/A,#N/A,TRUE,"근태일보"}</definedName>
    <definedName name="종합" localSheetId="34" hidden="1">{#N/A,#N/A,TRUE,"근태일보"}</definedName>
    <definedName name="종합" localSheetId="3" hidden="1">{#N/A,#N/A,TRUE,"근태일보"}</definedName>
    <definedName name="종합" localSheetId="23" hidden="1">{#N/A,#N/A,TRUE,"근태일보"}</definedName>
    <definedName name="종합" localSheetId="0" hidden="1">{#N/A,#N/A,TRUE,"근태일보"}</definedName>
    <definedName name="종합" localSheetId="4" hidden="1">{#N/A,#N/A,TRUE,"근태일보"}</definedName>
    <definedName name="종합" localSheetId="5" hidden="1">{#N/A,#N/A,TRUE,"근태일보"}</definedName>
    <definedName name="종합" localSheetId="32" hidden="1">{#N/A,#N/A,TRUE,"근태일보"}</definedName>
    <definedName name="종합" localSheetId="19" hidden="1">{#N/A,#N/A,TRUE,"근태일보"}</definedName>
    <definedName name="종합" localSheetId="22" hidden="1">{#N/A,#N/A,TRUE,"근태일보"}</definedName>
    <definedName name="종합" localSheetId="38" hidden="1">{#N/A,#N/A,TRUE,"근태일보"}</definedName>
    <definedName name="종합" localSheetId="18" hidden="1">{#N/A,#N/A,TRUE,"근태일보"}</definedName>
    <definedName name="종합" localSheetId="20" hidden="1">{#N/A,#N/A,TRUE,"근태일보"}</definedName>
    <definedName name="종합" hidden="1">{#N/A,#N/A,TRUE,"근태일보"}</definedName>
    <definedName name="초지기타지" localSheetId="36">#REF!</definedName>
    <definedName name="초지기타지" localSheetId="1">#REF!</definedName>
    <definedName name="초지기타지" localSheetId="6">#REF!</definedName>
    <definedName name="초지기타지" localSheetId="24">#REF!</definedName>
    <definedName name="초지기타지" localSheetId="8">#REF!</definedName>
    <definedName name="초지기타지" localSheetId="26">#REF!</definedName>
    <definedName name="초지기타지" localSheetId="25">#REF!</definedName>
    <definedName name="초지기타지" localSheetId="27">#REF!</definedName>
    <definedName name="초지기타지" localSheetId="35">#REF!</definedName>
    <definedName name="초지기타지" localSheetId="37">#REF!</definedName>
    <definedName name="초지기타지" localSheetId="21">#REF!</definedName>
    <definedName name="초지기타지" localSheetId="11">#REF!</definedName>
    <definedName name="초지기타지" localSheetId="12">#REF!</definedName>
    <definedName name="초지기타지" localSheetId="13">#REF!</definedName>
    <definedName name="초지기타지" localSheetId="10">#REF!</definedName>
    <definedName name="초지기타지" localSheetId="30">#REF!</definedName>
    <definedName name="초지기타지" localSheetId="31">#REF!</definedName>
    <definedName name="초지기타지" localSheetId="29">#REF!</definedName>
    <definedName name="초지기타지" localSheetId="34">#REF!</definedName>
    <definedName name="초지기타지" localSheetId="3">#REF!</definedName>
    <definedName name="초지기타지" localSheetId="23">#REF!</definedName>
    <definedName name="초지기타지" localSheetId="4">#REF!</definedName>
    <definedName name="초지기타지" localSheetId="5">#REF!</definedName>
    <definedName name="초지기타지" localSheetId="19">#REF!</definedName>
    <definedName name="초지기타지" localSheetId="15">#REF!</definedName>
    <definedName name="초지기타지" localSheetId="22">#REF!</definedName>
    <definedName name="초지기타지" localSheetId="38">#REF!</definedName>
    <definedName name="초지기타지">#REF!</definedName>
    <definedName name="总成本" localSheetId="36">#REF!</definedName>
    <definedName name="总成本" localSheetId="1">#REF!</definedName>
    <definedName name="总成本" localSheetId="6">#REF!</definedName>
    <definedName name="总成本" localSheetId="24">#REF!</definedName>
    <definedName name="总成本" localSheetId="7">#REF!</definedName>
    <definedName name="总成本" localSheetId="8">#REF!</definedName>
    <definedName name="总成本" localSheetId="9">#REF!</definedName>
    <definedName name="总成本" localSheetId="26">#REF!</definedName>
    <definedName name="总成本" localSheetId="25">#REF!</definedName>
    <definedName name="总成本" localSheetId="27">#REF!</definedName>
    <definedName name="总成本" localSheetId="35">#REF!</definedName>
    <definedName name="总成本" localSheetId="37">#REF!</definedName>
    <definedName name="总成本" localSheetId="21">#REF!</definedName>
    <definedName name="总成本" localSheetId="11">#REF!</definedName>
    <definedName name="总成本" localSheetId="12">#REF!</definedName>
    <definedName name="总成本" localSheetId="13">#REF!</definedName>
    <definedName name="总成本" localSheetId="10">#REF!</definedName>
    <definedName name="总成本" localSheetId="30">#REF!</definedName>
    <definedName name="总成本" localSheetId="31">#REF!</definedName>
    <definedName name="总成本" localSheetId="29">#REF!</definedName>
    <definedName name="总成本" localSheetId="34">#REF!</definedName>
    <definedName name="总成本" localSheetId="3">#REF!</definedName>
    <definedName name="总成本" localSheetId="23">#REF!</definedName>
    <definedName name="总成本" localSheetId="0">#REF!</definedName>
    <definedName name="总成本" localSheetId="4">#REF!</definedName>
    <definedName name="总成本" localSheetId="5">#REF!</definedName>
    <definedName name="总成本" localSheetId="32">#REF!</definedName>
    <definedName name="总成本" localSheetId="19">#REF!</definedName>
    <definedName name="总成本" localSheetId="15">#REF!</definedName>
    <definedName name="总成本" localSheetId="22">#REF!</definedName>
    <definedName name="总成本" localSheetId="38">#REF!</definedName>
    <definedName name="总成本" localSheetId="18">#REF!</definedName>
    <definedName name="总成本" localSheetId="20">#REF!</definedName>
    <definedName name="总成本">#REF!</definedName>
    <definedName name="打包" localSheetId="36">#REF!</definedName>
    <definedName name="打包" localSheetId="1">#REF!</definedName>
    <definedName name="打包" localSheetId="6">#REF!</definedName>
    <definedName name="打包" localSheetId="24">#REF!</definedName>
    <definedName name="打包" localSheetId="7">#REF!</definedName>
    <definedName name="打包" localSheetId="8">#REF!</definedName>
    <definedName name="打包" localSheetId="9">#REF!</definedName>
    <definedName name="打包" localSheetId="26">#REF!</definedName>
    <definedName name="打包" localSheetId="25">#REF!</definedName>
    <definedName name="打包" localSheetId="27">#REF!</definedName>
    <definedName name="打包" localSheetId="35">#REF!</definedName>
    <definedName name="打包" localSheetId="37">#REF!</definedName>
    <definedName name="打包" localSheetId="21">#REF!</definedName>
    <definedName name="打包" localSheetId="11">#REF!</definedName>
    <definedName name="打包" localSheetId="12">#REF!</definedName>
    <definedName name="打包" localSheetId="13">#REF!</definedName>
    <definedName name="打包" localSheetId="10">#REF!</definedName>
    <definedName name="打包" localSheetId="30">#REF!</definedName>
    <definedName name="打包" localSheetId="31">#REF!</definedName>
    <definedName name="打包" localSheetId="29">#REF!</definedName>
    <definedName name="打包" localSheetId="34">#REF!</definedName>
    <definedName name="打包" localSheetId="3">#REF!</definedName>
    <definedName name="打包" localSheetId="23">#REF!</definedName>
    <definedName name="打包" localSheetId="0">#REF!</definedName>
    <definedName name="打包" localSheetId="4">#REF!</definedName>
    <definedName name="打包" localSheetId="5">#REF!</definedName>
    <definedName name="打包" localSheetId="32">#REF!</definedName>
    <definedName name="打包" localSheetId="19">#REF!</definedName>
    <definedName name="打包" localSheetId="15">#REF!</definedName>
    <definedName name="打包" localSheetId="22">#REF!</definedName>
    <definedName name="打包" localSheetId="38">#REF!</definedName>
    <definedName name="打包" localSheetId="18">#REF!</definedName>
    <definedName name="打包" localSheetId="20">#REF!</definedName>
    <definedName name="打包">#REF!</definedName>
    <definedName name="品种" localSheetId="36">#REF!</definedName>
    <definedName name="品种" localSheetId="1">#REF!</definedName>
    <definedName name="品种" localSheetId="6">#REF!</definedName>
    <definedName name="品种" localSheetId="24">#REF!</definedName>
    <definedName name="品种" localSheetId="7">#REF!</definedName>
    <definedName name="品种" localSheetId="8">#REF!</definedName>
    <definedName name="品种" localSheetId="9">#REF!</definedName>
    <definedName name="品种" localSheetId="26">#REF!</definedName>
    <definedName name="品种" localSheetId="25">#REF!</definedName>
    <definedName name="品种" localSheetId="27">#REF!</definedName>
    <definedName name="品种" localSheetId="35">#REF!</definedName>
    <definedName name="品种" localSheetId="37">#REF!</definedName>
    <definedName name="品种" localSheetId="21">#REF!</definedName>
    <definedName name="品种" localSheetId="11">#REF!</definedName>
    <definedName name="品种" localSheetId="12">#REF!</definedName>
    <definedName name="品种" localSheetId="13">#REF!</definedName>
    <definedName name="品种" localSheetId="10">#REF!</definedName>
    <definedName name="品种" localSheetId="30">#REF!</definedName>
    <definedName name="品种" localSheetId="31">#REF!</definedName>
    <definedName name="品种" localSheetId="29">#REF!</definedName>
    <definedName name="品种" localSheetId="34">#REF!</definedName>
    <definedName name="品种" localSheetId="3">#REF!</definedName>
    <definedName name="品种" localSheetId="23">#REF!</definedName>
    <definedName name="品种" localSheetId="0">#REF!</definedName>
    <definedName name="品种" localSheetId="4">#REF!</definedName>
    <definedName name="品种" localSheetId="5">#REF!</definedName>
    <definedName name="品种" localSheetId="32">#REF!</definedName>
    <definedName name="品种" localSheetId="19">#REF!</definedName>
    <definedName name="品种" localSheetId="15">#REF!</definedName>
    <definedName name="品种" localSheetId="22">#REF!</definedName>
    <definedName name="品种" localSheetId="38">#REF!</definedName>
    <definedName name="品种" localSheetId="18">#REF!</definedName>
    <definedName name="品种" localSheetId="20">#REF!</definedName>
    <definedName name="品种">#REF!</definedName>
    <definedName name="合计" localSheetId="36">#REF!</definedName>
    <definedName name="合计" localSheetId="1">#REF!</definedName>
    <definedName name="合计" localSheetId="6">#REF!</definedName>
    <definedName name="合计" localSheetId="24">#REF!</definedName>
    <definedName name="合计" localSheetId="7">#REF!</definedName>
    <definedName name="合计" localSheetId="8">#REF!</definedName>
    <definedName name="合计" localSheetId="9">#REF!</definedName>
    <definedName name="合计" localSheetId="26">#REF!</definedName>
    <definedName name="合计" localSheetId="25">#REF!</definedName>
    <definedName name="合计" localSheetId="27">#REF!</definedName>
    <definedName name="合计" localSheetId="35">#REF!</definedName>
    <definedName name="合计" localSheetId="37">#REF!</definedName>
    <definedName name="合计" localSheetId="21">#REF!</definedName>
    <definedName name="合计" localSheetId="11">#REF!</definedName>
    <definedName name="合计" localSheetId="12">#REF!</definedName>
    <definedName name="合计" localSheetId="13">#REF!</definedName>
    <definedName name="合计" localSheetId="10">#REF!</definedName>
    <definedName name="合计" localSheetId="30">#REF!</definedName>
    <definedName name="合计" localSheetId="31">#REF!</definedName>
    <definedName name="合计" localSheetId="29">#REF!</definedName>
    <definedName name="合计" localSheetId="34">#REF!</definedName>
    <definedName name="合计" localSheetId="3">#REF!</definedName>
    <definedName name="合计" localSheetId="23">#REF!</definedName>
    <definedName name="合计" localSheetId="0">#REF!</definedName>
    <definedName name="合计" localSheetId="4">#REF!</definedName>
    <definedName name="合计" localSheetId="5">#REF!</definedName>
    <definedName name="合计" localSheetId="32">#REF!</definedName>
    <definedName name="合计" localSheetId="19">#REF!</definedName>
    <definedName name="合计" localSheetId="15">#REF!</definedName>
    <definedName name="合计" localSheetId="22">#REF!</definedName>
    <definedName name="合计" localSheetId="38">#REF!</definedName>
    <definedName name="合计" localSheetId="18">#REF!</definedName>
    <definedName name="合计" localSheetId="20">#REF!</definedName>
    <definedName name="合计">#REF!</definedName>
    <definedName name="호" localSheetId="13" hidden="1">{#N/A,#N/A,TRUE,"근태일보"}</definedName>
    <definedName name="호" localSheetId="3" hidden="1">{#N/A,#N/A,TRUE,"근태일보"}</definedName>
    <definedName name="호" localSheetId="0" hidden="1">{#N/A,#N/A,TRUE,"근태일보"}</definedName>
    <definedName name="호" localSheetId="5" hidden="1">{#N/A,#N/A,TRUE,"근태일보"}</definedName>
    <definedName name="호" localSheetId="19" hidden="1">{#N/A,#N/A,TRUE,"근태일보"}</definedName>
    <definedName name="호" localSheetId="22" hidden="1">{#N/A,#N/A,TRUE,"근태일보"}</definedName>
    <definedName name="호" localSheetId="38" hidden="1">{#N/A,#N/A,TRUE,"근태일보"}</definedName>
    <definedName name="호" localSheetId="18" hidden="1">{#N/A,#N/A,TRUE,"근태일보"}</definedName>
    <definedName name="호" hidden="1">{#N/A,#N/A,TRUE,"근태일보"}</definedName>
  </definedNames>
  <calcPr calcId="162913"/>
</workbook>
</file>

<file path=xl/calcChain.xml><?xml version="1.0" encoding="utf-8"?>
<calcChain xmlns="http://schemas.openxmlformats.org/spreadsheetml/2006/main">
  <c r="D31" i="124" l="1"/>
  <c r="D20" i="124"/>
  <c r="E70" i="124"/>
  <c r="E78" i="124" l="1"/>
  <c r="C79" i="124"/>
  <c r="E63" i="124" l="1"/>
  <c r="D63" i="124"/>
  <c r="C62" i="124"/>
  <c r="C63" i="124" s="1"/>
  <c r="F53" i="124"/>
  <c r="E55" i="124"/>
  <c r="E47" i="124"/>
  <c r="C55" i="124"/>
  <c r="F46" i="124"/>
  <c r="F54" i="124" s="1"/>
  <c r="C47" i="124"/>
  <c r="B61" i="124"/>
  <c r="D32" i="124"/>
  <c r="E87" i="124"/>
  <c r="E79" i="124"/>
  <c r="F47" i="124" l="1"/>
  <c r="F55" i="124"/>
  <c r="F62" i="124"/>
  <c r="D60" i="118"/>
  <c r="D19" i="59"/>
  <c r="D11" i="59"/>
  <c r="H12" i="67"/>
  <c r="H11" i="67"/>
  <c r="H10" i="67"/>
  <c r="H9" i="67"/>
  <c r="H8" i="67"/>
  <c r="H7" i="67"/>
  <c r="H6" i="67"/>
  <c r="D14" i="68" l="1"/>
  <c r="D10" i="68"/>
  <c r="D6" i="68"/>
  <c r="D9" i="119"/>
  <c r="D8" i="119"/>
  <c r="H7" i="7"/>
  <c r="E73" i="79"/>
  <c r="D36" i="38"/>
  <c r="G29" i="113" l="1"/>
  <c r="E29" i="113"/>
  <c r="C31" i="113" l="1"/>
  <c r="B31" i="113"/>
  <c r="H32" i="124" l="1"/>
  <c r="H21" i="38" s="1"/>
  <c r="C136" i="54"/>
  <c r="G5" i="58"/>
  <c r="G6" i="58"/>
  <c r="G7" i="58"/>
  <c r="G8" i="58"/>
  <c r="G9" i="58"/>
  <c r="G10" i="58"/>
  <c r="G11" i="58"/>
  <c r="G12" i="58"/>
  <c r="G13" i="58"/>
  <c r="G14" i="58"/>
  <c r="D18" i="68" l="1"/>
  <c r="C96" i="70"/>
  <c r="H31" i="124" l="1"/>
  <c r="I29" i="113" l="1"/>
  <c r="H28" i="113"/>
  <c r="I28" i="113"/>
  <c r="J28" i="113"/>
  <c r="D28" i="113"/>
  <c r="D18" i="117" l="1"/>
  <c r="E7" i="67" l="1"/>
  <c r="D16" i="10" l="1"/>
  <c r="G16" i="58" l="1"/>
  <c r="E59" i="66" l="1"/>
  <c r="E61" i="79" l="1"/>
  <c r="E60" i="79"/>
  <c r="E58" i="79"/>
  <c r="E55" i="79"/>
  <c r="E52" i="79"/>
  <c r="E68" i="79" l="1"/>
  <c r="B38" i="124"/>
  <c r="B37" i="124"/>
  <c r="C30" i="124"/>
  <c r="D29" i="124"/>
  <c r="B39" i="124" l="1"/>
  <c r="F61" i="124"/>
  <c r="C71" i="124"/>
  <c r="D69" i="124" l="1"/>
  <c r="F69" i="124" s="1"/>
  <c r="D28" i="38"/>
  <c r="D77" i="124" l="1"/>
  <c r="F77" i="124" s="1"/>
  <c r="F79" i="124" s="1"/>
  <c r="H26" i="124"/>
  <c r="H21" i="124" s="1"/>
  <c r="F85" i="124" l="1"/>
  <c r="D23" i="124"/>
  <c r="D30" i="124" s="1"/>
  <c r="D27" i="124" s="1"/>
  <c r="D52" i="113"/>
  <c r="D48" i="113" l="1"/>
  <c r="D25" i="33" l="1"/>
  <c r="E11" i="67" l="1"/>
  <c r="H13" i="67" l="1"/>
  <c r="N58" i="113" l="1"/>
  <c r="N57" i="113"/>
  <c r="M58" i="113"/>
  <c r="M57" i="113"/>
  <c r="M59" i="113" l="1"/>
  <c r="N59" i="113"/>
  <c r="E12" i="33" l="1"/>
  <c r="D17" i="63"/>
  <c r="H14" i="38" l="1"/>
  <c r="D11" i="113" l="1"/>
  <c r="D10" i="113"/>
  <c r="H21" i="7" l="1"/>
  <c r="D21" i="7"/>
  <c r="D6" i="38" l="1"/>
  <c r="I6" i="113" l="1"/>
  <c r="I7" i="113" s="1"/>
  <c r="H6" i="113"/>
  <c r="H7" i="113" s="1"/>
  <c r="J7" i="113" l="1"/>
  <c r="I8" i="113" s="1"/>
  <c r="J8" i="113" s="1"/>
  <c r="D6" i="113"/>
  <c r="I9" i="113" l="1"/>
  <c r="I10" i="113" s="1"/>
  <c r="I11" i="113" s="1"/>
  <c r="G23" i="122" l="1"/>
  <c r="D22" i="122"/>
  <c r="G24" i="122" l="1"/>
  <c r="H18" i="38"/>
  <c r="D12" i="10"/>
  <c r="E55" i="66" l="1"/>
  <c r="D55" i="66"/>
  <c r="F55" i="66"/>
  <c r="C51" i="79"/>
  <c r="E51" i="79"/>
  <c r="E44" i="79"/>
  <c r="E35" i="79"/>
  <c r="E19" i="79"/>
  <c r="D60" i="66" l="1"/>
  <c r="D51" i="113"/>
  <c r="D29" i="38" l="1"/>
  <c r="D17" i="116" l="1"/>
  <c r="D39" i="113" l="1"/>
  <c r="D47" i="113"/>
  <c r="D17" i="119" l="1"/>
  <c r="D44" i="38" l="1"/>
  <c r="D43" i="113" l="1"/>
  <c r="D44" i="113"/>
  <c r="H14" i="116" l="1"/>
  <c r="D40" i="113" l="1"/>
  <c r="D17" i="120" l="1"/>
  <c r="H16" i="38" l="1"/>
  <c r="H10" i="38"/>
  <c r="E9" i="67" l="1"/>
  <c r="D43" i="38" l="1"/>
  <c r="A18" i="116" l="1"/>
  <c r="A26" i="33" s="1"/>
  <c r="A19" i="117" s="1"/>
  <c r="D38" i="38"/>
  <c r="A18" i="63" l="1"/>
  <c r="H54" i="113"/>
  <c r="C54" i="113"/>
  <c r="B54" i="113"/>
  <c r="H50" i="113"/>
  <c r="H51" i="113" s="1"/>
  <c r="H52" i="113" s="1"/>
  <c r="E53" i="113" s="1"/>
  <c r="E54" i="113" s="1"/>
  <c r="C50" i="113"/>
  <c r="B50" i="113"/>
  <c r="H46" i="113"/>
  <c r="H47" i="113" s="1"/>
  <c r="H48" i="113" s="1"/>
  <c r="E49" i="113" s="1"/>
  <c r="E50" i="113" s="1"/>
  <c r="C46" i="113"/>
  <c r="B46" i="113"/>
  <c r="H42" i="113"/>
  <c r="H43" i="113" s="1"/>
  <c r="H44" i="113" s="1"/>
  <c r="E45" i="113" s="1"/>
  <c r="E46" i="113" s="1"/>
  <c r="C42" i="113"/>
  <c r="B42" i="113"/>
  <c r="H38" i="113"/>
  <c r="H39" i="113" s="1"/>
  <c r="H40" i="113" s="1"/>
  <c r="E41" i="113" s="1"/>
  <c r="E42" i="113" s="1"/>
  <c r="C38" i="113"/>
  <c r="B38" i="113"/>
  <c r="D36" i="113"/>
  <c r="D35" i="113"/>
  <c r="H34" i="113"/>
  <c r="H35" i="113" s="1"/>
  <c r="H36" i="113" s="1"/>
  <c r="E37" i="113" s="1"/>
  <c r="E38" i="113" s="1"/>
  <c r="C34" i="113"/>
  <c r="B34" i="113"/>
  <c r="D32" i="113"/>
  <c r="D31" i="113"/>
  <c r="H30" i="113"/>
  <c r="H31" i="113" s="1"/>
  <c r="H32" i="113" s="1"/>
  <c r="E33" i="113" s="1"/>
  <c r="E34" i="113" s="1"/>
  <c r="C30" i="113"/>
  <c r="B30" i="113"/>
  <c r="D27" i="113"/>
  <c r="D26" i="113"/>
  <c r="H25" i="113"/>
  <c r="H26" i="113" s="1"/>
  <c r="H27" i="113" s="1"/>
  <c r="E30" i="113" s="1"/>
  <c r="C25" i="113"/>
  <c r="B25" i="113"/>
  <c r="D23" i="113"/>
  <c r="D22" i="113"/>
  <c r="H21" i="113"/>
  <c r="H22" i="113" s="1"/>
  <c r="H23" i="113" s="1"/>
  <c r="E24" i="113" s="1"/>
  <c r="E25" i="113" s="1"/>
  <c r="C21" i="113"/>
  <c r="B21" i="113"/>
  <c r="D19" i="113"/>
  <c r="D18" i="113"/>
  <c r="H17" i="113"/>
  <c r="H18" i="113" s="1"/>
  <c r="H19" i="113" s="1"/>
  <c r="E20" i="113" s="1"/>
  <c r="E21" i="113" s="1"/>
  <c r="C17" i="113"/>
  <c r="B17" i="113"/>
  <c r="D15" i="113"/>
  <c r="D14" i="113"/>
  <c r="H13" i="113"/>
  <c r="H14" i="113" s="1"/>
  <c r="H15" i="113" s="1"/>
  <c r="E16" i="113" s="1"/>
  <c r="E17" i="113" s="1"/>
  <c r="C13" i="113"/>
  <c r="B13" i="113"/>
  <c r="H9" i="113"/>
  <c r="C9" i="113"/>
  <c r="B9" i="113"/>
  <c r="D7" i="113"/>
  <c r="E8" i="113"/>
  <c r="E9" i="113" s="1"/>
  <c r="D21" i="113" l="1"/>
  <c r="D38" i="113"/>
  <c r="H10" i="113"/>
  <c r="D13" i="113"/>
  <c r="D30" i="113"/>
  <c r="D17" i="113"/>
  <c r="D25" i="113"/>
  <c r="D9" i="113"/>
  <c r="J6" i="113"/>
  <c r="D34" i="113"/>
  <c r="D54" i="113"/>
  <c r="D50" i="113"/>
  <c r="C55" i="113"/>
  <c r="N61" i="113" s="1"/>
  <c r="D46" i="113"/>
  <c r="D42" i="113"/>
  <c r="B55" i="113"/>
  <c r="M61" i="113" s="1"/>
  <c r="H11" i="113" l="1"/>
  <c r="J10" i="113"/>
  <c r="G8" i="113"/>
  <c r="F8" i="113" s="1"/>
  <c r="F9" i="113" s="1"/>
  <c r="G9" i="113" s="1"/>
  <c r="D55" i="113"/>
  <c r="J9" i="113"/>
  <c r="E12" i="113" l="1"/>
  <c r="E13" i="113" s="1"/>
  <c r="E55" i="113" s="1"/>
  <c r="H55" i="113" s="1"/>
  <c r="J11" i="113"/>
  <c r="I12" i="113" l="1"/>
  <c r="J12" i="113" s="1"/>
  <c r="J13" i="113" s="1"/>
  <c r="G12" i="113"/>
  <c r="F12" i="113" s="1"/>
  <c r="F13" i="113" s="1"/>
  <c r="G13" i="113" s="1"/>
  <c r="F26" i="113" s="1"/>
  <c r="I13" i="113" l="1"/>
  <c r="I14" i="113" s="1"/>
  <c r="I15" i="113" s="1"/>
  <c r="J15" i="113" s="1"/>
  <c r="J14" i="113" l="1"/>
  <c r="G16" i="113"/>
  <c r="F16" i="113" s="1"/>
  <c r="F17" i="113" s="1"/>
  <c r="I16" i="113"/>
  <c r="J16" i="113" s="1"/>
  <c r="J17" i="113" s="1"/>
  <c r="I17" i="113" s="1"/>
  <c r="I18" i="113" l="1"/>
  <c r="J18" i="113" s="1"/>
  <c r="G17" i="113"/>
  <c r="F31" i="113" s="1"/>
  <c r="I19" i="113" l="1"/>
  <c r="J19" i="113" s="1"/>
  <c r="I20" i="113" s="1"/>
  <c r="J20" i="113" s="1"/>
  <c r="J21" i="113" s="1"/>
  <c r="I21" i="113" s="1"/>
  <c r="I22" i="113" s="1"/>
  <c r="G20" i="113" l="1"/>
  <c r="F20" i="113" s="1"/>
  <c r="F21" i="113" s="1"/>
  <c r="G21" i="113" s="1"/>
  <c r="I23" i="113"/>
  <c r="J23" i="113" s="1"/>
  <c r="J22" i="113"/>
  <c r="G24" i="113" l="1"/>
  <c r="F24" i="113" s="1"/>
  <c r="F25" i="113" s="1"/>
  <c r="I24" i="113"/>
  <c r="I25" i="113" l="1"/>
  <c r="J24" i="113"/>
  <c r="J25" i="113" s="1"/>
  <c r="G25" i="113"/>
  <c r="I26" i="113" l="1"/>
  <c r="I27" i="113" s="1"/>
  <c r="J27" i="113" s="1"/>
  <c r="J26" i="113" l="1"/>
  <c r="F29" i="113"/>
  <c r="F30" i="113" s="1"/>
  <c r="I30" i="113" l="1"/>
  <c r="I31" i="113" s="1"/>
  <c r="J29" i="113"/>
  <c r="J30" i="113" s="1"/>
  <c r="G30" i="113"/>
  <c r="J31" i="113" l="1"/>
  <c r="I32" i="113"/>
  <c r="J32" i="113" s="1"/>
  <c r="I33" i="113" l="1"/>
  <c r="G33" i="113"/>
  <c r="F33" i="113" s="1"/>
  <c r="F34" i="113" s="1"/>
  <c r="G34" i="113" l="1"/>
  <c r="J33" i="113"/>
  <c r="J34" i="113" s="1"/>
  <c r="I34" i="113"/>
  <c r="I35" i="113" s="1"/>
  <c r="J35" i="113" l="1"/>
  <c r="I36" i="113"/>
  <c r="J36" i="113" s="1"/>
  <c r="I37" i="113" l="1"/>
  <c r="G37" i="113"/>
  <c r="F37" i="113" s="1"/>
  <c r="F38" i="113" s="1"/>
  <c r="G38" i="113" l="1"/>
  <c r="I38" i="113"/>
  <c r="I39" i="113" s="1"/>
  <c r="J39" i="113" s="1"/>
  <c r="J37" i="113"/>
  <c r="J38" i="113" s="1"/>
  <c r="I40" i="113" l="1"/>
  <c r="J40" i="113" s="1"/>
  <c r="I41" i="113" s="1"/>
  <c r="G41" i="113" l="1"/>
  <c r="F41" i="113" s="1"/>
  <c r="F42" i="113" s="1"/>
  <c r="G42" i="113" l="1"/>
  <c r="I42" i="113"/>
  <c r="J41" i="113"/>
  <c r="J42" i="113" s="1"/>
  <c r="I43" i="113" l="1"/>
  <c r="J43" i="113" s="1"/>
  <c r="I44" i="113" l="1"/>
  <c r="J44" i="113" s="1"/>
  <c r="I45" i="113" s="1"/>
  <c r="G45" i="113" l="1"/>
  <c r="F45" i="113" s="1"/>
  <c r="F46" i="113" s="1"/>
  <c r="G46" i="113" s="1"/>
  <c r="I46" i="113"/>
  <c r="I47" i="113" s="1"/>
  <c r="J45" i="113"/>
  <c r="J46" i="113" s="1"/>
  <c r="J47" i="113" l="1"/>
  <c r="I48" i="113"/>
  <c r="J48" i="113" s="1"/>
  <c r="I49" i="113" l="1"/>
  <c r="G49" i="113"/>
  <c r="F49" i="113" s="1"/>
  <c r="F50" i="113" s="1"/>
  <c r="G50" i="113" l="1"/>
  <c r="I50" i="113"/>
  <c r="I51" i="113" s="1"/>
  <c r="J49" i="113"/>
  <c r="J50" i="113" s="1"/>
  <c r="J51" i="113" l="1"/>
  <c r="I52" i="113"/>
  <c r="J52" i="113" s="1"/>
  <c r="I53" i="113" l="1"/>
  <c r="G53" i="113"/>
  <c r="F53" i="113" s="1"/>
  <c r="F54" i="113" s="1"/>
  <c r="G54" i="113" l="1"/>
  <c r="F55" i="113"/>
  <c r="I54" i="113"/>
  <c r="J53" i="113"/>
  <c r="J54" i="113" s="1"/>
  <c r="I55" i="113" l="1"/>
  <c r="J55" i="113" s="1"/>
  <c r="G55" i="113"/>
  <c r="D27" i="38" l="1"/>
  <c r="C6" i="110"/>
  <c r="D17" i="110" l="1"/>
  <c r="DO94" i="88" l="1"/>
  <c r="DN94" i="88"/>
  <c r="DM94" i="88"/>
  <c r="DL94" i="88"/>
  <c r="DK94" i="88"/>
  <c r="DJ94" i="88"/>
  <c r="DI94" i="88"/>
  <c r="DH94" i="88"/>
  <c r="DG94" i="88"/>
  <c r="DF94" i="88"/>
  <c r="DE94" i="88"/>
  <c r="DO93" i="88"/>
  <c r="DN93" i="88"/>
  <c r="DM93" i="88"/>
  <c r="DL93" i="88"/>
  <c r="DK93" i="88"/>
  <c r="DJ93" i="88"/>
  <c r="DI93" i="88"/>
  <c r="DH93" i="88"/>
  <c r="DG93" i="88"/>
  <c r="DF93" i="88"/>
  <c r="DE93" i="88"/>
  <c r="DD93" i="88"/>
  <c r="DO92" i="88"/>
  <c r="DN92" i="88"/>
  <c r="DM92" i="88"/>
  <c r="DL92" i="88"/>
  <c r="DK92" i="88"/>
  <c r="DJ92" i="88"/>
  <c r="DI92" i="88"/>
  <c r="DH92" i="88"/>
  <c r="DG92" i="88"/>
  <c r="DF92" i="88"/>
  <c r="DE92" i="88"/>
  <c r="DD92" i="88"/>
  <c r="DO91" i="88"/>
  <c r="DN91" i="88"/>
  <c r="DM91" i="88"/>
  <c r="DL91" i="88"/>
  <c r="DK91" i="88"/>
  <c r="DJ91" i="88"/>
  <c r="DI91" i="88"/>
  <c r="DH91" i="88"/>
  <c r="DG91" i="88"/>
  <c r="DF91" i="88"/>
  <c r="DE91" i="88"/>
  <c r="DD91" i="88"/>
  <c r="DP88" i="88"/>
  <c r="DP87" i="88"/>
  <c r="DP86" i="88"/>
  <c r="DP85" i="88"/>
  <c r="DD84" i="88"/>
  <c r="DP84" i="88" s="1"/>
  <c r="DP83" i="88" s="1"/>
  <c r="DP82" i="88"/>
  <c r="DP81" i="88"/>
  <c r="DP80" i="88"/>
  <c r="DP79" i="88"/>
  <c r="DP78" i="88"/>
  <c r="DP77" i="88" s="1"/>
  <c r="DE78" i="88"/>
  <c r="DD78" i="88"/>
  <c r="DE77" i="88"/>
  <c r="DF78" i="88" s="1"/>
  <c r="DF77" i="88" s="1"/>
  <c r="DG78" i="88" s="1"/>
  <c r="DG77" i="88" s="1"/>
  <c r="DH78" i="88" s="1"/>
  <c r="DH77" i="88" s="1"/>
  <c r="DI78" i="88" s="1"/>
  <c r="DI77" i="88" s="1"/>
  <c r="DJ78" i="88" s="1"/>
  <c r="DJ77" i="88" s="1"/>
  <c r="DK78" i="88" s="1"/>
  <c r="DK77" i="88" s="1"/>
  <c r="DL78" i="88" s="1"/>
  <c r="DL77" i="88" s="1"/>
  <c r="DM78" i="88" s="1"/>
  <c r="DM77" i="88" s="1"/>
  <c r="DN78" i="88" s="1"/>
  <c r="DN77" i="88" s="1"/>
  <c r="DO78" i="88" s="1"/>
  <c r="DO77" i="88" s="1"/>
  <c r="DD77" i="88"/>
  <c r="DD76" i="88"/>
  <c r="DP76" i="88" s="1"/>
  <c r="DP75" i="88"/>
  <c r="DP74" i="88"/>
  <c r="DP73" i="88"/>
  <c r="DD72" i="88"/>
  <c r="DP72" i="88" s="1"/>
  <c r="DD71" i="88"/>
  <c r="DE72" i="88" s="1"/>
  <c r="DE71" i="88" s="1"/>
  <c r="DF72" i="88" s="1"/>
  <c r="DF71" i="88" s="1"/>
  <c r="DG72" i="88" s="1"/>
  <c r="DG71" i="88" s="1"/>
  <c r="DH72" i="88" s="1"/>
  <c r="DH71" i="88" s="1"/>
  <c r="DI72" i="88" s="1"/>
  <c r="DI71" i="88" s="1"/>
  <c r="DJ72" i="88" s="1"/>
  <c r="DJ71" i="88" s="1"/>
  <c r="DK72" i="88" s="1"/>
  <c r="DK71" i="88" s="1"/>
  <c r="DL72" i="88" s="1"/>
  <c r="DL71" i="88" s="1"/>
  <c r="DM72" i="88" s="1"/>
  <c r="DM71" i="88" s="1"/>
  <c r="DN72" i="88" s="1"/>
  <c r="DN71" i="88" s="1"/>
  <c r="DO72" i="88" s="1"/>
  <c r="DO71" i="88" s="1"/>
  <c r="DP70" i="88"/>
  <c r="DP69" i="88"/>
  <c r="DP68" i="88"/>
  <c r="DP67" i="88"/>
  <c r="DD66" i="88"/>
  <c r="DP66" i="88" s="1"/>
  <c r="DP65" i="88" s="1"/>
  <c r="DD65" i="88"/>
  <c r="DE66" i="88" s="1"/>
  <c r="DE65" i="88" s="1"/>
  <c r="DF66" i="88" s="1"/>
  <c r="DF65" i="88" s="1"/>
  <c r="DG66" i="88" s="1"/>
  <c r="DG65" i="88" s="1"/>
  <c r="DH66" i="88" s="1"/>
  <c r="DH65" i="88" s="1"/>
  <c r="DI66" i="88" s="1"/>
  <c r="DI65" i="88" s="1"/>
  <c r="DJ66" i="88" s="1"/>
  <c r="DJ65" i="88" s="1"/>
  <c r="DK66" i="88" s="1"/>
  <c r="DK65" i="88" s="1"/>
  <c r="DL66" i="88" s="1"/>
  <c r="DL65" i="88" s="1"/>
  <c r="DM66" i="88" s="1"/>
  <c r="DM65" i="88" s="1"/>
  <c r="DN66" i="88" s="1"/>
  <c r="DN65" i="88" s="1"/>
  <c r="DO66" i="88" s="1"/>
  <c r="DO65" i="88" s="1"/>
  <c r="DP64" i="88"/>
  <c r="DP63" i="88"/>
  <c r="DP62" i="88"/>
  <c r="DP61" i="88"/>
  <c r="DP60" i="88"/>
  <c r="DE60" i="88"/>
  <c r="DE59" i="88" s="1"/>
  <c r="DF60" i="88" s="1"/>
  <c r="DF59" i="88" s="1"/>
  <c r="DG60" i="88" s="1"/>
  <c r="DG59" i="88" s="1"/>
  <c r="DH60" i="88" s="1"/>
  <c r="DH59" i="88" s="1"/>
  <c r="DI60" i="88" s="1"/>
  <c r="DI59" i="88" s="1"/>
  <c r="DJ60" i="88" s="1"/>
  <c r="DJ59" i="88" s="1"/>
  <c r="DK60" i="88" s="1"/>
  <c r="DK59" i="88" s="1"/>
  <c r="DL60" i="88" s="1"/>
  <c r="DL59" i="88" s="1"/>
  <c r="DM60" i="88" s="1"/>
  <c r="DM59" i="88" s="1"/>
  <c r="DN60" i="88" s="1"/>
  <c r="DN59" i="88" s="1"/>
  <c r="DO60" i="88" s="1"/>
  <c r="DO59" i="88" s="1"/>
  <c r="DD60" i="88"/>
  <c r="DP59" i="88"/>
  <c r="DD59" i="88"/>
  <c r="DP58" i="88"/>
  <c r="DP57" i="88"/>
  <c r="DP56" i="88"/>
  <c r="DP55" i="88"/>
  <c r="DD54" i="88"/>
  <c r="DP54" i="88" s="1"/>
  <c r="DP53" i="88" s="1"/>
  <c r="DD53" i="88"/>
  <c r="DP52" i="88"/>
  <c r="DP51" i="88"/>
  <c r="DP50" i="88"/>
  <c r="DP49" i="88"/>
  <c r="DD48" i="88"/>
  <c r="DP48" i="88" s="1"/>
  <c r="DP47" i="88" s="1"/>
  <c r="DD47" i="88"/>
  <c r="DE48" i="88" s="1"/>
  <c r="DE47" i="88" s="1"/>
  <c r="DF48" i="88" s="1"/>
  <c r="DF47" i="88" s="1"/>
  <c r="DG48" i="88" s="1"/>
  <c r="DG47" i="88" s="1"/>
  <c r="DH48" i="88" s="1"/>
  <c r="DH47" i="88" s="1"/>
  <c r="DI48" i="88" s="1"/>
  <c r="DI47" i="88" s="1"/>
  <c r="DJ48" i="88" s="1"/>
  <c r="DJ47" i="88" s="1"/>
  <c r="DK48" i="88" s="1"/>
  <c r="DK47" i="88" s="1"/>
  <c r="DL48" i="88" s="1"/>
  <c r="DL47" i="88" s="1"/>
  <c r="DM48" i="88" s="1"/>
  <c r="DM47" i="88" s="1"/>
  <c r="DN48" i="88" s="1"/>
  <c r="DN47" i="88" s="1"/>
  <c r="DO48" i="88" s="1"/>
  <c r="DO47" i="88" s="1"/>
  <c r="DP46" i="88"/>
  <c r="DP45" i="88"/>
  <c r="DP44" i="88"/>
  <c r="DP43" i="88"/>
  <c r="DD42" i="88"/>
  <c r="DD41" i="88" s="1"/>
  <c r="DP40" i="88"/>
  <c r="DP39" i="88"/>
  <c r="DP38" i="88"/>
  <c r="DP37" i="88"/>
  <c r="DD36" i="88"/>
  <c r="DD35" i="88" s="1"/>
  <c r="DP34" i="88"/>
  <c r="DP33" i="88"/>
  <c r="DP32" i="88"/>
  <c r="DP31" i="88"/>
  <c r="DD30" i="88"/>
  <c r="DD29" i="88" s="1"/>
  <c r="DP28" i="88"/>
  <c r="DP94" i="88" s="1"/>
  <c r="DP27" i="88"/>
  <c r="DP26" i="88"/>
  <c r="DP25" i="88"/>
  <c r="DD24" i="88"/>
  <c r="DD90" i="88" s="1"/>
  <c r="DD23" i="88"/>
  <c r="DE24" i="88" s="1"/>
  <c r="DE23" i="88" s="1"/>
  <c r="DF24" i="88" s="1"/>
  <c r="DF23" i="88" s="1"/>
  <c r="DG24" i="88" s="1"/>
  <c r="DG23" i="88" s="1"/>
  <c r="DH24" i="88" s="1"/>
  <c r="DH23" i="88" s="1"/>
  <c r="DI24" i="88" s="1"/>
  <c r="DI23" i="88" s="1"/>
  <c r="DJ24" i="88" s="1"/>
  <c r="DJ23" i="88" s="1"/>
  <c r="DK24" i="88" s="1"/>
  <c r="DK23" i="88" s="1"/>
  <c r="DL24" i="88" s="1"/>
  <c r="DL23" i="88" s="1"/>
  <c r="DM24" i="88" s="1"/>
  <c r="DM23" i="88" s="1"/>
  <c r="DN24" i="88" s="1"/>
  <c r="DN23" i="88" s="1"/>
  <c r="DO24" i="88" s="1"/>
  <c r="DO23" i="88" s="1"/>
  <c r="DP22" i="88"/>
  <c r="DP21" i="88"/>
  <c r="DP20" i="88"/>
  <c r="DP19" i="88"/>
  <c r="DD18" i="88"/>
  <c r="DP18" i="88" s="1"/>
  <c r="DP17" i="88" s="1"/>
  <c r="DD17" i="88"/>
  <c r="DE18" i="88" s="1"/>
  <c r="DE17" i="88" s="1"/>
  <c r="DF18" i="88" s="1"/>
  <c r="DF17" i="88" s="1"/>
  <c r="DG18" i="88" s="1"/>
  <c r="DG17" i="88" s="1"/>
  <c r="DH18" i="88" s="1"/>
  <c r="DH17" i="88" s="1"/>
  <c r="DI18" i="88" s="1"/>
  <c r="DI17" i="88" s="1"/>
  <c r="DJ18" i="88" s="1"/>
  <c r="DJ17" i="88" s="1"/>
  <c r="DK18" i="88" s="1"/>
  <c r="DK17" i="88" s="1"/>
  <c r="DL18" i="88" s="1"/>
  <c r="DL17" i="88" s="1"/>
  <c r="DM18" i="88" s="1"/>
  <c r="DM17" i="88" s="1"/>
  <c r="DN18" i="88" s="1"/>
  <c r="DN17" i="88" s="1"/>
  <c r="DO18" i="88" s="1"/>
  <c r="DO17" i="88" s="1"/>
  <c r="DP16" i="88"/>
  <c r="DP15" i="88"/>
  <c r="DP14" i="88"/>
  <c r="DP13" i="88"/>
  <c r="DP12" i="88"/>
  <c r="DE12" i="88"/>
  <c r="DE11" i="88" s="1"/>
  <c r="DF12" i="88" s="1"/>
  <c r="DF11" i="88" s="1"/>
  <c r="DG12" i="88" s="1"/>
  <c r="DG11" i="88" s="1"/>
  <c r="DH12" i="88" s="1"/>
  <c r="DH11" i="88" s="1"/>
  <c r="DI12" i="88" s="1"/>
  <c r="DI11" i="88" s="1"/>
  <c r="DJ12" i="88" s="1"/>
  <c r="DJ11" i="88" s="1"/>
  <c r="DK12" i="88" s="1"/>
  <c r="DK11" i="88" s="1"/>
  <c r="DL12" i="88" s="1"/>
  <c r="DL11" i="88" s="1"/>
  <c r="DM12" i="88" s="1"/>
  <c r="DM11" i="88" s="1"/>
  <c r="DN12" i="88" s="1"/>
  <c r="DN11" i="88" s="1"/>
  <c r="DO12" i="88" s="1"/>
  <c r="DO11" i="88" s="1"/>
  <c r="DD12" i="88"/>
  <c r="DP11" i="88"/>
  <c r="DD11" i="88"/>
  <c r="DP10" i="88"/>
  <c r="DP9" i="88"/>
  <c r="DP93" i="88" s="1"/>
  <c r="DP8" i="88"/>
  <c r="DP92" i="88" s="1"/>
  <c r="DP7" i="88"/>
  <c r="DP91" i="88" s="1"/>
  <c r="DD6" i="88"/>
  <c r="DP6" i="88" s="1"/>
  <c r="DD5" i="88"/>
  <c r="DE6" i="88" s="1"/>
  <c r="DP5" i="88" l="1"/>
  <c r="DE5" i="88"/>
  <c r="DF6" i="88" s="1"/>
  <c r="DP71" i="88"/>
  <c r="DP24" i="88"/>
  <c r="DP23" i="88" s="1"/>
  <c r="DP30" i="88"/>
  <c r="DP29" i="88" s="1"/>
  <c r="DP36" i="88"/>
  <c r="DP35" i="88" s="1"/>
  <c r="DP42" i="88"/>
  <c r="DP41" i="88" s="1"/>
  <c r="DD94" i="88"/>
  <c r="DD89" i="88" s="1"/>
  <c r="DD83" i="88"/>
  <c r="DE84" i="88" s="1"/>
  <c r="DE83" i="88" s="1"/>
  <c r="DF84" i="88" s="1"/>
  <c r="DF83" i="88" s="1"/>
  <c r="DG84" i="88" s="1"/>
  <c r="DG83" i="88" s="1"/>
  <c r="DH84" i="88" s="1"/>
  <c r="DH83" i="88" s="1"/>
  <c r="DI84" i="88" s="1"/>
  <c r="DI83" i="88" s="1"/>
  <c r="DJ84" i="88" s="1"/>
  <c r="DJ83" i="88" s="1"/>
  <c r="DK84" i="88" s="1"/>
  <c r="DK83" i="88" s="1"/>
  <c r="DL84" i="88" s="1"/>
  <c r="DL83" i="88" s="1"/>
  <c r="DM84" i="88" s="1"/>
  <c r="DM83" i="88" s="1"/>
  <c r="DN84" i="88" s="1"/>
  <c r="DN83" i="88" s="1"/>
  <c r="DO84" i="88" s="1"/>
  <c r="DO83" i="88" s="1"/>
  <c r="DE90" i="88" l="1"/>
  <c r="DE89" i="88" s="1"/>
  <c r="DF5" i="88"/>
  <c r="DG6" i="88" s="1"/>
  <c r="DF90" i="88"/>
  <c r="DF89" i="88" s="1"/>
  <c r="DP90" i="88"/>
  <c r="DP89" i="88" s="1"/>
  <c r="DG90" i="88" l="1"/>
  <c r="DG89" i="88" s="1"/>
  <c r="DG5" i="88"/>
  <c r="DH6" i="88" s="1"/>
  <c r="DH5" i="88" l="1"/>
  <c r="DI6" i="88" s="1"/>
  <c r="DH90" i="88"/>
  <c r="DH89" i="88" s="1"/>
  <c r="DI90" i="88" l="1"/>
  <c r="DI89" i="88" s="1"/>
  <c r="DI5" i="88"/>
  <c r="DJ6" i="88" s="1"/>
  <c r="DJ90" i="88" l="1"/>
  <c r="DJ89" i="88" s="1"/>
  <c r="DJ5" i="88"/>
  <c r="DK6" i="88" s="1"/>
  <c r="DK90" i="88" l="1"/>
  <c r="DK89" i="88" s="1"/>
  <c r="DK5" i="88"/>
  <c r="DL6" i="88" s="1"/>
  <c r="DL90" i="88" l="1"/>
  <c r="DL89" i="88" s="1"/>
  <c r="DL5" i="88"/>
  <c r="DM6" i="88" s="1"/>
  <c r="DM5" i="88" l="1"/>
  <c r="DN6" i="88" s="1"/>
  <c r="DM90" i="88"/>
  <c r="DM89" i="88" s="1"/>
  <c r="DN5" i="88" l="1"/>
  <c r="DO6" i="88" s="1"/>
  <c r="DN90" i="88"/>
  <c r="DN89" i="88" s="1"/>
  <c r="DO90" i="88" l="1"/>
  <c r="DO89" i="88" s="1"/>
  <c r="DO5" i="88"/>
  <c r="CZ84" i="88" l="1"/>
  <c r="CZ83" i="88" s="1"/>
  <c r="DA84" i="88" s="1"/>
  <c r="DA83" i="88" s="1"/>
  <c r="DB84" i="88" s="1"/>
  <c r="DB83" i="88" s="1"/>
  <c r="CZ78" i="88"/>
  <c r="CZ77" i="88" s="1"/>
  <c r="DA78" i="88" s="1"/>
  <c r="DA77" i="88" s="1"/>
  <c r="DB78" i="88" s="1"/>
  <c r="DB77" i="88" s="1"/>
  <c r="CZ72" i="88"/>
  <c r="CZ71" i="88"/>
  <c r="DA72" i="88" s="1"/>
  <c r="DA71" i="88" s="1"/>
  <c r="DB72" i="88" s="1"/>
  <c r="DB71" i="88" s="1"/>
  <c r="DA66" i="88"/>
  <c r="CZ66" i="88"/>
  <c r="DA65" i="88"/>
  <c r="DB66" i="88" s="1"/>
  <c r="DB65" i="88" s="1"/>
  <c r="CZ65" i="88"/>
  <c r="CZ60" i="88"/>
  <c r="CZ59" i="88" s="1"/>
  <c r="DA60" i="88" s="1"/>
  <c r="DA59" i="88" s="1"/>
  <c r="DB60" i="88" s="1"/>
  <c r="DB59" i="88" s="1"/>
  <c r="CZ48" i="88"/>
  <c r="CZ47" i="88" s="1"/>
  <c r="DA48" i="88" s="1"/>
  <c r="DA47" i="88" s="1"/>
  <c r="DB48" i="88" s="1"/>
  <c r="DB47" i="88" s="1"/>
  <c r="CZ24" i="88"/>
  <c r="CZ23" i="88" s="1"/>
  <c r="DA24" i="88" s="1"/>
  <c r="DA23" i="88" s="1"/>
  <c r="DB24" i="88" s="1"/>
  <c r="DB23" i="88" s="1"/>
  <c r="DA18" i="88"/>
  <c r="CZ18" i="88"/>
  <c r="DA17" i="88"/>
  <c r="DB18" i="88" s="1"/>
  <c r="DB17" i="88" s="1"/>
  <c r="CZ17" i="88"/>
  <c r="CZ12" i="88"/>
  <c r="CZ11" i="88" s="1"/>
  <c r="DA12" i="88" s="1"/>
  <c r="DA11" i="88" s="1"/>
  <c r="DB12" i="88" s="1"/>
  <c r="DB11" i="88" s="1"/>
  <c r="CZ6" i="88"/>
  <c r="CZ5" i="88" s="1"/>
  <c r="DA6" i="88" s="1"/>
  <c r="DA5" i="88" s="1"/>
  <c r="DB6" i="88" s="1"/>
  <c r="DB5" i="88" s="1"/>
  <c r="C44" i="79" l="1"/>
  <c r="E37" i="79"/>
  <c r="E53" i="79" l="1"/>
  <c r="D52" i="79" l="1"/>
  <c r="DB94" i="88" l="1"/>
  <c r="DA94" i="88"/>
  <c r="CZ94" i="88"/>
  <c r="CY94" i="88"/>
  <c r="CX94" i="88"/>
  <c r="CW94" i="88"/>
  <c r="CV94" i="88"/>
  <c r="CU94" i="88"/>
  <c r="CT94" i="88"/>
  <c r="CS94" i="88"/>
  <c r="CR94" i="88"/>
  <c r="CQ94" i="88"/>
  <c r="DB93" i="88"/>
  <c r="DA93" i="88"/>
  <c r="CZ93" i="88"/>
  <c r="CY93" i="88"/>
  <c r="CX93" i="88"/>
  <c r="CW93" i="88"/>
  <c r="CV93" i="88"/>
  <c r="CU93" i="88"/>
  <c r="CT93" i="88"/>
  <c r="CS93" i="88"/>
  <c r="CR93" i="88"/>
  <c r="CQ93" i="88"/>
  <c r="DB92" i="88"/>
  <c r="DA92" i="88"/>
  <c r="CZ92" i="88"/>
  <c r="CY92" i="88"/>
  <c r="CX92" i="88"/>
  <c r="CW92" i="88"/>
  <c r="CV92" i="88"/>
  <c r="CU92" i="88"/>
  <c r="CT92" i="88"/>
  <c r="CS92" i="88"/>
  <c r="CR92" i="88"/>
  <c r="CQ92" i="88"/>
  <c r="DB91" i="88"/>
  <c r="DA91" i="88"/>
  <c r="CZ91" i="88"/>
  <c r="CY91" i="88"/>
  <c r="CX91" i="88"/>
  <c r="CW91" i="88"/>
  <c r="CV91" i="88"/>
  <c r="CU91" i="88"/>
  <c r="CT91" i="88"/>
  <c r="CS91" i="88"/>
  <c r="CR91" i="88"/>
  <c r="CQ91" i="88"/>
  <c r="DC88" i="88"/>
  <c r="DC87" i="88"/>
  <c r="DC86" i="88"/>
  <c r="DC85" i="88"/>
  <c r="CQ84" i="88"/>
  <c r="DC84" i="88" s="1"/>
  <c r="DC83" i="88" s="1"/>
  <c r="CQ83" i="88"/>
  <c r="CR84" i="88" s="1"/>
  <c r="CR83" i="88" s="1"/>
  <c r="CS84" i="88" s="1"/>
  <c r="CS83" i="88" s="1"/>
  <c r="CT84" i="88" s="1"/>
  <c r="CT83" i="88" s="1"/>
  <c r="CU84" i="88" s="1"/>
  <c r="CU83" i="88" s="1"/>
  <c r="CV84" i="88" s="1"/>
  <c r="CV83" i="88" s="1"/>
  <c r="CW84" i="88" s="1"/>
  <c r="CW83" i="88" s="1"/>
  <c r="CX84" i="88" s="1"/>
  <c r="CX83" i="88" s="1"/>
  <c r="CY84" i="88" s="1"/>
  <c r="CY83" i="88" s="1"/>
  <c r="DC82" i="88"/>
  <c r="DC81" i="88"/>
  <c r="DC80" i="88"/>
  <c r="DC79" i="88"/>
  <c r="DC78" i="88"/>
  <c r="CQ78" i="88"/>
  <c r="CQ77" i="88" s="1"/>
  <c r="CR78" i="88" s="1"/>
  <c r="CR77" i="88" s="1"/>
  <c r="CS78" i="88" s="1"/>
  <c r="CS77" i="88" s="1"/>
  <c r="CT78" i="88" s="1"/>
  <c r="CT77" i="88" s="1"/>
  <c r="CU78" i="88" s="1"/>
  <c r="CU77" i="88" s="1"/>
  <c r="CV78" i="88" s="1"/>
  <c r="CV77" i="88" s="1"/>
  <c r="CW78" i="88" s="1"/>
  <c r="CW77" i="88" s="1"/>
  <c r="CX78" i="88" s="1"/>
  <c r="CX77" i="88" s="1"/>
  <c r="CY78" i="88" s="1"/>
  <c r="CY77" i="88" s="1"/>
  <c r="DC77" i="88"/>
  <c r="DC76" i="88"/>
  <c r="DC75" i="88"/>
  <c r="DC74" i="88"/>
  <c r="DC73" i="88"/>
  <c r="DC72" i="88"/>
  <c r="CQ72" i="88"/>
  <c r="CQ71" i="88"/>
  <c r="CR72" i="88" s="1"/>
  <c r="CR71" i="88" s="1"/>
  <c r="CS72" i="88" s="1"/>
  <c r="CS71" i="88" s="1"/>
  <c r="CT72" i="88" s="1"/>
  <c r="CT71" i="88" s="1"/>
  <c r="CU72" i="88" s="1"/>
  <c r="CU71" i="88" s="1"/>
  <c r="CV72" i="88" s="1"/>
  <c r="CV71" i="88" s="1"/>
  <c r="CW72" i="88" s="1"/>
  <c r="CW71" i="88" s="1"/>
  <c r="CX72" i="88" s="1"/>
  <c r="CX71" i="88" s="1"/>
  <c r="CY72" i="88" s="1"/>
  <c r="CY71" i="88" s="1"/>
  <c r="DC70" i="88"/>
  <c r="DC69" i="88"/>
  <c r="DC68" i="88"/>
  <c r="DC67" i="88"/>
  <c r="CQ66" i="88"/>
  <c r="DC66" i="88" s="1"/>
  <c r="CQ65" i="88"/>
  <c r="CR66" i="88" s="1"/>
  <c r="CR65" i="88" s="1"/>
  <c r="CS66" i="88" s="1"/>
  <c r="CS65" i="88" s="1"/>
  <c r="CT66" i="88" s="1"/>
  <c r="CT65" i="88" s="1"/>
  <c r="CU66" i="88" s="1"/>
  <c r="CU65" i="88" s="1"/>
  <c r="CV66" i="88" s="1"/>
  <c r="CV65" i="88" s="1"/>
  <c r="CW66" i="88" s="1"/>
  <c r="CW65" i="88" s="1"/>
  <c r="CX66" i="88" s="1"/>
  <c r="CX65" i="88" s="1"/>
  <c r="CY66" i="88" s="1"/>
  <c r="CY65" i="88" s="1"/>
  <c r="DC64" i="88"/>
  <c r="DC63" i="88"/>
  <c r="DC62" i="88"/>
  <c r="DC61" i="88"/>
  <c r="CQ60" i="88"/>
  <c r="DC60" i="88" s="1"/>
  <c r="CQ59" i="88"/>
  <c r="CR60" i="88" s="1"/>
  <c r="CR59" i="88" s="1"/>
  <c r="CS60" i="88" s="1"/>
  <c r="CS59" i="88" s="1"/>
  <c r="CT60" i="88" s="1"/>
  <c r="CT59" i="88" s="1"/>
  <c r="CU60" i="88" s="1"/>
  <c r="CU59" i="88" s="1"/>
  <c r="CV60" i="88" s="1"/>
  <c r="CV59" i="88" s="1"/>
  <c r="CW60" i="88" s="1"/>
  <c r="CW59" i="88" s="1"/>
  <c r="CX60" i="88" s="1"/>
  <c r="CX59" i="88" s="1"/>
  <c r="CY60" i="88" s="1"/>
  <c r="CY59" i="88" s="1"/>
  <c r="DC58" i="88"/>
  <c r="DC57" i="88"/>
  <c r="DC56" i="88"/>
  <c r="DC55" i="88"/>
  <c r="DC54" i="88"/>
  <c r="CQ54" i="88"/>
  <c r="CQ53" i="88"/>
  <c r="DC52" i="88"/>
  <c r="DC51" i="88"/>
  <c r="DC50" i="88"/>
  <c r="DC47" i="88" s="1"/>
  <c r="DC49" i="88"/>
  <c r="DC48" i="88"/>
  <c r="CQ48" i="88"/>
  <c r="CQ47" i="88" s="1"/>
  <c r="CR48" i="88" s="1"/>
  <c r="CR47" i="88" s="1"/>
  <c r="CS48" i="88" s="1"/>
  <c r="CS47" i="88" s="1"/>
  <c r="CT48" i="88" s="1"/>
  <c r="CT47" i="88" s="1"/>
  <c r="CU48" i="88" s="1"/>
  <c r="CU47" i="88" s="1"/>
  <c r="CV48" i="88" s="1"/>
  <c r="CV47" i="88" s="1"/>
  <c r="CW48" i="88" s="1"/>
  <c r="CW47" i="88" s="1"/>
  <c r="CX48" i="88" s="1"/>
  <c r="CX47" i="88" s="1"/>
  <c r="CY48" i="88" s="1"/>
  <c r="CY47" i="88" s="1"/>
  <c r="DC46" i="88"/>
  <c r="DC45" i="88"/>
  <c r="DC44" i="88"/>
  <c r="DC43" i="88"/>
  <c r="CQ42" i="88"/>
  <c r="CQ41" i="88" s="1"/>
  <c r="DC40" i="88"/>
  <c r="DC39" i="88"/>
  <c r="DC38" i="88"/>
  <c r="DC37" i="88"/>
  <c r="CQ36" i="88"/>
  <c r="CQ35" i="88" s="1"/>
  <c r="DC34" i="88"/>
  <c r="DC33" i="88"/>
  <c r="DC32" i="88"/>
  <c r="DC31" i="88"/>
  <c r="CQ30" i="88"/>
  <c r="CQ29" i="88" s="1"/>
  <c r="DC28" i="88"/>
  <c r="DC27" i="88"/>
  <c r="DC26" i="88"/>
  <c r="DC25" i="88"/>
  <c r="DC24" i="88"/>
  <c r="CQ24" i="88"/>
  <c r="DC23" i="88"/>
  <c r="CQ23" i="88"/>
  <c r="CR24" i="88" s="1"/>
  <c r="CR23" i="88" s="1"/>
  <c r="CS24" i="88" s="1"/>
  <c r="CS23" i="88" s="1"/>
  <c r="CT24" i="88" s="1"/>
  <c r="CT23" i="88" s="1"/>
  <c r="CU24" i="88" s="1"/>
  <c r="CU23" i="88" s="1"/>
  <c r="CV24" i="88" s="1"/>
  <c r="CV23" i="88" s="1"/>
  <c r="CW24" i="88" s="1"/>
  <c r="CW23" i="88" s="1"/>
  <c r="CX24" i="88" s="1"/>
  <c r="CX23" i="88" s="1"/>
  <c r="CY24" i="88" s="1"/>
  <c r="CY23" i="88" s="1"/>
  <c r="DC22" i="88"/>
  <c r="DC21" i="88"/>
  <c r="DC20" i="88"/>
  <c r="DC19" i="88"/>
  <c r="CQ18" i="88"/>
  <c r="DC18" i="88" s="1"/>
  <c r="CQ17" i="88"/>
  <c r="CR18" i="88" s="1"/>
  <c r="CR17" i="88" s="1"/>
  <c r="CS18" i="88" s="1"/>
  <c r="CS17" i="88" s="1"/>
  <c r="CT18" i="88" s="1"/>
  <c r="CT17" i="88" s="1"/>
  <c r="CU18" i="88" s="1"/>
  <c r="CU17" i="88" s="1"/>
  <c r="CV18" i="88" s="1"/>
  <c r="CV17" i="88" s="1"/>
  <c r="CW18" i="88" s="1"/>
  <c r="CW17" i="88" s="1"/>
  <c r="CX18" i="88" s="1"/>
  <c r="CX17" i="88" s="1"/>
  <c r="CY18" i="88" s="1"/>
  <c r="CY17" i="88" s="1"/>
  <c r="DC16" i="88"/>
  <c r="DC15" i="88"/>
  <c r="DC14" i="88"/>
  <c r="DC13" i="88"/>
  <c r="CQ12" i="88"/>
  <c r="DC12" i="88" s="1"/>
  <c r="CQ11" i="88"/>
  <c r="CR12" i="88" s="1"/>
  <c r="CR11" i="88" s="1"/>
  <c r="CS12" i="88" s="1"/>
  <c r="CS11" i="88" s="1"/>
  <c r="CT12" i="88" s="1"/>
  <c r="CT11" i="88" s="1"/>
  <c r="CU12" i="88" s="1"/>
  <c r="CU11" i="88" s="1"/>
  <c r="CV12" i="88" s="1"/>
  <c r="CV11" i="88" s="1"/>
  <c r="CW12" i="88" s="1"/>
  <c r="CW11" i="88" s="1"/>
  <c r="CX12" i="88" s="1"/>
  <c r="CX11" i="88" s="1"/>
  <c r="CY12" i="88" s="1"/>
  <c r="CY11" i="88" s="1"/>
  <c r="DC10" i="88"/>
  <c r="DC9" i="88"/>
  <c r="DC8" i="88"/>
  <c r="DC92" i="88" s="1"/>
  <c r="DC7" i="88"/>
  <c r="DC6" i="88"/>
  <c r="CQ6" i="88"/>
  <c r="CQ90" i="88" s="1"/>
  <c r="CQ89" i="88" s="1"/>
  <c r="DC91" i="88" l="1"/>
  <c r="DC53" i="88"/>
  <c r="DC93" i="88"/>
  <c r="DC71" i="88"/>
  <c r="DC17" i="88"/>
  <c r="DC94" i="88"/>
  <c r="DC65" i="88"/>
  <c r="DC11" i="88"/>
  <c r="DC59" i="88"/>
  <c r="DC5" i="88"/>
  <c r="DC90" i="88"/>
  <c r="DC89" i="88" s="1"/>
  <c r="DC30" i="88"/>
  <c r="DC29" i="88" s="1"/>
  <c r="DC36" i="88"/>
  <c r="DC35" i="88" s="1"/>
  <c r="DC42" i="88"/>
  <c r="DC41" i="88" s="1"/>
  <c r="CQ5" i="88"/>
  <c r="CR6" i="88" s="1"/>
  <c r="CR5" i="88" l="1"/>
  <c r="CS6" i="88" s="1"/>
  <c r="CR90" i="88"/>
  <c r="CR89" i="88" s="1"/>
  <c r="CS90" i="88" l="1"/>
  <c r="CS89" i="88" s="1"/>
  <c r="CS5" i="88"/>
  <c r="CT6" i="88" s="1"/>
  <c r="CT90" i="88" l="1"/>
  <c r="CT89" i="88" s="1"/>
  <c r="CT5" i="88"/>
  <c r="CU6" i="88" s="1"/>
  <c r="CU90" i="88" l="1"/>
  <c r="CU89" i="88" s="1"/>
  <c r="CU5" i="88"/>
  <c r="CV6" i="88" s="1"/>
  <c r="CV90" i="88" l="1"/>
  <c r="CV89" i="88" s="1"/>
  <c r="CV5" i="88"/>
  <c r="CW6" i="88" s="1"/>
  <c r="CW90" i="88" l="1"/>
  <c r="CW89" i="88" s="1"/>
  <c r="CW5" i="88"/>
  <c r="CX6" i="88" s="1"/>
  <c r="CX90" i="88" l="1"/>
  <c r="CX89" i="88" s="1"/>
  <c r="CX5" i="88"/>
  <c r="CY6" i="88" s="1"/>
  <c r="CY90" i="88" l="1"/>
  <c r="CY89" i="88" s="1"/>
  <c r="CY5" i="88"/>
  <c r="CZ90" i="88" l="1"/>
  <c r="CZ89" i="88" s="1"/>
  <c r="DA90" i="88" l="1"/>
  <c r="DA89" i="88" s="1"/>
  <c r="DB90" i="88" l="1"/>
  <c r="DB89" i="88" s="1"/>
  <c r="CM84" i="88" l="1"/>
  <c r="CM83" i="88" s="1"/>
  <c r="CN84" i="88" s="1"/>
  <c r="CN83" i="88" s="1"/>
  <c r="CO84" i="88" s="1"/>
  <c r="CO83" i="88" s="1"/>
  <c r="CM78" i="88"/>
  <c r="CM77" i="88"/>
  <c r="CN78" i="88" s="1"/>
  <c r="CN77" i="88" s="1"/>
  <c r="CO78" i="88" s="1"/>
  <c r="CO77" i="88" s="1"/>
  <c r="CM72" i="88"/>
  <c r="CM71" i="88" s="1"/>
  <c r="CN72" i="88" s="1"/>
  <c r="CN71" i="88" s="1"/>
  <c r="CO72" i="88" s="1"/>
  <c r="CO71" i="88" s="1"/>
  <c r="CM66" i="88"/>
  <c r="CM65" i="88"/>
  <c r="CN66" i="88" s="1"/>
  <c r="CN65" i="88" s="1"/>
  <c r="CO66" i="88" s="1"/>
  <c r="CO65" i="88" s="1"/>
  <c r="CM60" i="88"/>
  <c r="CM59" i="88" s="1"/>
  <c r="CN60" i="88" s="1"/>
  <c r="CN59" i="88" s="1"/>
  <c r="CO60" i="88" s="1"/>
  <c r="CO59" i="88" s="1"/>
  <c r="CM48" i="88"/>
  <c r="CM47" i="88"/>
  <c r="CN48" i="88" s="1"/>
  <c r="CN47" i="88" s="1"/>
  <c r="CO48" i="88" s="1"/>
  <c r="CO47" i="88" s="1"/>
  <c r="CM24" i="88"/>
  <c r="CM23" i="88"/>
  <c r="CN24" i="88" s="1"/>
  <c r="CN23" i="88" s="1"/>
  <c r="CO24" i="88" s="1"/>
  <c r="CO23" i="88" s="1"/>
  <c r="CM18" i="88"/>
  <c r="CM17" i="88"/>
  <c r="CN18" i="88" s="1"/>
  <c r="CN17" i="88" s="1"/>
  <c r="CO18" i="88" s="1"/>
  <c r="CO17" i="88" s="1"/>
  <c r="CO16" i="88"/>
  <c r="CM12" i="88"/>
  <c r="CM11" i="88" s="1"/>
  <c r="CN12" i="88" s="1"/>
  <c r="CN11" i="88" s="1"/>
  <c r="CO12" i="88" s="1"/>
  <c r="CO11" i="88" s="1"/>
  <c r="CO10" i="88"/>
  <c r="CM6" i="88"/>
  <c r="CM5" i="88"/>
  <c r="CN6" i="88" s="1"/>
  <c r="CN5" i="88" s="1"/>
  <c r="CO6" i="88" s="1"/>
  <c r="CO5" i="88" s="1"/>
  <c r="E50" i="79" l="1"/>
  <c r="E49" i="79"/>
  <c r="E48" i="79"/>
  <c r="E47" i="79"/>
  <c r="E46" i="79"/>
  <c r="E45" i="79"/>
  <c r="C7" i="79" l="1"/>
  <c r="CI88" i="88" l="1"/>
  <c r="CG84" i="88"/>
  <c r="CG83" i="88" s="1"/>
  <c r="CH84" i="88" s="1"/>
  <c r="CH83" i="88" s="1"/>
  <c r="CI84" i="88" s="1"/>
  <c r="CI83" i="88" s="1"/>
  <c r="CJ84" i="88" s="1"/>
  <c r="CJ83" i="88" s="1"/>
  <c r="CK84" i="88" s="1"/>
  <c r="CK83" i="88" s="1"/>
  <c r="CL84" i="88" s="1"/>
  <c r="CL83" i="88" s="1"/>
  <c r="CG78" i="88"/>
  <c r="CG77" i="88" s="1"/>
  <c r="CH78" i="88" s="1"/>
  <c r="CH77" i="88" s="1"/>
  <c r="CI78" i="88" s="1"/>
  <c r="CI77" i="88" s="1"/>
  <c r="CJ78" i="88" s="1"/>
  <c r="CJ77" i="88" s="1"/>
  <c r="CK78" i="88" s="1"/>
  <c r="CK77" i="88" s="1"/>
  <c r="CL78" i="88" s="1"/>
  <c r="CL77" i="88" s="1"/>
  <c r="CG72" i="88"/>
  <c r="CG71" i="88" s="1"/>
  <c r="CH72" i="88" s="1"/>
  <c r="CH71" i="88" s="1"/>
  <c r="CI72" i="88" s="1"/>
  <c r="CI71" i="88" s="1"/>
  <c r="CJ72" i="88" s="1"/>
  <c r="CJ71" i="88" s="1"/>
  <c r="CK72" i="88" s="1"/>
  <c r="CK71" i="88" s="1"/>
  <c r="CL72" i="88" s="1"/>
  <c r="CL71" i="88" s="1"/>
  <c r="CG66" i="88"/>
  <c r="CG65" i="88" s="1"/>
  <c r="CH66" i="88" s="1"/>
  <c r="CH65" i="88" s="1"/>
  <c r="CI66" i="88" s="1"/>
  <c r="CI65" i="88" s="1"/>
  <c r="CJ66" i="88" s="1"/>
  <c r="CJ65" i="88" s="1"/>
  <c r="CK66" i="88" s="1"/>
  <c r="CK65" i="88" s="1"/>
  <c r="CL66" i="88" s="1"/>
  <c r="CL65" i="88" s="1"/>
  <c r="CG60" i="88"/>
  <c r="CG59" i="88" s="1"/>
  <c r="CH60" i="88" s="1"/>
  <c r="CH59" i="88" s="1"/>
  <c r="CI60" i="88" s="1"/>
  <c r="CI59" i="88" s="1"/>
  <c r="CJ60" i="88" s="1"/>
  <c r="CJ59" i="88" s="1"/>
  <c r="CK60" i="88" s="1"/>
  <c r="CK59" i="88" s="1"/>
  <c r="CL60" i="88" s="1"/>
  <c r="CL59" i="88" s="1"/>
  <c r="CG48" i="88"/>
  <c r="CG47" i="88" s="1"/>
  <c r="CH48" i="88" s="1"/>
  <c r="CH47" i="88" s="1"/>
  <c r="CI48" i="88" s="1"/>
  <c r="CI47" i="88" s="1"/>
  <c r="CJ48" i="88" s="1"/>
  <c r="CJ47" i="88" s="1"/>
  <c r="CK48" i="88" s="1"/>
  <c r="CK47" i="88" s="1"/>
  <c r="CL48" i="88" s="1"/>
  <c r="CL47" i="88" s="1"/>
  <c r="CG24" i="88"/>
  <c r="CG23" i="88" s="1"/>
  <c r="CH24" i="88" s="1"/>
  <c r="CH23" i="88" s="1"/>
  <c r="CI24" i="88" s="1"/>
  <c r="CI23" i="88" s="1"/>
  <c r="CJ24" i="88" s="1"/>
  <c r="CJ23" i="88" s="1"/>
  <c r="CK24" i="88" s="1"/>
  <c r="CK23" i="88" s="1"/>
  <c r="CL24" i="88" s="1"/>
  <c r="CL23" i="88" s="1"/>
  <c r="CG18" i="88"/>
  <c r="CG17" i="88" s="1"/>
  <c r="CH18" i="88" s="1"/>
  <c r="CH17" i="88" s="1"/>
  <c r="CI18" i="88" s="1"/>
  <c r="CI17" i="88" s="1"/>
  <c r="CJ18" i="88" s="1"/>
  <c r="CJ17" i="88" s="1"/>
  <c r="CK18" i="88" s="1"/>
  <c r="CK17" i="88" s="1"/>
  <c r="CL18" i="88" s="1"/>
  <c r="CL17" i="88" s="1"/>
  <c r="CG12" i="88"/>
  <c r="CG11" i="88" s="1"/>
  <c r="CH12" i="88" s="1"/>
  <c r="CH11" i="88" s="1"/>
  <c r="CI12" i="88" s="1"/>
  <c r="CI11" i="88" s="1"/>
  <c r="CJ12" i="88" s="1"/>
  <c r="CJ11" i="88" s="1"/>
  <c r="CK12" i="88" s="1"/>
  <c r="CK11" i="88" s="1"/>
  <c r="CL12" i="88" s="1"/>
  <c r="CL11" i="88" s="1"/>
  <c r="CG6" i="88"/>
  <c r="CG5" i="88" s="1"/>
  <c r="CH6" i="88" s="1"/>
  <c r="CH5" i="88" s="1"/>
  <c r="CI6" i="88" s="1"/>
  <c r="CI5" i="88" s="1"/>
  <c r="CJ6" i="88" s="1"/>
  <c r="CJ5" i="88" s="1"/>
  <c r="CK6" i="88" s="1"/>
  <c r="CK5" i="88" s="1"/>
  <c r="CL6" i="88" s="1"/>
  <c r="CL5" i="88" s="1"/>
  <c r="CO94" i="88" l="1"/>
  <c r="CN94" i="88"/>
  <c r="CM94" i="88"/>
  <c r="CL94" i="88"/>
  <c r="CK94" i="88"/>
  <c r="CJ94" i="88"/>
  <c r="CI94" i="88"/>
  <c r="CH94" i="88"/>
  <c r="CG94" i="88"/>
  <c r="CF94" i="88"/>
  <c r="CE94" i="88"/>
  <c r="CD94" i="88"/>
  <c r="CO93" i="88"/>
  <c r="CN93" i="88"/>
  <c r="CM93" i="88"/>
  <c r="CL93" i="88"/>
  <c r="CK93" i="88"/>
  <c r="CJ93" i="88"/>
  <c r="CI93" i="88"/>
  <c r="CH93" i="88"/>
  <c r="CG93" i="88"/>
  <c r="CF93" i="88"/>
  <c r="CE93" i="88"/>
  <c r="CD93" i="88"/>
  <c r="CO92" i="88"/>
  <c r="CN92" i="88"/>
  <c r="CM92" i="88"/>
  <c r="CL92" i="88"/>
  <c r="CK92" i="88"/>
  <c r="CJ92" i="88"/>
  <c r="CI92" i="88"/>
  <c r="CH92" i="88"/>
  <c r="CG92" i="88"/>
  <c r="CF92" i="88"/>
  <c r="CE92" i="88"/>
  <c r="CD92" i="88"/>
  <c r="CO91" i="88"/>
  <c r="CN91" i="88"/>
  <c r="CM91" i="88"/>
  <c r="CL91" i="88"/>
  <c r="CK91" i="88"/>
  <c r="CJ91" i="88"/>
  <c r="CI91" i="88"/>
  <c r="CH91" i="88"/>
  <c r="CG91" i="88"/>
  <c r="CF91" i="88"/>
  <c r="CE91" i="88"/>
  <c r="CD91" i="88"/>
  <c r="CO90" i="88"/>
  <c r="CO89" i="88" s="1"/>
  <c r="CN90" i="88"/>
  <c r="CM90" i="88"/>
  <c r="CM89" i="88" s="1"/>
  <c r="CL90" i="88"/>
  <c r="CL89" i="88" s="1"/>
  <c r="CK90" i="88"/>
  <c r="CK89" i="88" s="1"/>
  <c r="CJ90" i="88"/>
  <c r="CI90" i="88"/>
  <c r="CH90" i="88"/>
  <c r="CH89" i="88" s="1"/>
  <c r="CG90" i="88"/>
  <c r="CG89" i="88" s="1"/>
  <c r="CD90" i="88"/>
  <c r="CD89" i="88" s="1"/>
  <c r="CI89" i="88"/>
  <c r="CP88" i="88"/>
  <c r="CP87" i="88"/>
  <c r="CP86" i="88"/>
  <c r="CP85" i="88"/>
  <c r="CE84" i="88"/>
  <c r="CD84" i="88"/>
  <c r="CP84" i="88" s="1"/>
  <c r="CE83" i="88"/>
  <c r="CF84" i="88" s="1"/>
  <c r="CF83" i="88" s="1"/>
  <c r="CD83" i="88"/>
  <c r="CP82" i="88"/>
  <c r="CP81" i="88"/>
  <c r="CP80" i="88"/>
  <c r="CP79" i="88"/>
  <c r="CE78" i="88"/>
  <c r="CE77" i="88" s="1"/>
  <c r="CF78" i="88" s="1"/>
  <c r="CF77" i="88" s="1"/>
  <c r="CD78" i="88"/>
  <c r="CP78" i="88" s="1"/>
  <c r="CD77" i="88"/>
  <c r="CP76" i="88"/>
  <c r="CP75" i="88"/>
  <c r="CP74" i="88"/>
  <c r="CP73" i="88"/>
  <c r="CE72" i="88"/>
  <c r="CE71" i="88" s="1"/>
  <c r="CF72" i="88" s="1"/>
  <c r="CF71" i="88" s="1"/>
  <c r="CD72" i="88"/>
  <c r="CP72" i="88" s="1"/>
  <c r="CD71" i="88"/>
  <c r="CP70" i="88"/>
  <c r="CP69" i="88"/>
  <c r="CP68" i="88"/>
  <c r="CP67" i="88"/>
  <c r="CE66" i="88"/>
  <c r="CD66" i="88"/>
  <c r="CP66" i="88" s="1"/>
  <c r="CE65" i="88"/>
  <c r="CF66" i="88" s="1"/>
  <c r="CF65" i="88" s="1"/>
  <c r="CD65" i="88"/>
  <c r="CP64" i="88"/>
  <c r="CP63" i="88"/>
  <c r="CP62" i="88"/>
  <c r="CP61" i="88"/>
  <c r="CE60" i="88"/>
  <c r="CD60" i="88"/>
  <c r="CP60" i="88" s="1"/>
  <c r="CE59" i="88"/>
  <c r="CF60" i="88" s="1"/>
  <c r="CF59" i="88" s="1"/>
  <c r="CD59" i="88"/>
  <c r="CP58" i="88"/>
  <c r="CP57" i="88"/>
  <c r="CP56" i="88"/>
  <c r="CP55" i="88"/>
  <c r="CD54" i="88"/>
  <c r="CP54" i="88" s="1"/>
  <c r="CD53" i="88"/>
  <c r="CP52" i="88"/>
  <c r="CP51" i="88"/>
  <c r="CP50" i="88"/>
  <c r="CP49" i="88"/>
  <c r="CE48" i="88"/>
  <c r="CD48" i="88"/>
  <c r="CP48" i="88" s="1"/>
  <c r="CE47" i="88"/>
  <c r="CF48" i="88" s="1"/>
  <c r="CF47" i="88" s="1"/>
  <c r="CD47" i="88"/>
  <c r="CP46" i="88"/>
  <c r="CP45" i="88"/>
  <c r="CP44" i="88"/>
  <c r="CP43" i="88"/>
  <c r="CD42" i="88"/>
  <c r="CP42" i="88" s="1"/>
  <c r="CD41" i="88"/>
  <c r="CP40" i="88"/>
  <c r="CP39" i="88"/>
  <c r="CP38" i="88"/>
  <c r="CP37" i="88"/>
  <c r="CD36" i="88"/>
  <c r="CP36" i="88" s="1"/>
  <c r="CD35" i="88"/>
  <c r="CP34" i="88"/>
  <c r="CP33" i="88"/>
  <c r="CP32" i="88"/>
  <c r="CP31" i="88"/>
  <c r="CD30" i="88"/>
  <c r="CP30" i="88" s="1"/>
  <c r="CD29" i="88"/>
  <c r="CP28" i="88"/>
  <c r="CP27" i="88"/>
  <c r="CP26" i="88"/>
  <c r="CP25" i="88"/>
  <c r="CE24" i="88"/>
  <c r="CE23" i="88" s="1"/>
  <c r="CF24" i="88" s="1"/>
  <c r="CF23" i="88" s="1"/>
  <c r="CD24" i="88"/>
  <c r="CP24" i="88" s="1"/>
  <c r="CD23" i="88"/>
  <c r="CP22" i="88"/>
  <c r="CP21" i="88"/>
  <c r="CP20" i="88"/>
  <c r="CP19" i="88"/>
  <c r="CE18" i="88"/>
  <c r="CD18" i="88"/>
  <c r="CP18" i="88" s="1"/>
  <c r="CE17" i="88"/>
  <c r="CF18" i="88" s="1"/>
  <c r="CF17" i="88" s="1"/>
  <c r="CD17" i="88"/>
  <c r="CP16" i="88"/>
  <c r="CP15" i="88"/>
  <c r="CP14" i="88"/>
  <c r="CP13" i="88"/>
  <c r="CE12" i="88"/>
  <c r="CD12" i="88"/>
  <c r="CP12" i="88" s="1"/>
  <c r="CE11" i="88"/>
  <c r="CF12" i="88" s="1"/>
  <c r="CF11" i="88" s="1"/>
  <c r="CD11" i="88"/>
  <c r="CP10" i="88"/>
  <c r="CP9" i="88"/>
  <c r="CP8" i="88"/>
  <c r="CP7" i="88"/>
  <c r="CE6" i="88"/>
  <c r="CE90" i="88" s="1"/>
  <c r="CE89" i="88" s="1"/>
  <c r="CD6" i="88"/>
  <c r="CP6" i="88" s="1"/>
  <c r="CD5" i="88"/>
  <c r="CP83" i="88" l="1"/>
  <c r="CN89" i="88"/>
  <c r="CP94" i="88"/>
  <c r="CP77" i="88"/>
  <c r="CP47" i="88"/>
  <c r="CJ89" i="88"/>
  <c r="CP91" i="88"/>
  <c r="CP29" i="88"/>
  <c r="CP41" i="88"/>
  <c r="CP71" i="88"/>
  <c r="CP23" i="88"/>
  <c r="CP59" i="88"/>
  <c r="CP65" i="88"/>
  <c r="CP92" i="88"/>
  <c r="CP93" i="88"/>
  <c r="CP11" i="88"/>
  <c r="CP17" i="88"/>
  <c r="CP35" i="88"/>
  <c r="CP53" i="88"/>
  <c r="CP5" i="88"/>
  <c r="CP90" i="88"/>
  <c r="CE5" i="88"/>
  <c r="CF6" i="88" s="1"/>
  <c r="CP89" i="88" l="1"/>
  <c r="CF90" i="88"/>
  <c r="CF89" i="88" s="1"/>
  <c r="CF5" i="88"/>
  <c r="D8" i="38" l="1"/>
  <c r="D5" i="38" s="1"/>
  <c r="BZ84" i="88" l="1"/>
  <c r="BZ83" i="88" s="1"/>
  <c r="CA84" i="88" s="1"/>
  <c r="CA83" i="88" s="1"/>
  <c r="CB84" i="88" s="1"/>
  <c r="CB83" i="88" s="1"/>
  <c r="BZ78" i="88"/>
  <c r="BZ77" i="88"/>
  <c r="CA78" i="88" s="1"/>
  <c r="CA77" i="88" s="1"/>
  <c r="CB78" i="88" s="1"/>
  <c r="CB77" i="88" s="1"/>
  <c r="BZ72" i="88"/>
  <c r="BZ71" i="88" s="1"/>
  <c r="CA72" i="88" s="1"/>
  <c r="CA71" i="88" s="1"/>
  <c r="CB72" i="88" s="1"/>
  <c r="CB71" i="88" s="1"/>
  <c r="BZ66" i="88"/>
  <c r="BZ65" i="88"/>
  <c r="CA66" i="88" s="1"/>
  <c r="CA65" i="88" s="1"/>
  <c r="CB66" i="88" s="1"/>
  <c r="CB65" i="88" s="1"/>
  <c r="BZ60" i="88"/>
  <c r="BZ59" i="88" s="1"/>
  <c r="CA60" i="88" s="1"/>
  <c r="CA59" i="88" s="1"/>
  <c r="CB60" i="88" s="1"/>
  <c r="CB59" i="88" s="1"/>
  <c r="BZ48" i="88"/>
  <c r="BZ47" i="88"/>
  <c r="CA48" i="88" s="1"/>
  <c r="CA47" i="88" s="1"/>
  <c r="CB48" i="88" s="1"/>
  <c r="CB47" i="88" s="1"/>
  <c r="BZ24" i="88"/>
  <c r="BZ23" i="88" s="1"/>
  <c r="CA24" i="88" s="1"/>
  <c r="CA23" i="88" s="1"/>
  <c r="CB24" i="88" s="1"/>
  <c r="CB23" i="88" s="1"/>
  <c r="BZ18" i="88"/>
  <c r="BZ17" i="88"/>
  <c r="CA18" i="88" s="1"/>
  <c r="CA17" i="88" s="1"/>
  <c r="CB18" i="88" s="1"/>
  <c r="CB17" i="88" s="1"/>
  <c r="BZ12" i="88"/>
  <c r="BZ11" i="88" s="1"/>
  <c r="CA12" i="88" s="1"/>
  <c r="CA11" i="88" s="1"/>
  <c r="CB12" i="88" s="1"/>
  <c r="CB11" i="88" s="1"/>
  <c r="BZ6" i="88"/>
  <c r="BZ5" i="88"/>
  <c r="CA6" i="88" s="1"/>
  <c r="CA5" i="88" s="1"/>
  <c r="CB6" i="88" s="1"/>
  <c r="CB5" i="88" s="1"/>
  <c r="F139" i="104" l="1"/>
  <c r="F138" i="104"/>
  <c r="F137" i="104"/>
  <c r="F136" i="104"/>
  <c r="F135" i="104"/>
  <c r="F134" i="104"/>
  <c r="F87" i="104"/>
  <c r="F86" i="104"/>
  <c r="F85" i="104"/>
  <c r="F84" i="104"/>
  <c r="F83" i="104"/>
  <c r="F82" i="104"/>
  <c r="F81" i="104"/>
  <c r="F80" i="104"/>
  <c r="F79" i="104"/>
  <c r="F78" i="104"/>
  <c r="F77" i="104"/>
  <c r="F76" i="104"/>
  <c r="F75" i="104"/>
  <c r="F74" i="104"/>
  <c r="F73" i="104"/>
  <c r="F72" i="104"/>
  <c r="F71" i="104"/>
  <c r="F70" i="104"/>
  <c r="F69" i="104"/>
  <c r="F68" i="104"/>
  <c r="F67" i="104"/>
  <c r="F66" i="104"/>
  <c r="F65" i="104"/>
  <c r="F64" i="104"/>
  <c r="F63" i="104"/>
  <c r="F62" i="104"/>
  <c r="F61" i="104"/>
  <c r="F60" i="104"/>
  <c r="F59" i="104"/>
  <c r="F58" i="104"/>
  <c r="F57" i="104"/>
  <c r="F56" i="104"/>
  <c r="F55" i="104"/>
  <c r="F54" i="104"/>
  <c r="F53" i="104"/>
  <c r="F52" i="104"/>
  <c r="F51" i="104"/>
  <c r="F50" i="104"/>
  <c r="F49" i="104"/>
  <c r="F48" i="104"/>
  <c r="F47" i="104"/>
  <c r="F46" i="104"/>
  <c r="F45" i="104"/>
  <c r="F44" i="104"/>
  <c r="F43" i="104"/>
  <c r="F42" i="104"/>
  <c r="F41" i="104"/>
  <c r="F40" i="104"/>
  <c r="F39" i="104"/>
  <c r="F38" i="104"/>
  <c r="F37" i="104"/>
  <c r="F36" i="104"/>
  <c r="F35" i="104"/>
  <c r="F34" i="104"/>
  <c r="F33" i="104"/>
  <c r="F32" i="104"/>
  <c r="F31" i="104"/>
  <c r="F30" i="104"/>
  <c r="F29" i="104"/>
  <c r="F28" i="104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N10" i="104"/>
  <c r="F10" i="104"/>
  <c r="F9" i="104"/>
  <c r="F8" i="104"/>
  <c r="F7" i="104"/>
  <c r="G33" i="104" l="1"/>
  <c r="G53" i="104"/>
  <c r="G23" i="104"/>
  <c r="G21" i="104"/>
  <c r="G14" i="104"/>
  <c r="G34" i="104"/>
  <c r="G50" i="104"/>
  <c r="G64" i="104"/>
  <c r="G80" i="104"/>
  <c r="G139" i="104"/>
  <c r="F140" i="104"/>
  <c r="G15" i="104" s="1"/>
  <c r="G67" i="104"/>
  <c r="G69" i="104"/>
  <c r="G75" i="104"/>
  <c r="G79" i="104"/>
  <c r="G87" i="104"/>
  <c r="G134" i="104"/>
  <c r="G138" i="104"/>
  <c r="I15" i="104" l="1"/>
  <c r="H15" i="104"/>
  <c r="J15" i="104" s="1"/>
  <c r="I67" i="104"/>
  <c r="H67" i="104"/>
  <c r="J67" i="104" s="1"/>
  <c r="H64" i="104"/>
  <c r="I64" i="104"/>
  <c r="H14" i="104"/>
  <c r="I14" i="104"/>
  <c r="I23" i="104"/>
  <c r="H23" i="104"/>
  <c r="J23" i="104" s="1"/>
  <c r="I87" i="104"/>
  <c r="H87" i="104"/>
  <c r="J87" i="104" s="1"/>
  <c r="G73" i="104"/>
  <c r="G65" i="104"/>
  <c r="G137" i="104"/>
  <c r="G76" i="104"/>
  <c r="G60" i="104"/>
  <c r="G46" i="104"/>
  <c r="G30" i="104"/>
  <c r="G8" i="104"/>
  <c r="G13" i="104"/>
  <c r="G19" i="104"/>
  <c r="G49" i="104"/>
  <c r="G25" i="104"/>
  <c r="I75" i="104"/>
  <c r="H75" i="104"/>
  <c r="J75" i="104" s="1"/>
  <c r="H80" i="104"/>
  <c r="I80" i="104"/>
  <c r="H34" i="104"/>
  <c r="I34" i="104"/>
  <c r="I21" i="104"/>
  <c r="H21" i="104"/>
  <c r="J21" i="104" s="1"/>
  <c r="I53" i="104"/>
  <c r="H53" i="104"/>
  <c r="J53" i="104" s="1"/>
  <c r="I33" i="104"/>
  <c r="H33" i="104"/>
  <c r="J33" i="104" s="1"/>
  <c r="G83" i="104"/>
  <c r="G71" i="104"/>
  <c r="G7" i="104"/>
  <c r="G135" i="104"/>
  <c r="G72" i="104"/>
  <c r="G61" i="104"/>
  <c r="G42" i="104"/>
  <c r="G22" i="104"/>
  <c r="G37" i="104"/>
  <c r="G10" i="104"/>
  <c r="G17" i="104"/>
  <c r="G45" i="104"/>
  <c r="H134" i="104"/>
  <c r="I134" i="104"/>
  <c r="I139" i="104"/>
  <c r="H139" i="104"/>
  <c r="J139" i="104" s="1"/>
  <c r="H50" i="104"/>
  <c r="I50" i="104"/>
  <c r="H138" i="104"/>
  <c r="I138" i="104"/>
  <c r="I79" i="104"/>
  <c r="H79" i="104"/>
  <c r="J79" i="104" s="1"/>
  <c r="I69" i="104"/>
  <c r="H69" i="104"/>
  <c r="J69" i="104" s="1"/>
  <c r="G85" i="104"/>
  <c r="G81" i="104"/>
  <c r="G77" i="104"/>
  <c r="G133" i="104"/>
  <c r="G132" i="104"/>
  <c r="G131" i="104"/>
  <c r="G130" i="104"/>
  <c r="G129" i="104"/>
  <c r="G128" i="104"/>
  <c r="G127" i="104"/>
  <c r="G126" i="104"/>
  <c r="G125" i="104"/>
  <c r="G124" i="104"/>
  <c r="G123" i="104"/>
  <c r="G122" i="104"/>
  <c r="G121" i="104"/>
  <c r="G120" i="104"/>
  <c r="G119" i="104"/>
  <c r="G118" i="104"/>
  <c r="G117" i="104"/>
  <c r="G116" i="104"/>
  <c r="G115" i="104"/>
  <c r="G114" i="104"/>
  <c r="G113" i="104"/>
  <c r="G112" i="104"/>
  <c r="G111" i="104"/>
  <c r="G110" i="104"/>
  <c r="G109" i="104"/>
  <c r="G108" i="104"/>
  <c r="G107" i="104"/>
  <c r="G106" i="104"/>
  <c r="G105" i="104"/>
  <c r="G104" i="104"/>
  <c r="G103" i="104"/>
  <c r="G102" i="104"/>
  <c r="G101" i="104"/>
  <c r="G100" i="104"/>
  <c r="G99" i="104"/>
  <c r="G98" i="104"/>
  <c r="G97" i="104"/>
  <c r="G96" i="104"/>
  <c r="G95" i="104"/>
  <c r="G94" i="104"/>
  <c r="G93" i="104"/>
  <c r="G92" i="104"/>
  <c r="G91" i="104"/>
  <c r="G90" i="104"/>
  <c r="G89" i="104"/>
  <c r="G88" i="104"/>
  <c r="G63" i="104"/>
  <c r="G59" i="104"/>
  <c r="G55" i="104"/>
  <c r="G51" i="104"/>
  <c r="G47" i="104"/>
  <c r="G43" i="104"/>
  <c r="G39" i="104"/>
  <c r="G35" i="104"/>
  <c r="G31" i="104"/>
  <c r="G136" i="104"/>
  <c r="G86" i="104"/>
  <c r="G82" i="104"/>
  <c r="G78" i="104"/>
  <c r="G74" i="104"/>
  <c r="G70" i="104"/>
  <c r="G66" i="104"/>
  <c r="G26" i="104"/>
  <c r="G58" i="104"/>
  <c r="G56" i="104"/>
  <c r="G48" i="104"/>
  <c r="G36" i="104"/>
  <c r="G32" i="104"/>
  <c r="G12" i="104"/>
  <c r="G9" i="104"/>
  <c r="G44" i="104"/>
  <c r="G28" i="104"/>
  <c r="G20" i="104"/>
  <c r="G62" i="104"/>
  <c r="G52" i="104"/>
  <c r="G40" i="104"/>
  <c r="G24" i="104"/>
  <c r="G16" i="104"/>
  <c r="G84" i="104"/>
  <c r="G68" i="104"/>
  <c r="G54" i="104"/>
  <c r="G38" i="104"/>
  <c r="G18" i="104"/>
  <c r="G27" i="104"/>
  <c r="G29" i="104"/>
  <c r="G57" i="104"/>
  <c r="G41" i="104"/>
  <c r="G11" i="104"/>
  <c r="I29" i="104" l="1"/>
  <c r="H29" i="104"/>
  <c r="J29" i="104" s="1"/>
  <c r="I24" i="104"/>
  <c r="H24" i="104"/>
  <c r="J24" i="104" s="1"/>
  <c r="I20" i="104"/>
  <c r="H20" i="104"/>
  <c r="J20" i="104" s="1"/>
  <c r="I70" i="104"/>
  <c r="H70" i="104"/>
  <c r="J70" i="104" s="1"/>
  <c r="I39" i="104"/>
  <c r="H39" i="104"/>
  <c r="J39" i="104" s="1"/>
  <c r="I89" i="104"/>
  <c r="H89" i="104"/>
  <c r="J89" i="104" s="1"/>
  <c r="I97" i="104"/>
  <c r="H97" i="104"/>
  <c r="J97" i="104" s="1"/>
  <c r="I109" i="104"/>
  <c r="H109" i="104"/>
  <c r="J109" i="104" s="1"/>
  <c r="I117" i="104"/>
  <c r="H117" i="104"/>
  <c r="J117" i="104" s="1"/>
  <c r="I125" i="104"/>
  <c r="H125" i="104"/>
  <c r="J125" i="104" s="1"/>
  <c r="I45" i="104"/>
  <c r="H45" i="104"/>
  <c r="J45" i="104" s="1"/>
  <c r="I135" i="104"/>
  <c r="H135" i="104"/>
  <c r="J135" i="104" s="1"/>
  <c r="I8" i="104"/>
  <c r="H8" i="104"/>
  <c r="J8" i="104" s="1"/>
  <c r="I11" i="104"/>
  <c r="H11" i="104"/>
  <c r="J11" i="104" s="1"/>
  <c r="I27" i="104"/>
  <c r="H27" i="104"/>
  <c r="J27" i="104" s="1"/>
  <c r="H68" i="104"/>
  <c r="I68" i="104"/>
  <c r="I40" i="104"/>
  <c r="H40" i="104"/>
  <c r="J40" i="104" s="1"/>
  <c r="I28" i="104"/>
  <c r="H28" i="104"/>
  <c r="J28" i="104" s="1"/>
  <c r="I32" i="104"/>
  <c r="H32" i="104"/>
  <c r="J32" i="104" s="1"/>
  <c r="I58" i="104"/>
  <c r="H58" i="104"/>
  <c r="J58" i="104" s="1"/>
  <c r="I74" i="104"/>
  <c r="H74" i="104"/>
  <c r="J74" i="104" s="1"/>
  <c r="I136" i="104"/>
  <c r="H136" i="104"/>
  <c r="J136" i="104" s="1"/>
  <c r="I43" i="104"/>
  <c r="H43" i="104"/>
  <c r="J43" i="104" s="1"/>
  <c r="I59" i="104"/>
  <c r="H59" i="104"/>
  <c r="J59" i="104" s="1"/>
  <c r="I90" i="104"/>
  <c r="H90" i="104"/>
  <c r="J90" i="104" s="1"/>
  <c r="I94" i="104"/>
  <c r="H94" i="104"/>
  <c r="J94" i="104" s="1"/>
  <c r="I98" i="104"/>
  <c r="H98" i="104"/>
  <c r="J98" i="104" s="1"/>
  <c r="I102" i="104"/>
  <c r="H102" i="104"/>
  <c r="J102" i="104" s="1"/>
  <c r="I106" i="104"/>
  <c r="H106" i="104"/>
  <c r="J106" i="104" s="1"/>
  <c r="I110" i="104"/>
  <c r="H110" i="104"/>
  <c r="J110" i="104" s="1"/>
  <c r="I114" i="104"/>
  <c r="H114" i="104"/>
  <c r="J114" i="104" s="1"/>
  <c r="I118" i="104"/>
  <c r="H118" i="104"/>
  <c r="J118" i="104" s="1"/>
  <c r="I122" i="104"/>
  <c r="H122" i="104"/>
  <c r="J122" i="104" s="1"/>
  <c r="I126" i="104"/>
  <c r="H126" i="104"/>
  <c r="J126" i="104" s="1"/>
  <c r="I130" i="104"/>
  <c r="H130" i="104"/>
  <c r="J130" i="104" s="1"/>
  <c r="I77" i="104"/>
  <c r="H77" i="104"/>
  <c r="J77" i="104" s="1"/>
  <c r="J138" i="104"/>
  <c r="I17" i="104"/>
  <c r="H17" i="104"/>
  <c r="J17" i="104" s="1"/>
  <c r="H42" i="104"/>
  <c r="J42" i="104" s="1"/>
  <c r="I42" i="104"/>
  <c r="G140" i="104"/>
  <c r="H7" i="104"/>
  <c r="I7" i="104"/>
  <c r="J80" i="104"/>
  <c r="I49" i="104"/>
  <c r="H49" i="104"/>
  <c r="J49" i="104" s="1"/>
  <c r="H30" i="104"/>
  <c r="J30" i="104" s="1"/>
  <c r="I30" i="104"/>
  <c r="I137" i="104"/>
  <c r="H137" i="104"/>
  <c r="J137" i="104" s="1"/>
  <c r="J14" i="104"/>
  <c r="H54" i="104"/>
  <c r="I54" i="104"/>
  <c r="I12" i="104"/>
  <c r="H12" i="104"/>
  <c r="J12" i="104" s="1"/>
  <c r="I86" i="104"/>
  <c r="H86" i="104"/>
  <c r="J86" i="104" s="1"/>
  <c r="I55" i="104"/>
  <c r="H55" i="104"/>
  <c r="J55" i="104" s="1"/>
  <c r="I93" i="104"/>
  <c r="H93" i="104"/>
  <c r="J93" i="104" s="1"/>
  <c r="I101" i="104"/>
  <c r="H101" i="104"/>
  <c r="J101" i="104" s="1"/>
  <c r="I113" i="104"/>
  <c r="H113" i="104"/>
  <c r="J113" i="104" s="1"/>
  <c r="I121" i="104"/>
  <c r="H121" i="104"/>
  <c r="J121" i="104" s="1"/>
  <c r="I129" i="104"/>
  <c r="H129" i="104"/>
  <c r="J129" i="104" s="1"/>
  <c r="I133" i="104"/>
  <c r="H133" i="104"/>
  <c r="J133" i="104" s="1"/>
  <c r="H22" i="104"/>
  <c r="I22" i="104"/>
  <c r="I25" i="104"/>
  <c r="H25" i="104"/>
  <c r="J25" i="104" s="1"/>
  <c r="H76" i="104"/>
  <c r="I76" i="104"/>
  <c r="I41" i="104"/>
  <c r="H41" i="104"/>
  <c r="J41" i="104" s="1"/>
  <c r="H18" i="104"/>
  <c r="I18" i="104"/>
  <c r="H84" i="104"/>
  <c r="I84" i="104"/>
  <c r="I52" i="104"/>
  <c r="H52" i="104"/>
  <c r="J52" i="104" s="1"/>
  <c r="I44" i="104"/>
  <c r="H44" i="104"/>
  <c r="J44" i="104" s="1"/>
  <c r="I36" i="104"/>
  <c r="H36" i="104"/>
  <c r="J36" i="104" s="1"/>
  <c r="H26" i="104"/>
  <c r="I26" i="104"/>
  <c r="I78" i="104"/>
  <c r="H78" i="104"/>
  <c r="J78" i="104" s="1"/>
  <c r="I31" i="104"/>
  <c r="H31" i="104"/>
  <c r="J31" i="104" s="1"/>
  <c r="I47" i="104"/>
  <c r="H47" i="104"/>
  <c r="J47" i="104" s="1"/>
  <c r="I63" i="104"/>
  <c r="H63" i="104"/>
  <c r="J63" i="104" s="1"/>
  <c r="I91" i="104"/>
  <c r="H91" i="104"/>
  <c r="J91" i="104" s="1"/>
  <c r="I95" i="104"/>
  <c r="H95" i="104"/>
  <c r="J95" i="104" s="1"/>
  <c r="I99" i="104"/>
  <c r="H99" i="104"/>
  <c r="J99" i="104" s="1"/>
  <c r="I103" i="104"/>
  <c r="H103" i="104"/>
  <c r="J103" i="104" s="1"/>
  <c r="I107" i="104"/>
  <c r="H107" i="104"/>
  <c r="J107" i="104" s="1"/>
  <c r="I111" i="104"/>
  <c r="H111" i="104"/>
  <c r="J111" i="104" s="1"/>
  <c r="I115" i="104"/>
  <c r="H115" i="104"/>
  <c r="J115" i="104" s="1"/>
  <c r="I119" i="104"/>
  <c r="H119" i="104"/>
  <c r="J119" i="104" s="1"/>
  <c r="I123" i="104"/>
  <c r="H123" i="104"/>
  <c r="J123" i="104" s="1"/>
  <c r="I127" i="104"/>
  <c r="H127" i="104"/>
  <c r="J127" i="104" s="1"/>
  <c r="I131" i="104"/>
  <c r="H131" i="104"/>
  <c r="J131" i="104" s="1"/>
  <c r="I81" i="104"/>
  <c r="H81" i="104"/>
  <c r="J81" i="104" s="1"/>
  <c r="I10" i="104"/>
  <c r="H10" i="104"/>
  <c r="J10" i="104" s="1"/>
  <c r="I61" i="104"/>
  <c r="H61" i="104"/>
  <c r="J61" i="104" s="1"/>
  <c r="I71" i="104"/>
  <c r="H71" i="104"/>
  <c r="J71" i="104" s="1"/>
  <c r="I19" i="104"/>
  <c r="H19" i="104"/>
  <c r="J19" i="104" s="1"/>
  <c r="H46" i="104"/>
  <c r="I46" i="104"/>
  <c r="I65" i="104"/>
  <c r="H65" i="104"/>
  <c r="J65" i="104" s="1"/>
  <c r="I56" i="104"/>
  <c r="H56" i="104"/>
  <c r="J56" i="104" s="1"/>
  <c r="I105" i="104"/>
  <c r="H105" i="104"/>
  <c r="J105" i="104" s="1"/>
  <c r="I57" i="104"/>
  <c r="H57" i="104"/>
  <c r="J57" i="104" s="1"/>
  <c r="H38" i="104"/>
  <c r="I38" i="104"/>
  <c r="I16" i="104"/>
  <c r="H16" i="104"/>
  <c r="J16" i="104" s="1"/>
  <c r="I62" i="104"/>
  <c r="H62" i="104"/>
  <c r="J62" i="104" s="1"/>
  <c r="I9" i="104"/>
  <c r="H9" i="104"/>
  <c r="J9" i="104" s="1"/>
  <c r="I48" i="104"/>
  <c r="H48" i="104"/>
  <c r="J48" i="104" s="1"/>
  <c r="I66" i="104"/>
  <c r="H66" i="104"/>
  <c r="J66" i="104" s="1"/>
  <c r="I82" i="104"/>
  <c r="H82" i="104"/>
  <c r="J82" i="104" s="1"/>
  <c r="I35" i="104"/>
  <c r="H35" i="104"/>
  <c r="J35" i="104" s="1"/>
  <c r="I51" i="104"/>
  <c r="H51" i="104"/>
  <c r="J51" i="104" s="1"/>
  <c r="I88" i="104"/>
  <c r="H88" i="104"/>
  <c r="J88" i="104" s="1"/>
  <c r="I92" i="104"/>
  <c r="H92" i="104"/>
  <c r="J92" i="104" s="1"/>
  <c r="I96" i="104"/>
  <c r="H96" i="104"/>
  <c r="J96" i="104" s="1"/>
  <c r="I100" i="104"/>
  <c r="H100" i="104"/>
  <c r="J100" i="104" s="1"/>
  <c r="I104" i="104"/>
  <c r="H104" i="104"/>
  <c r="J104" i="104" s="1"/>
  <c r="I108" i="104"/>
  <c r="H108" i="104"/>
  <c r="J108" i="104" s="1"/>
  <c r="I112" i="104"/>
  <c r="H112" i="104"/>
  <c r="J112" i="104" s="1"/>
  <c r="I116" i="104"/>
  <c r="H116" i="104"/>
  <c r="J116" i="104" s="1"/>
  <c r="I120" i="104"/>
  <c r="H120" i="104"/>
  <c r="J120" i="104" s="1"/>
  <c r="I124" i="104"/>
  <c r="H124" i="104"/>
  <c r="J124" i="104" s="1"/>
  <c r="I128" i="104"/>
  <c r="H128" i="104"/>
  <c r="J128" i="104" s="1"/>
  <c r="I132" i="104"/>
  <c r="H132" i="104"/>
  <c r="J132" i="104" s="1"/>
  <c r="I85" i="104"/>
  <c r="H85" i="104"/>
  <c r="J85" i="104" s="1"/>
  <c r="J50" i="104"/>
  <c r="J134" i="104"/>
  <c r="I37" i="104"/>
  <c r="H37" i="104"/>
  <c r="J37" i="104" s="1"/>
  <c r="H72" i="104"/>
  <c r="I72" i="104"/>
  <c r="I83" i="104"/>
  <c r="H83" i="104"/>
  <c r="J83" i="104" s="1"/>
  <c r="J34" i="104"/>
  <c r="I13" i="104"/>
  <c r="H13" i="104"/>
  <c r="H60" i="104"/>
  <c r="I60" i="104"/>
  <c r="I73" i="104"/>
  <c r="H73" i="104"/>
  <c r="J64" i="104"/>
  <c r="I140" i="104" l="1"/>
  <c r="J72" i="104"/>
  <c r="J38" i="104"/>
  <c r="J84" i="104"/>
  <c r="H140" i="104"/>
  <c r="J7" i="104"/>
  <c r="J68" i="104"/>
  <c r="J60" i="104"/>
  <c r="J26" i="104"/>
  <c r="J73" i="104"/>
  <c r="J13" i="104"/>
  <c r="J46" i="104"/>
  <c r="J18" i="104"/>
  <c r="J76" i="104"/>
  <c r="J22" i="104"/>
  <c r="J54" i="104"/>
  <c r="J140" i="104" l="1"/>
  <c r="H13" i="38" l="1"/>
  <c r="F16" i="100" l="1"/>
  <c r="F17" i="100" s="1"/>
  <c r="H23" i="38" s="1"/>
  <c r="BQ84" i="88" l="1"/>
  <c r="BQ83" i="88"/>
  <c r="BR84" i="88" s="1"/>
  <c r="BR83" i="88" s="1"/>
  <c r="BS84" i="88" s="1"/>
  <c r="BS83" i="88" s="1"/>
  <c r="BT84" i="88" s="1"/>
  <c r="BT83" i="88" s="1"/>
  <c r="BU84" i="88" s="1"/>
  <c r="BU83" i="88" s="1"/>
  <c r="BV84" i="88" s="1"/>
  <c r="BV83" i="88" s="1"/>
  <c r="BW84" i="88" s="1"/>
  <c r="BW83" i="88" s="1"/>
  <c r="BX84" i="88" s="1"/>
  <c r="BX83" i="88" s="1"/>
  <c r="BY84" i="88" s="1"/>
  <c r="BY83" i="88" s="1"/>
  <c r="BQ78" i="88"/>
  <c r="BQ77" i="88"/>
  <c r="BR78" i="88" s="1"/>
  <c r="BR77" i="88" s="1"/>
  <c r="BS78" i="88" s="1"/>
  <c r="BS77" i="88" s="1"/>
  <c r="BT78" i="88" s="1"/>
  <c r="BT77" i="88" s="1"/>
  <c r="BU78" i="88" s="1"/>
  <c r="BU77" i="88" s="1"/>
  <c r="BV78" i="88" s="1"/>
  <c r="BV77" i="88" s="1"/>
  <c r="BW78" i="88" s="1"/>
  <c r="BW77" i="88" s="1"/>
  <c r="BX78" i="88" s="1"/>
  <c r="BX77" i="88" s="1"/>
  <c r="BY78" i="88" s="1"/>
  <c r="BY77" i="88" s="1"/>
  <c r="BQ72" i="88"/>
  <c r="BQ71" i="88"/>
  <c r="BR72" i="88" s="1"/>
  <c r="BR71" i="88" s="1"/>
  <c r="BS72" i="88" s="1"/>
  <c r="BS71" i="88" s="1"/>
  <c r="BT72" i="88" s="1"/>
  <c r="BT71" i="88" s="1"/>
  <c r="BU72" i="88" s="1"/>
  <c r="BU71" i="88" s="1"/>
  <c r="BV72" i="88" s="1"/>
  <c r="BV71" i="88" s="1"/>
  <c r="BW72" i="88" s="1"/>
  <c r="BW71" i="88" s="1"/>
  <c r="BX72" i="88" s="1"/>
  <c r="BX71" i="88" s="1"/>
  <c r="BY72" i="88" s="1"/>
  <c r="BY71" i="88" s="1"/>
  <c r="BQ66" i="88"/>
  <c r="BQ65" i="88"/>
  <c r="BR66" i="88" s="1"/>
  <c r="BR65" i="88" s="1"/>
  <c r="BS66" i="88" s="1"/>
  <c r="BS65" i="88" s="1"/>
  <c r="BT66" i="88" s="1"/>
  <c r="BT65" i="88" s="1"/>
  <c r="BU66" i="88" s="1"/>
  <c r="BU65" i="88" s="1"/>
  <c r="BV66" i="88" s="1"/>
  <c r="BV65" i="88" s="1"/>
  <c r="BW66" i="88" s="1"/>
  <c r="BW65" i="88" s="1"/>
  <c r="BX66" i="88" s="1"/>
  <c r="BX65" i="88" s="1"/>
  <c r="BY66" i="88" s="1"/>
  <c r="BY65" i="88" s="1"/>
  <c r="BQ60" i="88"/>
  <c r="BQ59" i="88"/>
  <c r="BR60" i="88" s="1"/>
  <c r="BR59" i="88" s="1"/>
  <c r="BS60" i="88" s="1"/>
  <c r="BS59" i="88" s="1"/>
  <c r="BT60" i="88" s="1"/>
  <c r="BT59" i="88" s="1"/>
  <c r="BU60" i="88" s="1"/>
  <c r="BU59" i="88" s="1"/>
  <c r="BV60" i="88" s="1"/>
  <c r="BV59" i="88" s="1"/>
  <c r="BW60" i="88" s="1"/>
  <c r="BW59" i="88" s="1"/>
  <c r="BX60" i="88" s="1"/>
  <c r="BX59" i="88" s="1"/>
  <c r="BY60" i="88" s="1"/>
  <c r="BY59" i="88" s="1"/>
  <c r="BQ54" i="88"/>
  <c r="BQ53" i="88" s="1"/>
  <c r="BQ48" i="88"/>
  <c r="BQ47" i="88" s="1"/>
  <c r="BR48" i="88" s="1"/>
  <c r="BR47" i="88" s="1"/>
  <c r="BS48" i="88" s="1"/>
  <c r="BS47" i="88" s="1"/>
  <c r="BT48" i="88" s="1"/>
  <c r="BT47" i="88" s="1"/>
  <c r="BU48" i="88" s="1"/>
  <c r="BU47" i="88" s="1"/>
  <c r="BV48" i="88" s="1"/>
  <c r="BV47" i="88" s="1"/>
  <c r="BW48" i="88" s="1"/>
  <c r="BW47" i="88" s="1"/>
  <c r="BX48" i="88" s="1"/>
  <c r="BX47" i="88" s="1"/>
  <c r="BY48" i="88" s="1"/>
  <c r="BY47" i="88" s="1"/>
  <c r="BQ42" i="88"/>
  <c r="BQ41" i="88"/>
  <c r="BQ36" i="88"/>
  <c r="BQ35" i="88" s="1"/>
  <c r="BQ30" i="88"/>
  <c r="BQ29" i="88"/>
  <c r="BQ24" i="88"/>
  <c r="BQ23" i="88"/>
  <c r="BR24" i="88" s="1"/>
  <c r="BR23" i="88" s="1"/>
  <c r="BS24" i="88" s="1"/>
  <c r="BS23" i="88" s="1"/>
  <c r="BT24" i="88" s="1"/>
  <c r="BT23" i="88" s="1"/>
  <c r="BU24" i="88" s="1"/>
  <c r="BU23" i="88" s="1"/>
  <c r="BV24" i="88" s="1"/>
  <c r="BV23" i="88" s="1"/>
  <c r="BW24" i="88" s="1"/>
  <c r="BW23" i="88" s="1"/>
  <c r="BX24" i="88" s="1"/>
  <c r="BX23" i="88" s="1"/>
  <c r="BY24" i="88" s="1"/>
  <c r="BY23" i="88" s="1"/>
  <c r="BQ18" i="88"/>
  <c r="BQ17" i="88"/>
  <c r="BR18" i="88" s="1"/>
  <c r="BR17" i="88" s="1"/>
  <c r="BS18" i="88" s="1"/>
  <c r="BS17" i="88" s="1"/>
  <c r="BT18" i="88" s="1"/>
  <c r="BT17" i="88" s="1"/>
  <c r="BU18" i="88" s="1"/>
  <c r="BU17" i="88" s="1"/>
  <c r="BV18" i="88" s="1"/>
  <c r="BV17" i="88" s="1"/>
  <c r="BW18" i="88" s="1"/>
  <c r="BW17" i="88" s="1"/>
  <c r="BX18" i="88" s="1"/>
  <c r="BX17" i="88" s="1"/>
  <c r="BY18" i="88" s="1"/>
  <c r="BY17" i="88" s="1"/>
  <c r="BQ12" i="88"/>
  <c r="BQ11" i="88"/>
  <c r="BR12" i="88" s="1"/>
  <c r="BR11" i="88" s="1"/>
  <c r="BS12" i="88" s="1"/>
  <c r="BS11" i="88" s="1"/>
  <c r="BT12" i="88" s="1"/>
  <c r="BT11" i="88" s="1"/>
  <c r="BU12" i="88" s="1"/>
  <c r="BU11" i="88" s="1"/>
  <c r="BV12" i="88" s="1"/>
  <c r="BV11" i="88" s="1"/>
  <c r="BW12" i="88" s="1"/>
  <c r="BW11" i="88" s="1"/>
  <c r="BX12" i="88" s="1"/>
  <c r="BX11" i="88" s="1"/>
  <c r="BY12" i="88" s="1"/>
  <c r="BY11" i="88" s="1"/>
  <c r="BS9" i="88"/>
  <c r="BQ6" i="88"/>
  <c r="BQ5" i="88"/>
  <c r="BR6" i="88" s="1"/>
  <c r="BR5" i="88" s="1"/>
  <c r="BS6" i="88" s="1"/>
  <c r="BS5" i="88" s="1"/>
  <c r="BT6" i="88" s="1"/>
  <c r="BT5" i="88" s="1"/>
  <c r="BU6" i="88" s="1"/>
  <c r="BU5" i="88" s="1"/>
  <c r="BV6" i="88" s="1"/>
  <c r="BV5" i="88" s="1"/>
  <c r="BW6" i="88" s="1"/>
  <c r="BW5" i="88" s="1"/>
  <c r="BX6" i="88" s="1"/>
  <c r="BX5" i="88" s="1"/>
  <c r="BY6" i="88" s="1"/>
  <c r="BY5" i="88" s="1"/>
  <c r="D20" i="103"/>
  <c r="E43" i="79" l="1"/>
  <c r="C31" i="71" l="1"/>
  <c r="C14" i="75"/>
  <c r="C9" i="75"/>
  <c r="CB94" i="88" l="1"/>
  <c r="CA94" i="88"/>
  <c r="BZ94" i="88"/>
  <c r="BY94" i="88"/>
  <c r="BX94" i="88"/>
  <c r="BW94" i="88"/>
  <c r="BV94" i="88"/>
  <c r="BU94" i="88"/>
  <c r="BT94" i="88"/>
  <c r="BS94" i="88"/>
  <c r="BR94" i="88"/>
  <c r="BQ94" i="88"/>
  <c r="CB93" i="88"/>
  <c r="CA93" i="88"/>
  <c r="BZ93" i="88"/>
  <c r="BY93" i="88"/>
  <c r="BX93" i="88"/>
  <c r="BW93" i="88"/>
  <c r="BV93" i="88"/>
  <c r="BU93" i="88"/>
  <c r="BT93" i="88"/>
  <c r="BS93" i="88"/>
  <c r="BR93" i="88"/>
  <c r="BQ93" i="88"/>
  <c r="CB92" i="88"/>
  <c r="CA92" i="88"/>
  <c r="BZ92" i="88"/>
  <c r="BY92" i="88"/>
  <c r="BX92" i="88"/>
  <c r="BW92" i="88"/>
  <c r="BV92" i="88"/>
  <c r="BU92" i="88"/>
  <c r="BT92" i="88"/>
  <c r="BS92" i="88"/>
  <c r="BR92" i="88"/>
  <c r="BQ92" i="88"/>
  <c r="CB91" i="88"/>
  <c r="CA91" i="88"/>
  <c r="BZ91" i="88"/>
  <c r="BY91" i="88"/>
  <c r="BX91" i="88"/>
  <c r="BW91" i="88"/>
  <c r="BV91" i="88"/>
  <c r="BU91" i="88"/>
  <c r="BT91" i="88"/>
  <c r="BS91" i="88"/>
  <c r="BR91" i="88"/>
  <c r="BQ91" i="88"/>
  <c r="CB90" i="88"/>
  <c r="CA90" i="88"/>
  <c r="BZ90" i="88"/>
  <c r="BZ89" i="88" s="1"/>
  <c r="BY90" i="88"/>
  <c r="BX90" i="88"/>
  <c r="BW90" i="88"/>
  <c r="BV90" i="88"/>
  <c r="BV89" i="88" s="1"/>
  <c r="BU90" i="88"/>
  <c r="BU89" i="88" s="1"/>
  <c r="BT90" i="88"/>
  <c r="BS90" i="88"/>
  <c r="CA89" i="88"/>
  <c r="BW89" i="88"/>
  <c r="BS89" i="88"/>
  <c r="CC88" i="88"/>
  <c r="CC87" i="88"/>
  <c r="CC86" i="88"/>
  <c r="CC85" i="88"/>
  <c r="CC84" i="88"/>
  <c r="CC82" i="88"/>
  <c r="CC81" i="88"/>
  <c r="CC80" i="88"/>
  <c r="CC79" i="88"/>
  <c r="CC78" i="88"/>
  <c r="CC76" i="88"/>
  <c r="CC75" i="88"/>
  <c r="CC74" i="88"/>
  <c r="CC73" i="88"/>
  <c r="CC72" i="88"/>
  <c r="CC70" i="88"/>
  <c r="CC69" i="88"/>
  <c r="CC68" i="88"/>
  <c r="CC67" i="88"/>
  <c r="CC66" i="88"/>
  <c r="CC64" i="88"/>
  <c r="CC63" i="88"/>
  <c r="CC62" i="88"/>
  <c r="CC61" i="88"/>
  <c r="CC60" i="88"/>
  <c r="CC58" i="88"/>
  <c r="CC57" i="88"/>
  <c r="CC56" i="88"/>
  <c r="CC55" i="88"/>
  <c r="CC54" i="88"/>
  <c r="CC52" i="88"/>
  <c r="CC51" i="88"/>
  <c r="CC50" i="88"/>
  <c r="CC49" i="88"/>
  <c r="CC48" i="88"/>
  <c r="CC46" i="88"/>
  <c r="CC45" i="88"/>
  <c r="CC44" i="88"/>
  <c r="CC43" i="88"/>
  <c r="CC40" i="88"/>
  <c r="CC39" i="88"/>
  <c r="CC38" i="88"/>
  <c r="CC37" i="88"/>
  <c r="CC34" i="88"/>
  <c r="CC33" i="88"/>
  <c r="CC32" i="88"/>
  <c r="CC31" i="88"/>
  <c r="CC28" i="88"/>
  <c r="CC27" i="88"/>
  <c r="CC26" i="88"/>
  <c r="CC25" i="88"/>
  <c r="CC24" i="88"/>
  <c r="CC22" i="88"/>
  <c r="CC21" i="88"/>
  <c r="CC20" i="88"/>
  <c r="CC19" i="88"/>
  <c r="CC18" i="88"/>
  <c r="CC16" i="88"/>
  <c r="CC15" i="88"/>
  <c r="CC14" i="88"/>
  <c r="CC13" i="88"/>
  <c r="CC12" i="88"/>
  <c r="CC10" i="88"/>
  <c r="CC9" i="88"/>
  <c r="CC8" i="88"/>
  <c r="CC7" i="88"/>
  <c r="CC6" i="88"/>
  <c r="BQ90" i="88"/>
  <c r="BQ89" i="88" s="1"/>
  <c r="CC77" i="88" l="1"/>
  <c r="CC17" i="88"/>
  <c r="CB89" i="88"/>
  <c r="CC93" i="88"/>
  <c r="CC47" i="88"/>
  <c r="CC53" i="88"/>
  <c r="CC94" i="88"/>
  <c r="BY89" i="88"/>
  <c r="CC23" i="88"/>
  <c r="CC91" i="88"/>
  <c r="CC11" i="88"/>
  <c r="CC83" i="88"/>
  <c r="CC59" i="88"/>
  <c r="CC92" i="88"/>
  <c r="CC65" i="88"/>
  <c r="CC71" i="88"/>
  <c r="BT89" i="88"/>
  <c r="BX89" i="88"/>
  <c r="CC30" i="88"/>
  <c r="CC29" i="88" s="1"/>
  <c r="CC36" i="88"/>
  <c r="CC35" i="88" s="1"/>
  <c r="CC42" i="88"/>
  <c r="CC41" i="88" s="1"/>
  <c r="CC5" i="88"/>
  <c r="BR90" i="88" l="1"/>
  <c r="BR89" i="88" s="1"/>
  <c r="CC90" i="88"/>
  <c r="CC89" i="88" s="1"/>
  <c r="G21" i="102"/>
  <c r="BM84" i="88" l="1"/>
  <c r="BM83" i="88" s="1"/>
  <c r="BN84" i="88" s="1"/>
  <c r="BN83" i="88" s="1"/>
  <c r="BO84" i="88" s="1"/>
  <c r="BO83" i="88" s="1"/>
  <c r="BM78" i="88"/>
  <c r="BM77" i="88"/>
  <c r="BN78" i="88" s="1"/>
  <c r="BN77" i="88" s="1"/>
  <c r="BO78" i="88" s="1"/>
  <c r="BO77" i="88" s="1"/>
  <c r="BM72" i="88"/>
  <c r="BM71" i="88" s="1"/>
  <c r="BN72" i="88" s="1"/>
  <c r="BN71" i="88" s="1"/>
  <c r="BO72" i="88" s="1"/>
  <c r="BO71" i="88" s="1"/>
  <c r="BM66" i="88"/>
  <c r="BM65" i="88"/>
  <c r="BN66" i="88" s="1"/>
  <c r="BN65" i="88" s="1"/>
  <c r="BO66" i="88" s="1"/>
  <c r="BO65" i="88" s="1"/>
  <c r="BM60" i="88"/>
  <c r="BM59" i="88" s="1"/>
  <c r="BN60" i="88" s="1"/>
  <c r="BN59" i="88" s="1"/>
  <c r="BO60" i="88" s="1"/>
  <c r="BO59" i="88" s="1"/>
  <c r="BM48" i="88"/>
  <c r="BM47" i="88"/>
  <c r="BN48" i="88" s="1"/>
  <c r="BN47" i="88" s="1"/>
  <c r="BO48" i="88" s="1"/>
  <c r="BO47" i="88" s="1"/>
  <c r="BM24" i="88"/>
  <c r="BM23" i="88" s="1"/>
  <c r="BN24" i="88" s="1"/>
  <c r="BN23" i="88" s="1"/>
  <c r="BO24" i="88" s="1"/>
  <c r="BO23" i="88" s="1"/>
  <c r="BM18" i="88"/>
  <c r="BM17" i="88"/>
  <c r="BN18" i="88" s="1"/>
  <c r="BN17" i="88" s="1"/>
  <c r="BO18" i="88" s="1"/>
  <c r="BO17" i="88" s="1"/>
  <c r="BM12" i="88"/>
  <c r="BM11" i="88" s="1"/>
  <c r="BN12" i="88" s="1"/>
  <c r="BN11" i="88" s="1"/>
  <c r="BO12" i="88" s="1"/>
  <c r="BO11" i="88" s="1"/>
  <c r="BO10" i="88"/>
  <c r="BM6" i="88"/>
  <c r="BM5" i="88" s="1"/>
  <c r="BN6" i="88" s="1"/>
  <c r="BN5" i="88" s="1"/>
  <c r="BO6" i="88" s="1"/>
  <c r="BO5" i="88" s="1"/>
  <c r="BJ84" i="88" l="1"/>
  <c r="BJ83" i="88" s="1"/>
  <c r="BK84" i="88" s="1"/>
  <c r="BK83" i="88" s="1"/>
  <c r="BL84" i="88" s="1"/>
  <c r="BL83" i="88" s="1"/>
  <c r="BK78" i="88"/>
  <c r="BK77" i="88" s="1"/>
  <c r="BL78" i="88" s="1"/>
  <c r="BL77" i="88" s="1"/>
  <c r="BJ78" i="88"/>
  <c r="BJ77" i="88"/>
  <c r="BJ72" i="88"/>
  <c r="BJ71" i="88" s="1"/>
  <c r="BK72" i="88" s="1"/>
  <c r="BK71" i="88" s="1"/>
  <c r="BL72" i="88" s="1"/>
  <c r="BL71" i="88" s="1"/>
  <c r="BJ66" i="88"/>
  <c r="BJ65" i="88"/>
  <c r="BK66" i="88" s="1"/>
  <c r="BK65" i="88" s="1"/>
  <c r="BL66" i="88" s="1"/>
  <c r="BL65" i="88" s="1"/>
  <c r="BJ60" i="88"/>
  <c r="BJ59" i="88" s="1"/>
  <c r="BK60" i="88" s="1"/>
  <c r="BK59" i="88" s="1"/>
  <c r="BL60" i="88" s="1"/>
  <c r="BL59" i="88" s="1"/>
  <c r="BJ48" i="88"/>
  <c r="BJ47" i="88"/>
  <c r="BK48" i="88" s="1"/>
  <c r="BK47" i="88" s="1"/>
  <c r="BL48" i="88" s="1"/>
  <c r="BL47" i="88" s="1"/>
  <c r="BJ24" i="88"/>
  <c r="BJ23" i="88"/>
  <c r="BK24" i="88" s="1"/>
  <c r="BK23" i="88" s="1"/>
  <c r="BL24" i="88" s="1"/>
  <c r="BL23" i="88" s="1"/>
  <c r="BJ18" i="88"/>
  <c r="BJ17" i="88"/>
  <c r="BK18" i="88" s="1"/>
  <c r="BK17" i="88" s="1"/>
  <c r="BL18" i="88" s="1"/>
  <c r="BL17" i="88" s="1"/>
  <c r="BJ12" i="88"/>
  <c r="BJ11" i="88"/>
  <c r="BK12" i="88" s="1"/>
  <c r="BK11" i="88" s="1"/>
  <c r="BL12" i="88" s="1"/>
  <c r="BL11" i="88" s="1"/>
  <c r="BJ6" i="88"/>
  <c r="BJ5" i="88"/>
  <c r="BK6" i="88" s="1"/>
  <c r="BK5" i="88" s="1"/>
  <c r="BL6" i="88" s="1"/>
  <c r="BL5" i="88" s="1"/>
  <c r="K58" i="101" l="1"/>
  <c r="P58" i="101" s="1"/>
  <c r="P57" i="101"/>
  <c r="K57" i="101"/>
  <c r="P56" i="101"/>
  <c r="K56" i="101"/>
  <c r="K55" i="101"/>
  <c r="P55" i="101" s="1"/>
  <c r="K54" i="101"/>
  <c r="P54" i="101" s="1"/>
  <c r="P53" i="101"/>
  <c r="K53" i="101"/>
  <c r="P52" i="101"/>
  <c r="K52" i="101"/>
  <c r="K51" i="101"/>
  <c r="P51" i="101" s="1"/>
  <c r="K50" i="101"/>
  <c r="P50" i="101" s="1"/>
  <c r="K49" i="101"/>
  <c r="P49" i="101" s="1"/>
  <c r="K48" i="101"/>
  <c r="P48" i="101" s="1"/>
  <c r="P47" i="101"/>
  <c r="K47" i="101"/>
  <c r="K46" i="101"/>
  <c r="P46" i="101" s="1"/>
  <c r="K45" i="101"/>
  <c r="P45" i="101" s="1"/>
  <c r="K44" i="101"/>
  <c r="P44" i="101" s="1"/>
  <c r="P43" i="101"/>
  <c r="K43" i="101"/>
  <c r="P42" i="101"/>
  <c r="K42" i="101"/>
  <c r="P41" i="101"/>
  <c r="K41" i="101"/>
  <c r="S35" i="101"/>
  <c r="S34" i="101"/>
  <c r="S33" i="101"/>
  <c r="S32" i="101"/>
  <c r="S31" i="101"/>
  <c r="S30" i="101"/>
  <c r="S29" i="101"/>
  <c r="S28" i="101"/>
  <c r="S27" i="101"/>
  <c r="S26" i="101"/>
  <c r="S25" i="101"/>
  <c r="S24" i="101"/>
  <c r="S23" i="101"/>
  <c r="S22" i="101"/>
  <c r="S21" i="101"/>
  <c r="S20" i="101"/>
  <c r="S19" i="101"/>
  <c r="S18" i="101"/>
  <c r="D10" i="101"/>
  <c r="H9" i="101"/>
  <c r="H7" i="101"/>
  <c r="H8" i="101" s="1"/>
  <c r="D7" i="101"/>
  <c r="H6" i="101"/>
  <c r="D6" i="101"/>
  <c r="D5" i="101"/>
  <c r="D19" i="101" l="1"/>
  <c r="G40" i="101" s="1"/>
  <c r="D20" i="101"/>
  <c r="G41" i="101" s="1"/>
  <c r="AB47" i="101"/>
  <c r="Z47" i="101" s="1"/>
  <c r="AB43" i="101"/>
  <c r="D18" i="101"/>
  <c r="D8" i="101"/>
  <c r="D12" i="101" s="1"/>
  <c r="H10" i="101"/>
  <c r="D31" i="101" s="1"/>
  <c r="D44" i="101" s="1"/>
  <c r="G44" i="101" s="1"/>
  <c r="G39" i="101" s="1"/>
  <c r="D27" i="101" l="1"/>
  <c r="T40" i="101" s="1"/>
  <c r="D39" i="101"/>
  <c r="D40" i="101" s="1"/>
  <c r="D21" i="101"/>
  <c r="S17" i="101" s="1"/>
  <c r="S16" i="101" s="1"/>
  <c r="O38" i="101" s="1"/>
  <c r="D26" i="101"/>
  <c r="D28" i="101"/>
  <c r="S40" i="101" s="1"/>
  <c r="I10" i="101"/>
  <c r="T38" i="101" l="1"/>
  <c r="S38" i="101"/>
  <c r="D29" i="101"/>
  <c r="D33" i="101" l="1"/>
  <c r="R40" i="101"/>
  <c r="O41" i="101" l="1"/>
  <c r="Z43" i="101" l="1"/>
  <c r="Q41" i="101"/>
  <c r="AB44" i="101" l="1"/>
  <c r="T41" i="101"/>
  <c r="R41" i="101"/>
  <c r="E6" i="67"/>
  <c r="E8" i="67"/>
  <c r="O42" i="101" l="1"/>
  <c r="Q42" i="101" s="1"/>
  <c r="AB49" i="101"/>
  <c r="V41" i="101"/>
  <c r="S41" i="101"/>
  <c r="T42" i="101" l="1"/>
  <c r="S42" i="101" s="1"/>
  <c r="AB48" i="101"/>
  <c r="Z48" i="101" s="1"/>
  <c r="U41" i="101"/>
  <c r="R42" i="101"/>
  <c r="O43" i="101" l="1"/>
  <c r="Q43" i="101" s="1"/>
  <c r="R43" i="101" s="1"/>
  <c r="BG84" i="88"/>
  <c r="BG83" i="88" s="1"/>
  <c r="BH84" i="88" s="1"/>
  <c r="BH83" i="88" s="1"/>
  <c r="BI84" i="88" s="1"/>
  <c r="BI83" i="88" s="1"/>
  <c r="BG78" i="88"/>
  <c r="BG77" i="88"/>
  <c r="BH78" i="88" s="1"/>
  <c r="BH77" i="88" s="1"/>
  <c r="BI78" i="88" s="1"/>
  <c r="BI77" i="88" s="1"/>
  <c r="BG72" i="88"/>
  <c r="BG71" i="88" s="1"/>
  <c r="BH72" i="88" s="1"/>
  <c r="BH71" i="88" s="1"/>
  <c r="BI72" i="88" s="1"/>
  <c r="BI71" i="88" s="1"/>
  <c r="BG66" i="88"/>
  <c r="BG65" i="88"/>
  <c r="BH66" i="88" s="1"/>
  <c r="BH65" i="88" s="1"/>
  <c r="BI66" i="88" s="1"/>
  <c r="BI65" i="88" s="1"/>
  <c r="BI63" i="88"/>
  <c r="BG60" i="88"/>
  <c r="BG59" i="88" s="1"/>
  <c r="BH60" i="88" s="1"/>
  <c r="BH59" i="88" s="1"/>
  <c r="BI60" i="88" s="1"/>
  <c r="BI59" i="88" s="1"/>
  <c r="BG48" i="88"/>
  <c r="BG47" i="88"/>
  <c r="BH48" i="88" s="1"/>
  <c r="BH47" i="88" s="1"/>
  <c r="BI48" i="88" s="1"/>
  <c r="BI47" i="88" s="1"/>
  <c r="BG24" i="88"/>
  <c r="BG23" i="88" s="1"/>
  <c r="BH24" i="88" s="1"/>
  <c r="BH23" i="88" s="1"/>
  <c r="BI24" i="88" s="1"/>
  <c r="BI23" i="88" s="1"/>
  <c r="BG18" i="88"/>
  <c r="BG17" i="88"/>
  <c r="BH18" i="88" s="1"/>
  <c r="BH17" i="88" s="1"/>
  <c r="BI18" i="88" s="1"/>
  <c r="BI17" i="88" s="1"/>
  <c r="BG12" i="88"/>
  <c r="BG11" i="88" s="1"/>
  <c r="BH12" i="88" s="1"/>
  <c r="BH11" i="88" s="1"/>
  <c r="BI12" i="88" s="1"/>
  <c r="BI11" i="88" s="1"/>
  <c r="BG6" i="88"/>
  <c r="BG5" i="88"/>
  <c r="BH6" i="88" s="1"/>
  <c r="BH5" i="88" s="1"/>
  <c r="BI6" i="88" s="1"/>
  <c r="BI5" i="88" s="1"/>
  <c r="O44" i="101" l="1"/>
  <c r="Q44" i="101" s="1"/>
  <c r="R44" i="101" s="1"/>
  <c r="T43" i="101"/>
  <c r="S43" i="101" s="1"/>
  <c r="O45" i="101" l="1"/>
  <c r="Q45" i="101" s="1"/>
  <c r="R45" i="101" s="1"/>
  <c r="T44" i="101"/>
  <c r="S44" i="101" s="1"/>
  <c r="O46" i="101" l="1"/>
  <c r="Q46" i="101" s="1"/>
  <c r="T45" i="101"/>
  <c r="S45" i="101" s="1"/>
  <c r="T46" i="101" l="1"/>
  <c r="S46" i="101" s="1"/>
  <c r="R46" i="101"/>
  <c r="E10" i="67"/>
  <c r="O47" i="101" l="1"/>
  <c r="Q47" i="101" s="1"/>
  <c r="T47" i="101" l="1"/>
  <c r="S47" i="101" s="1"/>
  <c r="R47" i="101"/>
  <c r="O48" i="101" l="1"/>
  <c r="Q48" i="101" s="1"/>
  <c r="R48" i="101" s="1"/>
  <c r="O49" i="101" l="1"/>
  <c r="Q49" i="101" s="1"/>
  <c r="R49" i="101" s="1"/>
  <c r="T48" i="101"/>
  <c r="BO94" i="88"/>
  <c r="BN94" i="88"/>
  <c r="BM94" i="88"/>
  <c r="BL94" i="88"/>
  <c r="BK94" i="88"/>
  <c r="BJ94" i="88"/>
  <c r="BI94" i="88"/>
  <c r="BH94" i="88"/>
  <c r="BG94" i="88"/>
  <c r="BF94" i="88"/>
  <c r="BE94" i="88"/>
  <c r="BD94" i="88"/>
  <c r="BO93" i="88"/>
  <c r="BN93" i="88"/>
  <c r="BM93" i="88"/>
  <c r="BL93" i="88"/>
  <c r="BK93" i="88"/>
  <c r="BJ93" i="88"/>
  <c r="BI93" i="88"/>
  <c r="BH93" i="88"/>
  <c r="BF93" i="88"/>
  <c r="BE93" i="88"/>
  <c r="BD93" i="88"/>
  <c r="BO92" i="88"/>
  <c r="BN92" i="88"/>
  <c r="BM92" i="88"/>
  <c r="BL92" i="88"/>
  <c r="BK92" i="88"/>
  <c r="BJ92" i="88"/>
  <c r="BI92" i="88"/>
  <c r="BH92" i="88"/>
  <c r="BG92" i="88"/>
  <c r="BF92" i="88"/>
  <c r="BE92" i="88"/>
  <c r="BD92" i="88"/>
  <c r="BO91" i="88"/>
  <c r="BN91" i="88"/>
  <c r="BM91" i="88"/>
  <c r="BL91" i="88"/>
  <c r="BK91" i="88"/>
  <c r="BJ91" i="88"/>
  <c r="BI91" i="88"/>
  <c r="BH91" i="88"/>
  <c r="BG91" i="88"/>
  <c r="BF91" i="88"/>
  <c r="BE91" i="88"/>
  <c r="BD91" i="88"/>
  <c r="BP88" i="88"/>
  <c r="BP87" i="88"/>
  <c r="BP86" i="88"/>
  <c r="BP85" i="88"/>
  <c r="BP82" i="88"/>
  <c r="BP81" i="88"/>
  <c r="BP80" i="88"/>
  <c r="BP79" i="88"/>
  <c r="BP76" i="88"/>
  <c r="BP75" i="88"/>
  <c r="BG93" i="88"/>
  <c r="BP74" i="88"/>
  <c r="BP73" i="88"/>
  <c r="BP70" i="88"/>
  <c r="BP69" i="88"/>
  <c r="BP68" i="88"/>
  <c r="BP67" i="88"/>
  <c r="BP64" i="88"/>
  <c r="BP63" i="88"/>
  <c r="BP62" i="88"/>
  <c r="BP61" i="88"/>
  <c r="BP58" i="88"/>
  <c r="BP57" i="88"/>
  <c r="BP56" i="88"/>
  <c r="BP55" i="88"/>
  <c r="BP52" i="88"/>
  <c r="BP51" i="88"/>
  <c r="BP50" i="88"/>
  <c r="BP49" i="88"/>
  <c r="BP46" i="88"/>
  <c r="BP45" i="88"/>
  <c r="BP44" i="88"/>
  <c r="BP43" i="88"/>
  <c r="BP40" i="88"/>
  <c r="BP39" i="88"/>
  <c r="BP38" i="88"/>
  <c r="BP37" i="88"/>
  <c r="BP34" i="88"/>
  <c r="BP33" i="88"/>
  <c r="BP32" i="88"/>
  <c r="BP31" i="88"/>
  <c r="BP28" i="88"/>
  <c r="BP27" i="88"/>
  <c r="BP26" i="88"/>
  <c r="BP25" i="88"/>
  <c r="BP22" i="88"/>
  <c r="BP21" i="88"/>
  <c r="BP20" i="88"/>
  <c r="BP19" i="88"/>
  <c r="BP16" i="88"/>
  <c r="BP15" i="88"/>
  <c r="BP14" i="88"/>
  <c r="BP13" i="88"/>
  <c r="BP10" i="88"/>
  <c r="BP9" i="88"/>
  <c r="BP8" i="88"/>
  <c r="BP7" i="88"/>
  <c r="S48" i="101" l="1"/>
  <c r="O50" i="101"/>
  <c r="Q50" i="101" s="1"/>
  <c r="R50" i="101" s="1"/>
  <c r="T49" i="101"/>
  <c r="BP91" i="88"/>
  <c r="BP92" i="88"/>
  <c r="BP93" i="88"/>
  <c r="BP94" i="88"/>
  <c r="S49" i="101" l="1"/>
  <c r="O51" i="101"/>
  <c r="Q51" i="101" s="1"/>
  <c r="R51" i="101" s="1"/>
  <c r="T50" i="101"/>
  <c r="S50" i="101" l="1"/>
  <c r="O52" i="101"/>
  <c r="Q52" i="101" s="1"/>
  <c r="T51" i="101"/>
  <c r="S51" i="101" s="1"/>
  <c r="BG90" i="88"/>
  <c r="BG89" i="88" s="1"/>
  <c r="T52" i="101" l="1"/>
  <c r="S52" i="101" s="1"/>
  <c r="R52" i="101"/>
  <c r="BH90" i="88"/>
  <c r="BH89" i="88" s="1"/>
  <c r="O53" i="101" l="1"/>
  <c r="Q53" i="101" s="1"/>
  <c r="R53" i="101" s="1"/>
  <c r="BI90" i="88"/>
  <c r="BI89" i="88" s="1"/>
  <c r="O54" i="101" l="1"/>
  <c r="Q54" i="101" s="1"/>
  <c r="R54" i="101" s="1"/>
  <c r="T53" i="101"/>
  <c r="S53" i="101" s="1"/>
  <c r="BJ90" i="88"/>
  <c r="BJ89" i="88" s="1"/>
  <c r="C24" i="71"/>
  <c r="O55" i="101" l="1"/>
  <c r="Q55" i="101" s="1"/>
  <c r="R55" i="101" s="1"/>
  <c r="T54" i="101"/>
  <c r="S54" i="101" s="1"/>
  <c r="BK90" i="88"/>
  <c r="BK89" i="88" s="1"/>
  <c r="BB53" i="88"/>
  <c r="BA53" i="88"/>
  <c r="AZ53" i="88"/>
  <c r="BB41" i="88"/>
  <c r="BA41" i="88"/>
  <c r="AZ41" i="88"/>
  <c r="BB35" i="88"/>
  <c r="BA35" i="88"/>
  <c r="AZ35" i="88"/>
  <c r="BB29" i="88"/>
  <c r="BA29" i="88"/>
  <c r="AZ29" i="88"/>
  <c r="O56" i="101" l="1"/>
  <c r="Q56" i="101" s="1"/>
  <c r="T55" i="101"/>
  <c r="S55" i="101" s="1"/>
  <c r="BL90" i="88"/>
  <c r="BL89" i="88" s="1"/>
  <c r="T56" i="101" l="1"/>
  <c r="S56" i="101" s="1"/>
  <c r="R56" i="101"/>
  <c r="BM90" i="88"/>
  <c r="BM89" i="88" s="1"/>
  <c r="O57" i="101" l="1"/>
  <c r="Q57" i="101" s="1"/>
  <c r="R57" i="101" s="1"/>
  <c r="BN90" i="88"/>
  <c r="BN89" i="88" s="1"/>
  <c r="C34" i="86"/>
  <c r="C33" i="86"/>
  <c r="C32" i="86"/>
  <c r="C31" i="86"/>
  <c r="C30" i="86"/>
  <c r="C29" i="86"/>
  <c r="C28" i="86"/>
  <c r="C27" i="86"/>
  <c r="C26" i="86"/>
  <c r="C25" i="86"/>
  <c r="C24" i="86"/>
  <c r="C23" i="86"/>
  <c r="C22" i="86"/>
  <c r="C21" i="86"/>
  <c r="C20" i="86"/>
  <c r="C19" i="86"/>
  <c r="C18" i="86"/>
  <c r="C16" i="86"/>
  <c r="C13" i="86"/>
  <c r="C14" i="86"/>
  <c r="C12" i="86"/>
  <c r="E5" i="86"/>
  <c r="C5" i="86"/>
  <c r="C7" i="86"/>
  <c r="C8" i="86"/>
  <c r="C9" i="86"/>
  <c r="C10" i="86"/>
  <c r="C6" i="86"/>
  <c r="E68" i="86"/>
  <c r="C68" i="86"/>
  <c r="B68" i="86"/>
  <c r="A68" i="86"/>
  <c r="E67" i="86"/>
  <c r="C67" i="86"/>
  <c r="B67" i="86"/>
  <c r="A67" i="86"/>
  <c r="E66" i="86"/>
  <c r="C66" i="86"/>
  <c r="B66" i="86"/>
  <c r="A66" i="86"/>
  <c r="E65" i="86"/>
  <c r="C65" i="86"/>
  <c r="B65" i="86"/>
  <c r="A65" i="86"/>
  <c r="E64" i="86"/>
  <c r="C64" i="86"/>
  <c r="B64" i="86"/>
  <c r="A64" i="86"/>
  <c r="E63" i="86"/>
  <c r="C63" i="86"/>
  <c r="B63" i="86"/>
  <c r="A63" i="86"/>
  <c r="E62" i="86"/>
  <c r="C62" i="86"/>
  <c r="B62" i="86"/>
  <c r="A62" i="86"/>
  <c r="E61" i="86"/>
  <c r="C61" i="86"/>
  <c r="B61" i="86"/>
  <c r="A61" i="86"/>
  <c r="E60" i="86"/>
  <c r="C60" i="86"/>
  <c r="B60" i="86"/>
  <c r="A60" i="86"/>
  <c r="E59" i="86"/>
  <c r="C59" i="86"/>
  <c r="B59" i="86"/>
  <c r="A59" i="86"/>
  <c r="E58" i="86"/>
  <c r="C58" i="86"/>
  <c r="B58" i="86"/>
  <c r="A58" i="86"/>
  <c r="E57" i="86"/>
  <c r="C57" i="86"/>
  <c r="B57" i="86"/>
  <c r="A57" i="86"/>
  <c r="E56" i="86"/>
  <c r="C56" i="86"/>
  <c r="B56" i="86"/>
  <c r="A56" i="86"/>
  <c r="E55" i="86"/>
  <c r="C55" i="86"/>
  <c r="B55" i="86"/>
  <c r="A55" i="86"/>
  <c r="E54" i="86"/>
  <c r="C54" i="86"/>
  <c r="B54" i="86"/>
  <c r="A54" i="86"/>
  <c r="E53" i="86"/>
  <c r="C53" i="86"/>
  <c r="B53" i="86"/>
  <c r="A53" i="86"/>
  <c r="E52" i="86"/>
  <c r="C52" i="86"/>
  <c r="B52" i="86"/>
  <c r="A52" i="86"/>
  <c r="E51" i="86"/>
  <c r="C51" i="86"/>
  <c r="B51" i="86"/>
  <c r="A51" i="86"/>
  <c r="E50" i="86"/>
  <c r="C50" i="86"/>
  <c r="B50" i="86"/>
  <c r="A50" i="86"/>
  <c r="E49" i="86"/>
  <c r="C49" i="86"/>
  <c r="B49" i="86"/>
  <c r="A49" i="86"/>
  <c r="E48" i="86"/>
  <c r="C48" i="86"/>
  <c r="B48" i="86"/>
  <c r="A48" i="86"/>
  <c r="E47" i="86"/>
  <c r="C47" i="86"/>
  <c r="B47" i="86"/>
  <c r="A47" i="86"/>
  <c r="E46" i="86"/>
  <c r="C46" i="86"/>
  <c r="B46" i="86"/>
  <c r="A46" i="86"/>
  <c r="E45" i="86"/>
  <c r="C45" i="86"/>
  <c r="B45" i="86"/>
  <c r="A45" i="86"/>
  <c r="E44" i="86"/>
  <c r="C44" i="86"/>
  <c r="B44" i="86"/>
  <c r="A44" i="86"/>
  <c r="E43" i="86"/>
  <c r="C43" i="86"/>
  <c r="B43" i="86"/>
  <c r="A43" i="86"/>
  <c r="E42" i="86"/>
  <c r="C42" i="86"/>
  <c r="B42" i="86"/>
  <c r="A42" i="86"/>
  <c r="E41" i="86"/>
  <c r="C41" i="86"/>
  <c r="B41" i="86"/>
  <c r="A41" i="86"/>
  <c r="E40" i="86"/>
  <c r="C40" i="86"/>
  <c r="B40" i="86"/>
  <c r="A40" i="86"/>
  <c r="E39" i="86"/>
  <c r="C39" i="86"/>
  <c r="B39" i="86"/>
  <c r="A39" i="86"/>
  <c r="E38" i="86"/>
  <c r="C38" i="86"/>
  <c r="B38" i="86"/>
  <c r="A38" i="86"/>
  <c r="E37" i="86"/>
  <c r="C37" i="86"/>
  <c r="B37" i="86"/>
  <c r="A37" i="86"/>
  <c r="E36" i="86"/>
  <c r="C36" i="86"/>
  <c r="B36" i="86"/>
  <c r="A36" i="86"/>
  <c r="E35" i="86"/>
  <c r="C35" i="86"/>
  <c r="B35" i="86"/>
  <c r="A35" i="86"/>
  <c r="B34" i="86"/>
  <c r="A34" i="86"/>
  <c r="B33" i="86"/>
  <c r="A33" i="86"/>
  <c r="B32" i="86"/>
  <c r="A32" i="86"/>
  <c r="B31" i="86"/>
  <c r="A31" i="86"/>
  <c r="B30" i="86"/>
  <c r="A30" i="86"/>
  <c r="B29" i="86"/>
  <c r="A29" i="86"/>
  <c r="B28" i="86"/>
  <c r="A28" i="86"/>
  <c r="B27" i="86"/>
  <c r="A27" i="86"/>
  <c r="B26" i="86"/>
  <c r="A26" i="86"/>
  <c r="B25" i="86"/>
  <c r="A25" i="86"/>
  <c r="B24" i="86"/>
  <c r="A24" i="86"/>
  <c r="B23" i="86"/>
  <c r="A23" i="86"/>
  <c r="B22" i="86"/>
  <c r="A22" i="86"/>
  <c r="J21" i="86"/>
  <c r="L21" i="86" s="1"/>
  <c r="B21" i="86"/>
  <c r="A21" i="86"/>
  <c r="B20" i="86"/>
  <c r="A20" i="86"/>
  <c r="B19" i="86"/>
  <c r="A19" i="86"/>
  <c r="B18" i="86"/>
  <c r="A18" i="86"/>
  <c r="P16" i="86"/>
  <c r="B16" i="86"/>
  <c r="A16" i="86"/>
  <c r="D16" i="86" s="1"/>
  <c r="C15" i="86"/>
  <c r="B14" i="86"/>
  <c r="B15" i="86" s="1"/>
  <c r="A14" i="86"/>
  <c r="B13" i="86"/>
  <c r="A13" i="86"/>
  <c r="B12" i="86"/>
  <c r="A12" i="86"/>
  <c r="B11" i="86"/>
  <c r="B10" i="86"/>
  <c r="A10" i="86"/>
  <c r="B9" i="86"/>
  <c r="A9" i="86"/>
  <c r="B8" i="86"/>
  <c r="A8" i="86"/>
  <c r="L7" i="86"/>
  <c r="B7" i="86"/>
  <c r="A7" i="86"/>
  <c r="B6" i="86"/>
  <c r="A6" i="86"/>
  <c r="B5" i="86"/>
  <c r="AE3" i="86"/>
  <c r="AE11" i="86" s="1"/>
  <c r="AD3" i="86"/>
  <c r="AF3" i="86" s="1"/>
  <c r="AF2" i="86"/>
  <c r="F2" i="86"/>
  <c r="E2" i="86"/>
  <c r="D2" i="86"/>
  <c r="C2" i="86"/>
  <c r="O58" i="101" l="1"/>
  <c r="Q58" i="101" s="1"/>
  <c r="R58" i="101" s="1"/>
  <c r="T57" i="101"/>
  <c r="S57" i="101" s="1"/>
  <c r="BO90" i="88"/>
  <c r="BO89" i="88" s="1"/>
  <c r="G5" i="86"/>
  <c r="D6" i="86" s="1"/>
  <c r="A69" i="86"/>
  <c r="AD11" i="86"/>
  <c r="AF11" i="86" s="1"/>
  <c r="C69" i="86"/>
  <c r="C70" i="86" s="1"/>
  <c r="T58" i="101" l="1"/>
  <c r="S58" i="101" s="1"/>
  <c r="D66" i="87" l="1"/>
  <c r="D65" i="87"/>
  <c r="D64" i="87"/>
  <c r="D63" i="87"/>
  <c r="D62" i="87"/>
  <c r="D61" i="87"/>
  <c r="D60" i="87"/>
  <c r="D59" i="87"/>
  <c r="D58" i="87"/>
  <c r="D57" i="87"/>
  <c r="D56" i="87"/>
  <c r="D55" i="87"/>
  <c r="D54" i="87"/>
  <c r="D53" i="87"/>
  <c r="D52" i="87"/>
  <c r="D51" i="87"/>
  <c r="D50" i="87"/>
  <c r="D49" i="87"/>
  <c r="D48" i="87"/>
  <c r="D47" i="87"/>
  <c r="D46" i="87"/>
  <c r="D45" i="87"/>
  <c r="D44" i="87"/>
  <c r="D43" i="87"/>
  <c r="D42" i="87"/>
  <c r="D41" i="87"/>
  <c r="D40" i="87"/>
  <c r="D39" i="87"/>
  <c r="D38" i="87"/>
  <c r="D37" i="87"/>
  <c r="D36" i="87"/>
  <c r="D35" i="87"/>
  <c r="D34" i="87"/>
  <c r="D33" i="87"/>
  <c r="D32" i="87"/>
  <c r="D31" i="87"/>
  <c r="D30" i="87"/>
  <c r="D29" i="87"/>
  <c r="D28" i="87"/>
  <c r="D27" i="87"/>
  <c r="D26" i="87"/>
  <c r="D25" i="87"/>
  <c r="D24" i="87"/>
  <c r="D23" i="87"/>
  <c r="D22" i="87"/>
  <c r="D21" i="87"/>
  <c r="D20" i="87"/>
  <c r="D19" i="87"/>
  <c r="D18" i="87"/>
  <c r="D17" i="87"/>
  <c r="D16" i="87"/>
  <c r="D15" i="87"/>
  <c r="D13" i="87"/>
  <c r="D12" i="87"/>
  <c r="D11" i="87"/>
  <c r="J10" i="87"/>
  <c r="F10" i="87"/>
  <c r="D9" i="87"/>
  <c r="D8" i="87"/>
  <c r="D7" i="87"/>
  <c r="G6" i="87"/>
  <c r="G7" i="87" s="1"/>
  <c r="G8" i="87" s="1"/>
  <c r="G9" i="87" s="1"/>
  <c r="G11" i="87" s="1"/>
  <c r="G12" i="87" s="1"/>
  <c r="G13" i="87" s="1"/>
  <c r="G15" i="87" s="1"/>
  <c r="G16" i="87" s="1"/>
  <c r="G17" i="87" s="1"/>
  <c r="G18" i="87" s="1"/>
  <c r="G19" i="87" s="1"/>
  <c r="G20" i="87" s="1"/>
  <c r="G21" i="87" s="1"/>
  <c r="G22" i="87" s="1"/>
  <c r="G23" i="87" s="1"/>
  <c r="G24" i="87" s="1"/>
  <c r="G25" i="87" s="1"/>
  <c r="G26" i="87" s="1"/>
  <c r="G27" i="87" s="1"/>
  <c r="G28" i="87" s="1"/>
  <c r="G29" i="87" s="1"/>
  <c r="G30" i="87" s="1"/>
  <c r="G31" i="87" s="1"/>
  <c r="G32" i="87" s="1"/>
  <c r="G33" i="87" s="1"/>
  <c r="G34" i="87" s="1"/>
  <c r="G35" i="87" s="1"/>
  <c r="G36" i="87" s="1"/>
  <c r="G37" i="87" s="1"/>
  <c r="G38" i="87" s="1"/>
  <c r="G39" i="87" s="1"/>
  <c r="G40" i="87" s="1"/>
  <c r="G41" i="87" s="1"/>
  <c r="G42" i="87" s="1"/>
  <c r="G43" i="87" s="1"/>
  <c r="G44" i="87" s="1"/>
  <c r="G45" i="87" s="1"/>
  <c r="G46" i="87" s="1"/>
  <c r="G47" i="87" s="1"/>
  <c r="G48" i="87" s="1"/>
  <c r="G49" i="87" s="1"/>
  <c r="G50" i="87" s="1"/>
  <c r="G51" i="87" s="1"/>
  <c r="G52" i="87" s="1"/>
  <c r="G53" i="87" s="1"/>
  <c r="G54" i="87" s="1"/>
  <c r="G55" i="87" s="1"/>
  <c r="G56" i="87" s="1"/>
  <c r="G57" i="87" s="1"/>
  <c r="G58" i="87" s="1"/>
  <c r="G59" i="87" s="1"/>
  <c r="G60" i="87" s="1"/>
  <c r="G61" i="87" s="1"/>
  <c r="G62" i="87" s="1"/>
  <c r="G63" i="87" s="1"/>
  <c r="G64" i="87" s="1"/>
  <c r="G65" i="87" s="1"/>
  <c r="G66" i="87" s="1"/>
  <c r="D6" i="87"/>
  <c r="E5" i="87"/>
  <c r="H6" i="87" s="1"/>
  <c r="E7" i="86" s="1"/>
  <c r="D5" i="87"/>
  <c r="H5" i="87" s="1"/>
  <c r="E6" i="86" s="1"/>
  <c r="E6" i="87" l="1"/>
  <c r="E7" i="87" s="1"/>
  <c r="E8" i="87" s="1"/>
  <c r="H9" i="87" s="1"/>
  <c r="E10" i="86" s="1"/>
  <c r="L14" i="86"/>
  <c r="F6" i="86"/>
  <c r="L10" i="87"/>
  <c r="H8" i="87"/>
  <c r="E9" i="86" s="1"/>
  <c r="E9" i="87"/>
  <c r="E10" i="87" s="1"/>
  <c r="H7" i="87"/>
  <c r="E8" i="86" s="1"/>
  <c r="F67" i="87"/>
  <c r="G6" i="86" l="1"/>
  <c r="AD6" i="86"/>
  <c r="AE6" i="86"/>
  <c r="H11" i="87"/>
  <c r="E11" i="87"/>
  <c r="AF6" i="86" l="1"/>
  <c r="D7" i="86"/>
  <c r="F7" i="86" s="1"/>
  <c r="J11" i="87"/>
  <c r="E12" i="86"/>
  <c r="E12" i="87"/>
  <c r="H12" i="87"/>
  <c r="AE7" i="86" l="1"/>
  <c r="AD7" i="86"/>
  <c r="G7" i="86"/>
  <c r="J12" i="87"/>
  <c r="E13" i="86"/>
  <c r="E13" i="87"/>
  <c r="E14" i="87" s="1"/>
  <c r="H13" i="87"/>
  <c r="AF7" i="86" l="1"/>
  <c r="D8" i="86"/>
  <c r="F8" i="86" s="1"/>
  <c r="G8" i="86" s="1"/>
  <c r="J13" i="87"/>
  <c r="E14" i="86"/>
  <c r="H15" i="87"/>
  <c r="E15" i="87"/>
  <c r="D9" i="86" l="1"/>
  <c r="F9" i="86" s="1"/>
  <c r="G9" i="86" s="1"/>
  <c r="AE8" i="86"/>
  <c r="AD8" i="86"/>
  <c r="J15" i="87"/>
  <c r="E16" i="86"/>
  <c r="F16" i="86" s="1"/>
  <c r="E16" i="87"/>
  <c r="H16" i="87"/>
  <c r="AF8" i="86" l="1"/>
  <c r="D10" i="86"/>
  <c r="F10" i="86" s="1"/>
  <c r="G10" i="86" s="1"/>
  <c r="G11" i="86" s="1"/>
  <c r="AE9" i="86"/>
  <c r="AD9" i="86"/>
  <c r="J16" i="87"/>
  <c r="E18" i="86"/>
  <c r="G16" i="86"/>
  <c r="AE16" i="86"/>
  <c r="AD16" i="86"/>
  <c r="E17" i="87"/>
  <c r="H17" i="87"/>
  <c r="AF9" i="86" l="1"/>
  <c r="D12" i="86"/>
  <c r="F12" i="86" s="1"/>
  <c r="G12" i="86" s="1"/>
  <c r="AD10" i="86"/>
  <c r="AE10" i="86"/>
  <c r="J17" i="87"/>
  <c r="E19" i="86"/>
  <c r="D18" i="86"/>
  <c r="F18" i="86" s="1"/>
  <c r="AF16" i="86"/>
  <c r="H18" i="87"/>
  <c r="E18" i="87"/>
  <c r="H19" i="87" s="1"/>
  <c r="AF10" i="86" l="1"/>
  <c r="D13" i="86"/>
  <c r="F13" i="86" s="1"/>
  <c r="G13" i="86" s="1"/>
  <c r="D14" i="86" s="1"/>
  <c r="F14" i="86" s="1"/>
  <c r="G14" i="86" s="1"/>
  <c r="F15" i="86" s="1"/>
  <c r="AE12" i="86"/>
  <c r="AD12" i="86"/>
  <c r="AD18" i="86"/>
  <c r="AE18" i="86"/>
  <c r="J18" i="87"/>
  <c r="E20" i="86"/>
  <c r="G18" i="86"/>
  <c r="D19" i="86" s="1"/>
  <c r="F19" i="86" s="1"/>
  <c r="E19" i="87"/>
  <c r="AD14" i="86" l="1"/>
  <c r="AE14" i="86"/>
  <c r="AE13" i="86"/>
  <c r="AD13" i="86"/>
  <c r="AF12" i="86"/>
  <c r="AE15" i="86"/>
  <c r="AD15" i="86"/>
  <c r="J19" i="87"/>
  <c r="E21" i="86"/>
  <c r="G19" i="86"/>
  <c r="D20" i="86" s="1"/>
  <c r="AE19" i="86"/>
  <c r="AD19" i="86"/>
  <c r="AF18" i="86"/>
  <c r="E20" i="87"/>
  <c r="H20" i="87"/>
  <c r="AF14" i="86" l="1"/>
  <c r="AF13" i="86"/>
  <c r="AF15" i="86"/>
  <c r="AF19" i="86"/>
  <c r="J20" i="87"/>
  <c r="E22" i="86"/>
  <c r="F20" i="86"/>
  <c r="E21" i="87"/>
  <c r="H21" i="87"/>
  <c r="J21" i="87" l="1"/>
  <c r="E23" i="86"/>
  <c r="G20" i="86"/>
  <c r="D21" i="86" s="1"/>
  <c r="AE20" i="86"/>
  <c r="AD20" i="86"/>
  <c r="H22" i="87"/>
  <c r="E22" i="87"/>
  <c r="J22" i="87" l="1"/>
  <c r="E24" i="86"/>
  <c r="F21" i="86"/>
  <c r="AF20" i="86"/>
  <c r="H23" i="87"/>
  <c r="E23" i="87"/>
  <c r="J23" i="87" l="1"/>
  <c r="E25" i="86"/>
  <c r="G21" i="86"/>
  <c r="AE21" i="86"/>
  <c r="AD21" i="86"/>
  <c r="E24" i="87"/>
  <c r="H24" i="87"/>
  <c r="J24" i="87" l="1"/>
  <c r="E26" i="86"/>
  <c r="D22" i="86"/>
  <c r="F22" i="86" s="1"/>
  <c r="G22" i="86" s="1"/>
  <c r="D23" i="86" s="1"/>
  <c r="F23" i="86" s="1"/>
  <c r="AF21" i="86"/>
  <c r="E25" i="87"/>
  <c r="H25" i="87"/>
  <c r="AE22" i="86" l="1"/>
  <c r="AD22" i="86"/>
  <c r="J25" i="87"/>
  <c r="E27" i="86"/>
  <c r="G23" i="86"/>
  <c r="AD23" i="86"/>
  <c r="AE23" i="86"/>
  <c r="H26" i="87"/>
  <c r="E26" i="87"/>
  <c r="J26" i="87" l="1"/>
  <c r="E28" i="86"/>
  <c r="AF23" i="86"/>
  <c r="AF22" i="86"/>
  <c r="D24" i="86"/>
  <c r="F24" i="86" s="1"/>
  <c r="G24" i="86" s="1"/>
  <c r="D25" i="86" s="1"/>
  <c r="F25" i="86" s="1"/>
  <c r="H27" i="87"/>
  <c r="E27" i="87"/>
  <c r="J27" i="87" l="1"/>
  <c r="E29" i="86"/>
  <c r="AD24" i="86"/>
  <c r="AE24" i="86"/>
  <c r="G25" i="86"/>
  <c r="D26" i="86" s="1"/>
  <c r="F26" i="86" s="1"/>
  <c r="AD25" i="86"/>
  <c r="AE25" i="86"/>
  <c r="E28" i="87"/>
  <c r="H28" i="87"/>
  <c r="AF25" i="86" l="1"/>
  <c r="AF24" i="86"/>
  <c r="J28" i="87"/>
  <c r="E30" i="86"/>
  <c r="G26" i="86"/>
  <c r="D27" i="86" s="1"/>
  <c r="F27" i="86" s="1"/>
  <c r="AD26" i="86"/>
  <c r="AE26" i="86"/>
  <c r="E29" i="87"/>
  <c r="H29" i="87"/>
  <c r="AF26" i="86" l="1"/>
  <c r="J29" i="87"/>
  <c r="E31" i="86"/>
  <c r="G27" i="86"/>
  <c r="D28" i="86" s="1"/>
  <c r="F28" i="86" s="1"/>
  <c r="AE27" i="86"/>
  <c r="AD27" i="86"/>
  <c r="H30" i="87"/>
  <c r="E30" i="87"/>
  <c r="J30" i="87" l="1"/>
  <c r="E32" i="86"/>
  <c r="G28" i="86"/>
  <c r="D29" i="86" s="1"/>
  <c r="F29" i="86" s="1"/>
  <c r="AD28" i="86"/>
  <c r="AE28" i="86"/>
  <c r="AF27" i="86"/>
  <c r="H31" i="87"/>
  <c r="E31" i="87"/>
  <c r="AF28" i="86" l="1"/>
  <c r="J31" i="87"/>
  <c r="E33" i="86"/>
  <c r="G29" i="86"/>
  <c r="D30" i="86" s="1"/>
  <c r="F30" i="86" s="1"/>
  <c r="AD29" i="86"/>
  <c r="AE29" i="86"/>
  <c r="E32" i="87"/>
  <c r="H32" i="87"/>
  <c r="AF29" i="86" l="1"/>
  <c r="G30" i="86"/>
  <c r="AD30" i="86"/>
  <c r="AE30" i="86"/>
  <c r="J32" i="87"/>
  <c r="E34" i="86"/>
  <c r="E69" i="86" s="1"/>
  <c r="E33" i="87"/>
  <c r="H33" i="87"/>
  <c r="J33" i="87" s="1"/>
  <c r="AF30" i="86" l="1"/>
  <c r="D31" i="86"/>
  <c r="F31" i="86" s="1"/>
  <c r="H34" i="87"/>
  <c r="J34" i="87" s="1"/>
  <c r="E34" i="87"/>
  <c r="AD31" i="86" l="1"/>
  <c r="AE31" i="86"/>
  <c r="G31" i="86"/>
  <c r="D32" i="86" s="1"/>
  <c r="F32" i="86" s="1"/>
  <c r="H35" i="87"/>
  <c r="J35" i="87" s="1"/>
  <c r="E35" i="87"/>
  <c r="AF31" i="86" l="1"/>
  <c r="G32" i="86"/>
  <c r="AD32" i="86"/>
  <c r="AE32" i="86"/>
  <c r="E36" i="87"/>
  <c r="H36" i="87"/>
  <c r="J36" i="87" s="1"/>
  <c r="AF32" i="86" l="1"/>
  <c r="D33" i="86"/>
  <c r="F33" i="86" s="1"/>
  <c r="E37" i="87"/>
  <c r="H37" i="87"/>
  <c r="J37" i="87" s="1"/>
  <c r="AE33" i="86" l="1"/>
  <c r="AD33" i="86"/>
  <c r="G33" i="86"/>
  <c r="D34" i="86" s="1"/>
  <c r="F34" i="86" s="1"/>
  <c r="H38" i="87"/>
  <c r="J38" i="87" s="1"/>
  <c r="E38" i="87"/>
  <c r="AF33" i="86" l="1"/>
  <c r="G34" i="86"/>
  <c r="D35" i="86" s="1"/>
  <c r="F35" i="86" s="1"/>
  <c r="AD34" i="86"/>
  <c r="AE34" i="86"/>
  <c r="H39" i="87"/>
  <c r="J39" i="87" s="1"/>
  <c r="E39" i="87"/>
  <c r="AF34" i="86" l="1"/>
  <c r="G35" i="86"/>
  <c r="D36" i="86" s="1"/>
  <c r="F36" i="86" s="1"/>
  <c r="AE35" i="86"/>
  <c r="AD35" i="86"/>
  <c r="E40" i="87"/>
  <c r="H40" i="87"/>
  <c r="J40" i="87" s="1"/>
  <c r="AF35" i="86" l="1"/>
  <c r="G36" i="86"/>
  <c r="AD36" i="86"/>
  <c r="AE36" i="86"/>
  <c r="E41" i="87"/>
  <c r="H41" i="87"/>
  <c r="J41" i="87" s="1"/>
  <c r="AF36" i="86" l="1"/>
  <c r="D37" i="86"/>
  <c r="F37" i="86" s="1"/>
  <c r="H42" i="87"/>
  <c r="J42" i="87" s="1"/>
  <c r="E42" i="87"/>
  <c r="AE37" i="86" l="1"/>
  <c r="AD37" i="86"/>
  <c r="G37" i="86"/>
  <c r="D38" i="86" s="1"/>
  <c r="F38" i="86" s="1"/>
  <c r="H43" i="87"/>
  <c r="J43" i="87" s="1"/>
  <c r="E43" i="87"/>
  <c r="AF37" i="86" l="1"/>
  <c r="G38" i="86"/>
  <c r="D39" i="86" s="1"/>
  <c r="F39" i="86" s="1"/>
  <c r="AD38" i="86"/>
  <c r="AE38" i="86"/>
  <c r="E44" i="87"/>
  <c r="H44" i="87"/>
  <c r="J44" i="87" s="1"/>
  <c r="AF38" i="86" l="1"/>
  <c r="G39" i="86"/>
  <c r="D40" i="86" s="1"/>
  <c r="F40" i="86" s="1"/>
  <c r="AE39" i="86"/>
  <c r="AD39" i="86"/>
  <c r="E45" i="87"/>
  <c r="H45" i="87"/>
  <c r="J45" i="87" s="1"/>
  <c r="G40" i="86" l="1"/>
  <c r="AD40" i="86"/>
  <c r="AE40" i="86"/>
  <c r="AF39" i="86"/>
  <c r="H46" i="87"/>
  <c r="J46" i="87" s="1"/>
  <c r="E46" i="87"/>
  <c r="AF40" i="86" l="1"/>
  <c r="D41" i="86"/>
  <c r="F41" i="86" s="1"/>
  <c r="G41" i="86" s="1"/>
  <c r="D42" i="86" s="1"/>
  <c r="F42" i="86" s="1"/>
  <c r="H47" i="87"/>
  <c r="J47" i="87" s="1"/>
  <c r="E47" i="87"/>
  <c r="AE41" i="86" l="1"/>
  <c r="AD41" i="86"/>
  <c r="G42" i="86"/>
  <c r="AD42" i="86"/>
  <c r="AE42" i="86"/>
  <c r="E48" i="87"/>
  <c r="H48" i="87"/>
  <c r="J48" i="87" s="1"/>
  <c r="AF42" i="86" l="1"/>
  <c r="D43" i="86"/>
  <c r="F43" i="86" s="1"/>
  <c r="G43" i="86" s="1"/>
  <c r="D44" i="86" s="1"/>
  <c r="F44" i="86" s="1"/>
  <c r="AF41" i="86"/>
  <c r="E49" i="87"/>
  <c r="H49" i="87"/>
  <c r="J49" i="87" s="1"/>
  <c r="G44" i="86" l="1"/>
  <c r="AD44" i="86"/>
  <c r="AE44" i="86"/>
  <c r="AE43" i="86"/>
  <c r="AD43" i="86"/>
  <c r="H50" i="87"/>
  <c r="J50" i="87" s="1"/>
  <c r="E50" i="87"/>
  <c r="AF44" i="86" l="1"/>
  <c r="AF43" i="86"/>
  <c r="D45" i="86"/>
  <c r="F45" i="86" s="1"/>
  <c r="H51" i="87"/>
  <c r="J51" i="87" s="1"/>
  <c r="E51" i="87"/>
  <c r="AE45" i="86" l="1"/>
  <c r="AD45" i="86"/>
  <c r="G45" i="86"/>
  <c r="D46" i="86" s="1"/>
  <c r="F46" i="86" s="1"/>
  <c r="E52" i="87"/>
  <c r="H52" i="87"/>
  <c r="J52" i="87" s="1"/>
  <c r="AF45" i="86" l="1"/>
  <c r="G46" i="86"/>
  <c r="D47" i="86" s="1"/>
  <c r="F47" i="86" s="1"/>
  <c r="AD46" i="86"/>
  <c r="AE46" i="86"/>
  <c r="E53" i="87"/>
  <c r="H53" i="87"/>
  <c r="J53" i="87" s="1"/>
  <c r="AF46" i="86" l="1"/>
  <c r="G47" i="86"/>
  <c r="D48" i="86" s="1"/>
  <c r="F48" i="86" s="1"/>
  <c r="AE47" i="86"/>
  <c r="AD47" i="86"/>
  <c r="H54" i="87"/>
  <c r="J54" i="87" s="1"/>
  <c r="E54" i="87"/>
  <c r="AF47" i="86" l="1"/>
  <c r="G48" i="86"/>
  <c r="AD48" i="86"/>
  <c r="AE48" i="86"/>
  <c r="H55" i="87"/>
  <c r="J55" i="87" s="1"/>
  <c r="E55" i="87"/>
  <c r="AF48" i="86" l="1"/>
  <c r="D49" i="86"/>
  <c r="F49" i="86" s="1"/>
  <c r="G49" i="86" s="1"/>
  <c r="D50" i="86" s="1"/>
  <c r="F50" i="86" s="1"/>
  <c r="E56" i="87"/>
  <c r="H56" i="87"/>
  <c r="J56" i="87" s="1"/>
  <c r="J9" i="87" s="1"/>
  <c r="G50" i="86" l="1"/>
  <c r="D51" i="86" s="1"/>
  <c r="F51" i="86" s="1"/>
  <c r="AD50" i="86"/>
  <c r="AE50" i="86"/>
  <c r="AE49" i="86"/>
  <c r="AD49" i="86"/>
  <c r="E57" i="87"/>
  <c r="H57" i="87"/>
  <c r="AF50" i="86" l="1"/>
  <c r="AF49" i="86"/>
  <c r="G51" i="86"/>
  <c r="D52" i="86" s="1"/>
  <c r="F52" i="86" s="1"/>
  <c r="AE51" i="86"/>
  <c r="AD51" i="86"/>
  <c r="E58" i="87"/>
  <c r="H58" i="87"/>
  <c r="AF51" i="86" l="1"/>
  <c r="G52" i="86"/>
  <c r="AD52" i="86"/>
  <c r="AE52" i="86"/>
  <c r="E59" i="87"/>
  <c r="H59" i="87"/>
  <c r="AF52" i="86" l="1"/>
  <c r="D53" i="86"/>
  <c r="F53" i="86" s="1"/>
  <c r="G53" i="86" s="1"/>
  <c r="D54" i="86" s="1"/>
  <c r="F54" i="86" s="1"/>
  <c r="E60" i="87"/>
  <c r="H60" i="87"/>
  <c r="G54" i="86" l="1"/>
  <c r="D55" i="86" s="1"/>
  <c r="F55" i="86" s="1"/>
  <c r="AD54" i="86"/>
  <c r="AE54" i="86"/>
  <c r="AE53" i="86"/>
  <c r="AD53" i="86"/>
  <c r="E61" i="87"/>
  <c r="H61" i="87"/>
  <c r="AF53" i="86" l="1"/>
  <c r="AF54" i="86"/>
  <c r="G55" i="86"/>
  <c r="D56" i="86" s="1"/>
  <c r="F56" i="86" s="1"/>
  <c r="AE55" i="86"/>
  <c r="AD55" i="86"/>
  <c r="E62" i="87"/>
  <c r="H62" i="87"/>
  <c r="AF55" i="86" l="1"/>
  <c r="G56" i="86"/>
  <c r="AD56" i="86"/>
  <c r="AE56" i="86"/>
  <c r="E63" i="87"/>
  <c r="H63" i="87"/>
  <c r="AF56" i="86" l="1"/>
  <c r="D57" i="86"/>
  <c r="F57" i="86" s="1"/>
  <c r="E64" i="87"/>
  <c r="H64" i="87"/>
  <c r="AE57" i="86" l="1"/>
  <c r="AD57" i="86"/>
  <c r="G57" i="86"/>
  <c r="D58" i="86" s="1"/>
  <c r="F58" i="86" s="1"/>
  <c r="E65" i="87"/>
  <c r="H65" i="87"/>
  <c r="AF57" i="86" l="1"/>
  <c r="G58" i="86"/>
  <c r="D59" i="86" s="1"/>
  <c r="F59" i="86" s="1"/>
  <c r="AD58" i="86"/>
  <c r="AE58" i="86"/>
  <c r="E66" i="87"/>
  <c r="H66" i="87"/>
  <c r="H67" i="87" s="1"/>
  <c r="AF58" i="86" l="1"/>
  <c r="G59" i="86"/>
  <c r="D60" i="86" s="1"/>
  <c r="F60" i="86" s="1"/>
  <c r="AE59" i="86"/>
  <c r="AD59" i="86"/>
  <c r="AF59" i="86" l="1"/>
  <c r="G60" i="86"/>
  <c r="AD60" i="86"/>
  <c r="AE60" i="86"/>
  <c r="AF60" i="86" l="1"/>
  <c r="D61" i="86"/>
  <c r="F61" i="86" s="1"/>
  <c r="G61" i="86" s="1"/>
  <c r="D62" i="86" s="1"/>
  <c r="F62" i="86" s="1"/>
  <c r="AE61" i="86" l="1"/>
  <c r="AD61" i="86"/>
  <c r="G62" i="86"/>
  <c r="D63" i="86" s="1"/>
  <c r="F63" i="86" s="1"/>
  <c r="AD62" i="86"/>
  <c r="AE62" i="86"/>
  <c r="AF62" i="86" l="1"/>
  <c r="AF61" i="86"/>
  <c r="G63" i="86"/>
  <c r="D64" i="86" s="1"/>
  <c r="F64" i="86" s="1"/>
  <c r="AE63" i="86"/>
  <c r="AD63" i="86"/>
  <c r="AF63" i="86" l="1"/>
  <c r="G64" i="86"/>
  <c r="AD64" i="86"/>
  <c r="AE64" i="86"/>
  <c r="AF64" i="86" l="1"/>
  <c r="D65" i="86"/>
  <c r="F65" i="86" s="1"/>
  <c r="G65" i="86" s="1"/>
  <c r="D66" i="86" s="1"/>
  <c r="F66" i="86" s="1"/>
  <c r="AY53" i="88"/>
  <c r="AY41" i="88"/>
  <c r="AY35" i="88"/>
  <c r="AY29" i="88"/>
  <c r="G66" i="86" l="1"/>
  <c r="D67" i="86" s="1"/>
  <c r="F67" i="86" s="1"/>
  <c r="AD66" i="86"/>
  <c r="AE66" i="86"/>
  <c r="AE65" i="86"/>
  <c r="AD65" i="86"/>
  <c r="AF66" i="86" l="1"/>
  <c r="AF65" i="86"/>
  <c r="G67" i="86"/>
  <c r="AE67" i="86"/>
  <c r="AD67" i="86"/>
  <c r="AX53" i="88"/>
  <c r="AX41" i="88"/>
  <c r="AX35" i="88"/>
  <c r="AX29" i="88"/>
  <c r="D68" i="86" l="1"/>
  <c r="AF67" i="86"/>
  <c r="F68" i="86" l="1"/>
  <c r="D69" i="86"/>
  <c r="A3" i="79"/>
  <c r="AD68" i="86" l="1"/>
  <c r="AE68" i="86"/>
  <c r="F69" i="86"/>
  <c r="G68" i="86"/>
  <c r="AF68" i="86" l="1"/>
  <c r="C24" i="70" l="1"/>
  <c r="C23" i="71"/>
  <c r="AT75" i="88" l="1"/>
  <c r="C23" i="70" l="1"/>
  <c r="C22" i="70"/>
  <c r="AP88" i="88" l="1"/>
  <c r="AP87" i="88"/>
  <c r="AP86" i="88"/>
  <c r="AP85" i="88"/>
  <c r="AP82" i="88"/>
  <c r="AP81" i="88"/>
  <c r="AP80" i="88"/>
  <c r="AP79" i="88"/>
  <c r="AP76" i="88"/>
  <c r="AP75" i="88"/>
  <c r="AP74" i="88"/>
  <c r="AP73" i="88"/>
  <c r="AP70" i="88"/>
  <c r="AP69" i="88"/>
  <c r="AP68" i="88"/>
  <c r="AP67" i="88"/>
  <c r="AP64" i="88"/>
  <c r="AP63" i="88"/>
  <c r="AP62" i="88"/>
  <c r="AP61" i="88"/>
  <c r="AP58" i="88"/>
  <c r="AP57" i="88"/>
  <c r="AP56" i="88"/>
  <c r="AP55" i="88"/>
  <c r="AP52" i="88"/>
  <c r="AP51" i="88"/>
  <c r="AP50" i="88"/>
  <c r="AP49" i="88"/>
  <c r="AP46" i="88"/>
  <c r="AP45" i="88"/>
  <c r="AP44" i="88"/>
  <c r="AP43" i="88"/>
  <c r="AP40" i="88"/>
  <c r="AP39" i="88"/>
  <c r="AP38" i="88"/>
  <c r="AP37" i="88"/>
  <c r="AP34" i="88"/>
  <c r="AP33" i="88"/>
  <c r="AP32" i="88"/>
  <c r="AP31" i="88"/>
  <c r="AP28" i="88"/>
  <c r="AP27" i="88"/>
  <c r="AP26" i="88"/>
  <c r="AP25" i="88"/>
  <c r="AP22" i="88"/>
  <c r="AP21" i="88"/>
  <c r="AP20" i="88"/>
  <c r="AP19" i="88"/>
  <c r="AP16" i="88"/>
  <c r="AP15" i="88"/>
  <c r="AP14" i="88"/>
  <c r="AP13" i="88"/>
  <c r="AP10" i="88"/>
  <c r="AP94" i="88" s="1"/>
  <c r="AP9" i="88"/>
  <c r="AP93" i="88" s="1"/>
  <c r="AP8" i="88"/>
  <c r="AP92" i="88" s="1"/>
  <c r="AP7" i="88"/>
  <c r="BB94" i="88"/>
  <c r="BA94" i="88"/>
  <c r="AZ94" i="88"/>
  <c r="AY94" i="88"/>
  <c r="AX94" i="88"/>
  <c r="AW94" i="88"/>
  <c r="AV94" i="88"/>
  <c r="AU94" i="88"/>
  <c r="AT94" i="88"/>
  <c r="AS94" i="88"/>
  <c r="AR94" i="88"/>
  <c r="AQ94" i="88"/>
  <c r="BB93" i="88"/>
  <c r="BA93" i="88"/>
  <c r="AZ93" i="88"/>
  <c r="AY93" i="88"/>
  <c r="AX93" i="88"/>
  <c r="AW93" i="88"/>
  <c r="AV93" i="88"/>
  <c r="AU93" i="88"/>
  <c r="AT93" i="88"/>
  <c r="AS93" i="88"/>
  <c r="AR93" i="88"/>
  <c r="AQ93" i="88"/>
  <c r="BB92" i="88"/>
  <c r="BA92" i="88"/>
  <c r="AZ92" i="88"/>
  <c r="AY92" i="88"/>
  <c r="AX92" i="88"/>
  <c r="AW92" i="88"/>
  <c r="AV92" i="88"/>
  <c r="AU92" i="88"/>
  <c r="AT92" i="88"/>
  <c r="AS92" i="88"/>
  <c r="AR92" i="88"/>
  <c r="AQ92" i="88"/>
  <c r="BB91" i="88"/>
  <c r="BA91" i="88"/>
  <c r="AZ91" i="88"/>
  <c r="AY91" i="88"/>
  <c r="AX91" i="88"/>
  <c r="AW91" i="88"/>
  <c r="AV91" i="88"/>
  <c r="AU91" i="88"/>
  <c r="AT91" i="88"/>
  <c r="AS91" i="88"/>
  <c r="AR91" i="88"/>
  <c r="AQ91" i="88"/>
  <c r="BC88" i="88"/>
  <c r="BC87" i="88"/>
  <c r="BC86" i="88"/>
  <c r="BC85" i="88"/>
  <c r="BC82" i="88"/>
  <c r="BC81" i="88"/>
  <c r="BC80" i="88"/>
  <c r="BC79" i="88"/>
  <c r="BC76" i="88"/>
  <c r="BC75" i="88"/>
  <c r="BC74" i="88"/>
  <c r="BC73" i="88"/>
  <c r="BC70" i="88"/>
  <c r="BC69" i="88"/>
  <c r="BC68" i="88"/>
  <c r="BC67" i="88"/>
  <c r="BC64" i="88"/>
  <c r="BC63" i="88"/>
  <c r="BC62" i="88"/>
  <c r="BC61" i="88"/>
  <c r="BC58" i="88"/>
  <c r="BC57" i="88"/>
  <c r="BC56" i="88"/>
  <c r="BC55" i="88"/>
  <c r="BC52" i="88"/>
  <c r="BC51" i="88"/>
  <c r="BC50" i="88"/>
  <c r="BC49" i="88"/>
  <c r="BC46" i="88"/>
  <c r="BC45" i="88"/>
  <c r="BC44" i="88"/>
  <c r="BC43" i="88"/>
  <c r="BC40" i="88"/>
  <c r="BC39" i="88"/>
  <c r="BC38" i="88"/>
  <c r="BC37" i="88"/>
  <c r="BC34" i="88"/>
  <c r="BC33" i="88"/>
  <c r="BC32" i="88"/>
  <c r="BC31" i="88"/>
  <c r="BC28" i="88"/>
  <c r="BC27" i="88"/>
  <c r="BC26" i="88"/>
  <c r="BC25" i="88"/>
  <c r="BC22" i="88"/>
  <c r="BC21" i="88"/>
  <c r="BC20" i="88"/>
  <c r="BC19" i="88"/>
  <c r="BC16" i="88"/>
  <c r="BC15" i="88"/>
  <c r="BC14" i="88"/>
  <c r="BC13" i="88"/>
  <c r="BC10" i="88"/>
  <c r="BC9" i="88"/>
  <c r="BC8" i="88"/>
  <c r="BC7" i="88"/>
  <c r="AP91" i="88" l="1"/>
  <c r="BC92" i="88"/>
  <c r="BC93" i="88"/>
  <c r="BC94" i="88"/>
  <c r="BC91" i="88"/>
  <c r="D22" i="99" l="1"/>
  <c r="B31" i="98" l="1"/>
  <c r="E31" i="98" s="1"/>
  <c r="C30" i="98"/>
  <c r="B30" i="98"/>
  <c r="I30" i="98" s="1"/>
  <c r="E29" i="98"/>
  <c r="B29" i="98"/>
  <c r="I29" i="98" s="1"/>
  <c r="B28" i="98"/>
  <c r="E28" i="98" s="1"/>
  <c r="D27" i="98"/>
  <c r="C27" i="98"/>
  <c r="B27" i="98"/>
  <c r="I27" i="98" s="1"/>
  <c r="E26" i="98"/>
  <c r="B26" i="98"/>
  <c r="C26" i="98" s="1"/>
  <c r="I25" i="98"/>
  <c r="C25" i="98"/>
  <c r="B25" i="98"/>
  <c r="E25" i="98" s="1"/>
  <c r="E24" i="98"/>
  <c r="C24" i="98"/>
  <c r="B24" i="98"/>
  <c r="I24" i="98" s="1"/>
  <c r="B23" i="98"/>
  <c r="E23" i="98" s="1"/>
  <c r="C22" i="98"/>
  <c r="B22" i="98"/>
  <c r="I22" i="98" s="1"/>
  <c r="E21" i="98"/>
  <c r="B21" i="98"/>
  <c r="I21" i="98" s="1"/>
  <c r="P20" i="98"/>
  <c r="H20" i="98" s="1"/>
  <c r="B20" i="98"/>
  <c r="C20" i="98" s="1"/>
  <c r="P19" i="98"/>
  <c r="D30" i="98" s="1"/>
  <c r="B19" i="98"/>
  <c r="E19" i="98" s="1"/>
  <c r="E18" i="98"/>
  <c r="B18" i="98"/>
  <c r="B17" i="98"/>
  <c r="E17" i="98" s="1"/>
  <c r="E16" i="98"/>
  <c r="B16" i="98"/>
  <c r="L15" i="98"/>
  <c r="L32" i="98" s="1"/>
  <c r="D15" i="98"/>
  <c r="C15" i="98"/>
  <c r="B15" i="98"/>
  <c r="E15" i="98" s="1"/>
  <c r="D14" i="98"/>
  <c r="B14" i="98"/>
  <c r="C14" i="98" s="1"/>
  <c r="B13" i="98"/>
  <c r="C13" i="98" s="1"/>
  <c r="B12" i="98"/>
  <c r="E12" i="98" s="1"/>
  <c r="E11" i="98"/>
  <c r="D11" i="98"/>
  <c r="C11" i="98"/>
  <c r="B11" i="98"/>
  <c r="B10" i="98"/>
  <c r="C10" i="98" s="1"/>
  <c r="Q9" i="98"/>
  <c r="P9" i="98"/>
  <c r="O9" i="98"/>
  <c r="E9" i="98"/>
  <c r="B9" i="98"/>
  <c r="C9" i="98" s="1"/>
  <c r="E8" i="98"/>
  <c r="C8" i="98"/>
  <c r="B8" i="98"/>
  <c r="D7" i="98"/>
  <c r="C7" i="98"/>
  <c r="B7" i="98"/>
  <c r="E7" i="98" s="1"/>
  <c r="D6" i="98"/>
  <c r="C6" i="98"/>
  <c r="B6" i="98"/>
  <c r="E6" i="98" s="1"/>
  <c r="H3" i="98"/>
  <c r="H26" i="98" l="1"/>
  <c r="I28" i="98"/>
  <c r="F7" i="98"/>
  <c r="F11" i="98"/>
  <c r="E14" i="98"/>
  <c r="E20" i="98"/>
  <c r="H21" i="98"/>
  <c r="J21" i="98" s="1"/>
  <c r="E22" i="98"/>
  <c r="C23" i="98"/>
  <c r="I23" i="98"/>
  <c r="H24" i="98"/>
  <c r="J24" i="98" s="1"/>
  <c r="D25" i="98"/>
  <c r="I26" i="98"/>
  <c r="E27" i="98"/>
  <c r="C28" i="98"/>
  <c r="H29" i="98"/>
  <c r="J29" i="98" s="1"/>
  <c r="E30" i="98"/>
  <c r="C31" i="98"/>
  <c r="I31" i="98"/>
  <c r="H23" i="98"/>
  <c r="H31" i="98"/>
  <c r="D9" i="98"/>
  <c r="F9" i="98" s="1"/>
  <c r="I20" i="98"/>
  <c r="J20" i="98" s="1"/>
  <c r="C21" i="98"/>
  <c r="F21" i="98" s="1"/>
  <c r="H22" i="98"/>
  <c r="J22" i="98" s="1"/>
  <c r="D23" i="98"/>
  <c r="H27" i="98"/>
  <c r="J27" i="98" s="1"/>
  <c r="C29" i="98"/>
  <c r="F29" i="98" s="1"/>
  <c r="H30" i="98"/>
  <c r="J30" i="98" s="1"/>
  <c r="D31" i="98"/>
  <c r="D21" i="98"/>
  <c r="H25" i="98"/>
  <c r="J25" i="98" s="1"/>
  <c r="H28" i="98"/>
  <c r="J28" i="98" s="1"/>
  <c r="D29" i="98"/>
  <c r="F6" i="98"/>
  <c r="D10" i="98"/>
  <c r="F10" i="98" s="1"/>
  <c r="C12" i="98"/>
  <c r="E13" i="98"/>
  <c r="D20" i="98"/>
  <c r="F30" i="98"/>
  <c r="E10" i="98"/>
  <c r="E32" i="98" s="1"/>
  <c r="D12" i="98"/>
  <c r="F15" i="98"/>
  <c r="D22" i="98"/>
  <c r="F23" i="98"/>
  <c r="D24" i="98"/>
  <c r="F24" i="98" s="1"/>
  <c r="F25" i="98"/>
  <c r="D26" i="98"/>
  <c r="F26" i="98" s="1"/>
  <c r="F27" i="98"/>
  <c r="D28" i="98"/>
  <c r="F28" i="98" s="1"/>
  <c r="F31" i="98"/>
  <c r="F22" i="98"/>
  <c r="F12" i="98"/>
  <c r="I16" i="98"/>
  <c r="H16" i="98"/>
  <c r="C16" i="98"/>
  <c r="I17" i="98"/>
  <c r="H17" i="98"/>
  <c r="C17" i="98"/>
  <c r="I18" i="98"/>
  <c r="H18" i="98"/>
  <c r="J18" i="98" s="1"/>
  <c r="C18" i="98"/>
  <c r="F18" i="98" s="1"/>
  <c r="I19" i="98"/>
  <c r="H19" i="98"/>
  <c r="J19" i="98" s="1"/>
  <c r="C19" i="98"/>
  <c r="F19" i="98" s="1"/>
  <c r="D19" i="98"/>
  <c r="D18" i="98"/>
  <c r="D17" i="98"/>
  <c r="D16" i="98"/>
  <c r="D13" i="98"/>
  <c r="F13" i="98" s="1"/>
  <c r="D8" i="98"/>
  <c r="F14" i="98"/>
  <c r="F20" i="98"/>
  <c r="F16" i="98" l="1"/>
  <c r="F17" i="98"/>
  <c r="J31" i="98"/>
  <c r="J26" i="98"/>
  <c r="J17" i="98"/>
  <c r="I32" i="98"/>
  <c r="J23" i="98"/>
  <c r="F32" i="98"/>
  <c r="D32" i="98"/>
  <c r="F8" i="98"/>
  <c r="H32" i="98"/>
  <c r="J16" i="98"/>
  <c r="C32" i="98"/>
  <c r="J32" i="98" l="1"/>
  <c r="AC88" i="88" l="1"/>
  <c r="P88" i="88"/>
  <c r="AC87" i="88"/>
  <c r="AC86" i="88"/>
  <c r="AC85" i="88"/>
  <c r="AC84" i="88"/>
  <c r="V83" i="88"/>
  <c r="W84" i="88" s="1"/>
  <c r="W83" i="88" s="1"/>
  <c r="X84" i="88" s="1"/>
  <c r="X83" i="88" s="1"/>
  <c r="Y84" i="88" s="1"/>
  <c r="Y83" i="88" s="1"/>
  <c r="Z84" i="88" s="1"/>
  <c r="Z83" i="88" s="1"/>
  <c r="AA84" i="88" s="1"/>
  <c r="AA83" i="88" s="1"/>
  <c r="AB84" i="88" s="1"/>
  <c r="AB83" i="88" s="1"/>
  <c r="U83" i="88"/>
  <c r="T83" i="88"/>
  <c r="S83" i="88"/>
  <c r="R83" i="88"/>
  <c r="Q83" i="88"/>
  <c r="P83" i="88"/>
  <c r="O83" i="88"/>
  <c r="N83" i="88"/>
  <c r="M83" i="88"/>
  <c r="L83" i="88"/>
  <c r="K83" i="88"/>
  <c r="J83" i="88"/>
  <c r="I83" i="88"/>
  <c r="H83" i="88"/>
  <c r="G83" i="88"/>
  <c r="F83" i="88"/>
  <c r="E83" i="88"/>
  <c r="D83" i="88"/>
  <c r="AC82" i="88"/>
  <c r="P82" i="88"/>
  <c r="AC81" i="88"/>
  <c r="P81" i="88"/>
  <c r="AC80" i="88"/>
  <c r="P80" i="88"/>
  <c r="AC79" i="88"/>
  <c r="P79" i="88"/>
  <c r="P78" i="88"/>
  <c r="O77" i="88"/>
  <c r="N77" i="88"/>
  <c r="M77" i="88"/>
  <c r="L77" i="88"/>
  <c r="K77" i="88"/>
  <c r="J77" i="88"/>
  <c r="I77" i="88"/>
  <c r="H77" i="88"/>
  <c r="G77" i="88"/>
  <c r="F77" i="88"/>
  <c r="E77" i="88"/>
  <c r="D77" i="88"/>
  <c r="AC76" i="88"/>
  <c r="P76" i="88"/>
  <c r="AC75" i="88"/>
  <c r="P75" i="88"/>
  <c r="AC74" i="88"/>
  <c r="P74" i="88"/>
  <c r="AC73" i="88"/>
  <c r="P73" i="88"/>
  <c r="P72" i="88"/>
  <c r="O71" i="88"/>
  <c r="N71" i="88"/>
  <c r="M71" i="88"/>
  <c r="L71" i="88"/>
  <c r="K71" i="88"/>
  <c r="J71" i="88"/>
  <c r="I71" i="88"/>
  <c r="H71" i="88"/>
  <c r="G71" i="88"/>
  <c r="F71" i="88"/>
  <c r="E71" i="88"/>
  <c r="D71" i="88"/>
  <c r="AC70" i="88"/>
  <c r="P70" i="88"/>
  <c r="AC69" i="88"/>
  <c r="P69" i="88"/>
  <c r="AC68" i="88"/>
  <c r="P68" i="88"/>
  <c r="AC67" i="88"/>
  <c r="P67" i="88"/>
  <c r="P66" i="88"/>
  <c r="P65" i="88" s="1"/>
  <c r="Q66" i="88" s="1"/>
  <c r="Q65" i="88" s="1"/>
  <c r="R66" i="88" s="1"/>
  <c r="R65" i="88" s="1"/>
  <c r="S66" i="88" s="1"/>
  <c r="S65" i="88" s="1"/>
  <c r="T66" i="88" s="1"/>
  <c r="T65" i="88" s="1"/>
  <c r="U66" i="88" s="1"/>
  <c r="U65" i="88" s="1"/>
  <c r="V66" i="88" s="1"/>
  <c r="V65" i="88" s="1"/>
  <c r="W66" i="88" s="1"/>
  <c r="W65" i="88" s="1"/>
  <c r="X66" i="88" s="1"/>
  <c r="X65" i="88" s="1"/>
  <c r="Y66" i="88" s="1"/>
  <c r="Y65" i="88" s="1"/>
  <c r="Z66" i="88" s="1"/>
  <c r="Z65" i="88" s="1"/>
  <c r="AA66" i="88" s="1"/>
  <c r="AA65" i="88" s="1"/>
  <c r="AB66" i="88" s="1"/>
  <c r="AB65" i="88" s="1"/>
  <c r="O65" i="88"/>
  <c r="N65" i="88"/>
  <c r="M65" i="88"/>
  <c r="L65" i="88"/>
  <c r="K65" i="88"/>
  <c r="J65" i="88"/>
  <c r="I65" i="88"/>
  <c r="H65" i="88"/>
  <c r="G65" i="88"/>
  <c r="F65" i="88"/>
  <c r="E65" i="88"/>
  <c r="D65" i="88"/>
  <c r="AC64" i="88"/>
  <c r="P64" i="88"/>
  <c r="AC63" i="88"/>
  <c r="P63" i="88"/>
  <c r="AC62" i="88"/>
  <c r="P62" i="88"/>
  <c r="AC61" i="88"/>
  <c r="P61" i="88"/>
  <c r="O59" i="88"/>
  <c r="C59" i="88"/>
  <c r="D60" i="88" s="1"/>
  <c r="D59" i="88" s="1"/>
  <c r="E60" i="88" s="1"/>
  <c r="E59" i="88" s="1"/>
  <c r="F60" i="88" s="1"/>
  <c r="F59" i="88" s="1"/>
  <c r="G60" i="88" s="1"/>
  <c r="G59" i="88" s="1"/>
  <c r="H60" i="88" s="1"/>
  <c r="H59" i="88" s="1"/>
  <c r="I60" i="88" s="1"/>
  <c r="I59" i="88" s="1"/>
  <c r="J60" i="88" s="1"/>
  <c r="J59" i="88" s="1"/>
  <c r="K60" i="88" s="1"/>
  <c r="K59" i="88" s="1"/>
  <c r="L60" i="88" s="1"/>
  <c r="L59" i="88" s="1"/>
  <c r="M60" i="88" s="1"/>
  <c r="M59" i="88" s="1"/>
  <c r="N60" i="88" s="1"/>
  <c r="N59" i="88" s="1"/>
  <c r="AC58" i="88"/>
  <c r="P58" i="88"/>
  <c r="AC57" i="88"/>
  <c r="P57" i="88"/>
  <c r="AC56" i="88"/>
  <c r="P56" i="88"/>
  <c r="AC55" i="88"/>
  <c r="P55" i="88"/>
  <c r="AO53" i="88"/>
  <c r="AN53" i="88"/>
  <c r="AM53" i="88"/>
  <c r="AL53" i="88"/>
  <c r="AK53" i="88"/>
  <c r="AJ53" i="88"/>
  <c r="AB53" i="88"/>
  <c r="AA53" i="88"/>
  <c r="Z53" i="88"/>
  <c r="Y53" i="88"/>
  <c r="X53" i="88"/>
  <c r="W53" i="88"/>
  <c r="O53" i="88"/>
  <c r="C53" i="88"/>
  <c r="D54" i="88" s="1"/>
  <c r="AC52" i="88"/>
  <c r="P52" i="88"/>
  <c r="AC51" i="88"/>
  <c r="P51" i="88"/>
  <c r="AC50" i="88"/>
  <c r="P50" i="88"/>
  <c r="AC49" i="88"/>
  <c r="P49" i="88"/>
  <c r="D48" i="88"/>
  <c r="D47" i="88" s="1"/>
  <c r="E48" i="88" s="1"/>
  <c r="E47" i="88" s="1"/>
  <c r="F48" i="88" s="1"/>
  <c r="F47" i="88" s="1"/>
  <c r="G48" i="88" s="1"/>
  <c r="G47" i="88" s="1"/>
  <c r="H48" i="88" s="1"/>
  <c r="H47" i="88" s="1"/>
  <c r="I48" i="88" s="1"/>
  <c r="I47" i="88" s="1"/>
  <c r="J48" i="88" s="1"/>
  <c r="J47" i="88" s="1"/>
  <c r="K48" i="88" s="1"/>
  <c r="K47" i="88" s="1"/>
  <c r="L48" i="88" s="1"/>
  <c r="L47" i="88" s="1"/>
  <c r="M48" i="88" s="1"/>
  <c r="M47" i="88" s="1"/>
  <c r="N48" i="88" s="1"/>
  <c r="N47" i="88" s="1"/>
  <c r="O47" i="88"/>
  <c r="C47" i="88"/>
  <c r="AC46" i="88"/>
  <c r="P46" i="88"/>
  <c r="AC45" i="88"/>
  <c r="P45" i="88"/>
  <c r="AC44" i="88"/>
  <c r="P44" i="88"/>
  <c r="AC43" i="88"/>
  <c r="P43" i="88"/>
  <c r="AO41" i="88"/>
  <c r="AN41" i="88"/>
  <c r="AM41" i="88"/>
  <c r="AL41" i="88"/>
  <c r="AK41" i="88"/>
  <c r="AJ41" i="88"/>
  <c r="AB41" i="88"/>
  <c r="AA41" i="88"/>
  <c r="Z41" i="88"/>
  <c r="Y41" i="88"/>
  <c r="X41" i="88"/>
  <c r="W41" i="88"/>
  <c r="O41" i="88"/>
  <c r="C41" i="88"/>
  <c r="D42" i="88" s="1"/>
  <c r="AC40" i="88"/>
  <c r="P40" i="88"/>
  <c r="AC39" i="88"/>
  <c r="P39" i="88"/>
  <c r="AC38" i="88"/>
  <c r="P38" i="88"/>
  <c r="AC37" i="88"/>
  <c r="P37" i="88"/>
  <c r="AO35" i="88"/>
  <c r="AN35" i="88"/>
  <c r="AM35" i="88"/>
  <c r="AL35" i="88"/>
  <c r="AK35" i="88"/>
  <c r="AJ35" i="88"/>
  <c r="AB35" i="88"/>
  <c r="AA35" i="88"/>
  <c r="Z35" i="88"/>
  <c r="Y35" i="88"/>
  <c r="X35" i="88"/>
  <c r="W35" i="88"/>
  <c r="O35" i="88"/>
  <c r="C35" i="88"/>
  <c r="D36" i="88" s="1"/>
  <c r="D35" i="88" s="1"/>
  <c r="E36" i="88" s="1"/>
  <c r="E35" i="88" s="1"/>
  <c r="F36" i="88" s="1"/>
  <c r="F35" i="88" s="1"/>
  <c r="G36" i="88" s="1"/>
  <c r="G35" i="88" s="1"/>
  <c r="H36" i="88" s="1"/>
  <c r="H35" i="88" s="1"/>
  <c r="I36" i="88" s="1"/>
  <c r="I35" i="88" s="1"/>
  <c r="J36" i="88" s="1"/>
  <c r="J35" i="88" s="1"/>
  <c r="K36" i="88" s="1"/>
  <c r="K35" i="88" s="1"/>
  <c r="L36" i="88" s="1"/>
  <c r="L35" i="88" s="1"/>
  <c r="M36" i="88" s="1"/>
  <c r="M35" i="88" s="1"/>
  <c r="N36" i="88" s="1"/>
  <c r="N35" i="88" s="1"/>
  <c r="AC34" i="88"/>
  <c r="P34" i="88"/>
  <c r="AC33" i="88"/>
  <c r="P33" i="88"/>
  <c r="AC32" i="88"/>
  <c r="P32" i="88"/>
  <c r="AC31" i="88"/>
  <c r="P31" i="88"/>
  <c r="AO29" i="88"/>
  <c r="AN29" i="88"/>
  <c r="AM29" i="88"/>
  <c r="AL29" i="88"/>
  <c r="AK29" i="88"/>
  <c r="AJ29" i="88"/>
  <c r="AB29" i="88"/>
  <c r="AA29" i="88"/>
  <c r="Z29" i="88"/>
  <c r="Y29" i="88"/>
  <c r="X29" i="88"/>
  <c r="W29" i="88"/>
  <c r="O29" i="88"/>
  <c r="C29" i="88"/>
  <c r="D30" i="88" s="1"/>
  <c r="AC28" i="88"/>
  <c r="P28" i="88"/>
  <c r="AC27" i="88"/>
  <c r="P27" i="88"/>
  <c r="AC26" i="88"/>
  <c r="P26" i="88"/>
  <c r="AC25" i="88"/>
  <c r="P25" i="88"/>
  <c r="O23" i="88"/>
  <c r="C23" i="88"/>
  <c r="D24" i="88" s="1"/>
  <c r="AC22" i="88"/>
  <c r="P22" i="88"/>
  <c r="AC21" i="88"/>
  <c r="P21" i="88"/>
  <c r="AC20" i="88"/>
  <c r="P20" i="88"/>
  <c r="AC19" i="88"/>
  <c r="P19" i="88"/>
  <c r="O17" i="88"/>
  <c r="C17" i="88"/>
  <c r="D18" i="88" s="1"/>
  <c r="AC16" i="88"/>
  <c r="P16" i="88"/>
  <c r="AC15" i="88"/>
  <c r="P15" i="88"/>
  <c r="AC14" i="88"/>
  <c r="P14" i="88"/>
  <c r="AC13" i="88"/>
  <c r="P13" i="88"/>
  <c r="C11" i="88"/>
  <c r="D12" i="88" s="1"/>
  <c r="P12" i="88" s="1"/>
  <c r="AC10" i="88"/>
  <c r="P10" i="88"/>
  <c r="AC9" i="88"/>
  <c r="P9" i="88"/>
  <c r="AC8" i="88"/>
  <c r="P8" i="88"/>
  <c r="AC7" i="88"/>
  <c r="P7" i="88"/>
  <c r="C5" i="88"/>
  <c r="D6" i="88" s="1"/>
  <c r="D5" i="88" s="1"/>
  <c r="E6" i="88" s="1"/>
  <c r="E5" i="88" s="1"/>
  <c r="F6" i="88" s="1"/>
  <c r="F5" i="88" s="1"/>
  <c r="G6" i="88" s="1"/>
  <c r="G5" i="88" s="1"/>
  <c r="H6" i="88" s="1"/>
  <c r="H5" i="88" s="1"/>
  <c r="I6" i="88" s="1"/>
  <c r="I5" i="88" s="1"/>
  <c r="J6" i="88" s="1"/>
  <c r="J5" i="88" s="1"/>
  <c r="K6" i="88" s="1"/>
  <c r="K5" i="88" s="1"/>
  <c r="L6" i="88" s="1"/>
  <c r="L5" i="88" s="1"/>
  <c r="M6" i="88" s="1"/>
  <c r="M5" i="88" s="1"/>
  <c r="N6" i="88" s="1"/>
  <c r="N5" i="88" s="1"/>
  <c r="O6" i="88" s="1"/>
  <c r="O5" i="88" s="1"/>
  <c r="D41" i="88" l="1"/>
  <c r="E42" i="88" s="1"/>
  <c r="E41" i="88" s="1"/>
  <c r="F42" i="88" s="1"/>
  <c r="F41" i="88" s="1"/>
  <c r="G42" i="88" s="1"/>
  <c r="G41" i="88" s="1"/>
  <c r="H42" i="88" s="1"/>
  <c r="H41" i="88" s="1"/>
  <c r="I42" i="88" s="1"/>
  <c r="I41" i="88" s="1"/>
  <c r="J42" i="88" s="1"/>
  <c r="J41" i="88" s="1"/>
  <c r="K42" i="88" s="1"/>
  <c r="K41" i="88" s="1"/>
  <c r="L42" i="88" s="1"/>
  <c r="L41" i="88" s="1"/>
  <c r="M42" i="88" s="1"/>
  <c r="M41" i="88" s="1"/>
  <c r="N42" i="88" s="1"/>
  <c r="N41" i="88" s="1"/>
  <c r="P42" i="88"/>
  <c r="P41" i="88" s="1"/>
  <c r="Q42" i="88" s="1"/>
  <c r="P77" i="88"/>
  <c r="Q78" i="88" s="1"/>
  <c r="Q77" i="88" s="1"/>
  <c r="R78" i="88" s="1"/>
  <c r="R77" i="88" s="1"/>
  <c r="S78" i="88" s="1"/>
  <c r="S77" i="88" s="1"/>
  <c r="T78" i="88" s="1"/>
  <c r="T77" i="88" s="1"/>
  <c r="U78" i="88" s="1"/>
  <c r="U77" i="88" s="1"/>
  <c r="V78" i="88" s="1"/>
  <c r="V77" i="88" s="1"/>
  <c r="W78" i="88" s="1"/>
  <c r="W77" i="88" s="1"/>
  <c r="X78" i="88" s="1"/>
  <c r="X77" i="88" s="1"/>
  <c r="Y78" i="88" s="1"/>
  <c r="Y77" i="88" s="1"/>
  <c r="Z78" i="88" s="1"/>
  <c r="Z77" i="88" s="1"/>
  <c r="AA78" i="88" s="1"/>
  <c r="AA77" i="88" s="1"/>
  <c r="AB78" i="88" s="1"/>
  <c r="AB77" i="88" s="1"/>
  <c r="P11" i="88"/>
  <c r="Q12" i="88" s="1"/>
  <c r="Q11" i="88" s="1"/>
  <c r="R12" i="88" s="1"/>
  <c r="R11" i="88" s="1"/>
  <c r="S12" i="88" s="1"/>
  <c r="S11" i="88" s="1"/>
  <c r="T12" i="88" s="1"/>
  <c r="T11" i="88" s="1"/>
  <c r="U12" i="88" s="1"/>
  <c r="U11" i="88" s="1"/>
  <c r="V12" i="88" s="1"/>
  <c r="V11" i="88" s="1"/>
  <c r="W12" i="88" s="1"/>
  <c r="W11" i="88" s="1"/>
  <c r="X12" i="88" s="1"/>
  <c r="X11" i="88" s="1"/>
  <c r="Y12" i="88" s="1"/>
  <c r="Y11" i="88" s="1"/>
  <c r="Z12" i="88" s="1"/>
  <c r="Z11" i="88" s="1"/>
  <c r="AA12" i="88" s="1"/>
  <c r="AA11" i="88" s="1"/>
  <c r="AB12" i="88" s="1"/>
  <c r="AB11" i="88" s="1"/>
  <c r="P60" i="88"/>
  <c r="AC12" i="88"/>
  <c r="AC11" i="88" s="1"/>
  <c r="AD12" i="88" s="1"/>
  <c r="P6" i="88"/>
  <c r="P5" i="88" s="1"/>
  <c r="Q6" i="88" s="1"/>
  <c r="D11" i="88"/>
  <c r="E12" i="88" s="1"/>
  <c r="E11" i="88" s="1"/>
  <c r="F12" i="88" s="1"/>
  <c r="F11" i="88" s="1"/>
  <c r="G12" i="88" s="1"/>
  <c r="G11" i="88" s="1"/>
  <c r="H12" i="88" s="1"/>
  <c r="H11" i="88" s="1"/>
  <c r="I12" i="88" s="1"/>
  <c r="I11" i="88" s="1"/>
  <c r="J12" i="88" s="1"/>
  <c r="J11" i="88" s="1"/>
  <c r="K12" i="88" s="1"/>
  <c r="K11" i="88" s="1"/>
  <c r="L12" i="88" s="1"/>
  <c r="L11" i="88" s="1"/>
  <c r="M12" i="88" s="1"/>
  <c r="M11" i="88" s="1"/>
  <c r="N12" i="88" s="1"/>
  <c r="N11" i="88" s="1"/>
  <c r="O12" i="88" s="1"/>
  <c r="O11" i="88" s="1"/>
  <c r="P18" i="88"/>
  <c r="P17" i="88" s="1"/>
  <c r="Q18" i="88" s="1"/>
  <c r="D17" i="88"/>
  <c r="E18" i="88" s="1"/>
  <c r="E17" i="88" s="1"/>
  <c r="F18" i="88" s="1"/>
  <c r="F17" i="88" s="1"/>
  <c r="G18" i="88" s="1"/>
  <c r="G17" i="88" s="1"/>
  <c r="H18" i="88" s="1"/>
  <c r="H17" i="88" s="1"/>
  <c r="I18" i="88" s="1"/>
  <c r="I17" i="88" s="1"/>
  <c r="J18" i="88" s="1"/>
  <c r="J17" i="88" s="1"/>
  <c r="K18" i="88" s="1"/>
  <c r="K17" i="88" s="1"/>
  <c r="L18" i="88" s="1"/>
  <c r="L17" i="88" s="1"/>
  <c r="M18" i="88" s="1"/>
  <c r="M17" i="88" s="1"/>
  <c r="N18" i="88" s="1"/>
  <c r="N17" i="88" s="1"/>
  <c r="AC42" i="88"/>
  <c r="AC41" i="88" s="1"/>
  <c r="AD42" i="88" s="1"/>
  <c r="Q41" i="88"/>
  <c r="R42" i="88" s="1"/>
  <c r="R41" i="88" s="1"/>
  <c r="S42" i="88" s="1"/>
  <c r="S41" i="88" s="1"/>
  <c r="T42" i="88" s="1"/>
  <c r="T41" i="88" s="1"/>
  <c r="U42" i="88" s="1"/>
  <c r="U41" i="88" s="1"/>
  <c r="V42" i="88" s="1"/>
  <c r="V41" i="88" s="1"/>
  <c r="P24" i="88"/>
  <c r="P23" i="88" s="1"/>
  <c r="Q24" i="88" s="1"/>
  <c r="D23" i="88"/>
  <c r="E24" i="88" s="1"/>
  <c r="E23" i="88" s="1"/>
  <c r="F24" i="88" s="1"/>
  <c r="F23" i="88" s="1"/>
  <c r="G24" i="88" s="1"/>
  <c r="G23" i="88" s="1"/>
  <c r="H24" i="88" s="1"/>
  <c r="H23" i="88" s="1"/>
  <c r="I24" i="88" s="1"/>
  <c r="I23" i="88" s="1"/>
  <c r="J24" i="88" s="1"/>
  <c r="J23" i="88" s="1"/>
  <c r="K24" i="88" s="1"/>
  <c r="K23" i="88" s="1"/>
  <c r="L24" i="88" s="1"/>
  <c r="L23" i="88" s="1"/>
  <c r="M24" i="88" s="1"/>
  <c r="M23" i="88" s="1"/>
  <c r="N24" i="88" s="1"/>
  <c r="N23" i="88" s="1"/>
  <c r="AC83" i="88"/>
  <c r="AD84" i="88" s="1"/>
  <c r="P30" i="88"/>
  <c r="P29" i="88" s="1"/>
  <c r="Q30" i="88" s="1"/>
  <c r="D29" i="88"/>
  <c r="E30" i="88" s="1"/>
  <c r="E29" i="88" s="1"/>
  <c r="F30" i="88" s="1"/>
  <c r="F29" i="88" s="1"/>
  <c r="G30" i="88" s="1"/>
  <c r="G29" i="88" s="1"/>
  <c r="H30" i="88" s="1"/>
  <c r="H29" i="88" s="1"/>
  <c r="I30" i="88" s="1"/>
  <c r="I29" i="88" s="1"/>
  <c r="J30" i="88" s="1"/>
  <c r="J29" i="88" s="1"/>
  <c r="K30" i="88" s="1"/>
  <c r="K29" i="88" s="1"/>
  <c r="L30" i="88" s="1"/>
  <c r="L29" i="88" s="1"/>
  <c r="M30" i="88" s="1"/>
  <c r="M29" i="88" s="1"/>
  <c r="N30" i="88" s="1"/>
  <c r="N29" i="88" s="1"/>
  <c r="D53" i="88"/>
  <c r="E54" i="88" s="1"/>
  <c r="E53" i="88" s="1"/>
  <c r="F54" i="88" s="1"/>
  <c r="F53" i="88" s="1"/>
  <c r="G54" i="88" s="1"/>
  <c r="G53" i="88" s="1"/>
  <c r="H54" i="88" s="1"/>
  <c r="H53" i="88" s="1"/>
  <c r="I54" i="88" s="1"/>
  <c r="I53" i="88" s="1"/>
  <c r="J54" i="88" s="1"/>
  <c r="J53" i="88" s="1"/>
  <c r="K54" i="88" s="1"/>
  <c r="K53" i="88" s="1"/>
  <c r="L54" i="88" s="1"/>
  <c r="L53" i="88" s="1"/>
  <c r="M54" i="88" s="1"/>
  <c r="M53" i="88" s="1"/>
  <c r="N54" i="88" s="1"/>
  <c r="N53" i="88" s="1"/>
  <c r="P54" i="88"/>
  <c r="P53" i="88" s="1"/>
  <c r="Q54" i="88" s="1"/>
  <c r="AC66" i="88"/>
  <c r="AC65" i="88" s="1"/>
  <c r="AD66" i="88" s="1"/>
  <c r="P48" i="88"/>
  <c r="P47" i="88" s="1"/>
  <c r="Q48" i="88" s="1"/>
  <c r="P71" i="88"/>
  <c r="Q72" i="88" s="1"/>
  <c r="P36" i="88"/>
  <c r="P35" i="88" s="1"/>
  <c r="Q36" i="88" s="1"/>
  <c r="P59" i="88"/>
  <c r="Q60" i="88" s="1"/>
  <c r="AC78" i="88" l="1"/>
  <c r="AC77" i="88" s="1"/>
  <c r="AD78" i="88" s="1"/>
  <c r="AD83" i="88"/>
  <c r="AE84" i="88" s="1"/>
  <c r="AE83" i="88" s="1"/>
  <c r="AF84" i="88" s="1"/>
  <c r="AF83" i="88" s="1"/>
  <c r="AG84" i="88" s="1"/>
  <c r="AG83" i="88" s="1"/>
  <c r="AH84" i="88" s="1"/>
  <c r="AH83" i="88" s="1"/>
  <c r="AI84" i="88" s="1"/>
  <c r="AI83" i="88" s="1"/>
  <c r="AJ84" i="88" s="1"/>
  <c r="AJ83" i="88" s="1"/>
  <c r="AK84" i="88" s="1"/>
  <c r="AK83" i="88" s="1"/>
  <c r="AL84" i="88" s="1"/>
  <c r="AL83" i="88" s="1"/>
  <c r="AM84" i="88" s="1"/>
  <c r="AM83" i="88" s="1"/>
  <c r="AN84" i="88" s="1"/>
  <c r="AN83" i="88" s="1"/>
  <c r="AO84" i="88" s="1"/>
  <c r="AO83" i="88" s="1"/>
  <c r="AP84" i="88"/>
  <c r="AP83" i="88" s="1"/>
  <c r="AQ84" i="88" s="1"/>
  <c r="AD11" i="88"/>
  <c r="AE12" i="88" s="1"/>
  <c r="AE11" i="88" s="1"/>
  <c r="AF12" i="88" s="1"/>
  <c r="AF11" i="88" s="1"/>
  <c r="AG12" i="88" s="1"/>
  <c r="AG11" i="88" s="1"/>
  <c r="AH12" i="88" s="1"/>
  <c r="AH11" i="88" s="1"/>
  <c r="AI12" i="88" s="1"/>
  <c r="AI11" i="88" s="1"/>
  <c r="AJ12" i="88" s="1"/>
  <c r="AJ11" i="88" s="1"/>
  <c r="AK12" i="88" s="1"/>
  <c r="AK11" i="88" s="1"/>
  <c r="AL12" i="88" s="1"/>
  <c r="AL11" i="88" s="1"/>
  <c r="AM12" i="88" s="1"/>
  <c r="AM11" i="88" s="1"/>
  <c r="AN12" i="88" s="1"/>
  <c r="AN11" i="88" s="1"/>
  <c r="AO12" i="88" s="1"/>
  <c r="AO11" i="88" s="1"/>
  <c r="AP12" i="88"/>
  <c r="AP11" i="88" s="1"/>
  <c r="AQ12" i="88" s="1"/>
  <c r="AD65" i="88"/>
  <c r="AE66" i="88" s="1"/>
  <c r="AE65" i="88" s="1"/>
  <c r="AF66" i="88" s="1"/>
  <c r="AF65" i="88" s="1"/>
  <c r="AG66" i="88" s="1"/>
  <c r="AG65" i="88" s="1"/>
  <c r="AH66" i="88" s="1"/>
  <c r="AH65" i="88" s="1"/>
  <c r="AI66" i="88" s="1"/>
  <c r="AI65" i="88" s="1"/>
  <c r="AJ66" i="88" s="1"/>
  <c r="AJ65" i="88" s="1"/>
  <c r="AK66" i="88" s="1"/>
  <c r="AK65" i="88" s="1"/>
  <c r="AL66" i="88" s="1"/>
  <c r="AL65" i="88" s="1"/>
  <c r="AM66" i="88" s="1"/>
  <c r="AM65" i="88" s="1"/>
  <c r="AN66" i="88" s="1"/>
  <c r="AN65" i="88" s="1"/>
  <c r="AO66" i="88" s="1"/>
  <c r="AO65" i="88" s="1"/>
  <c r="AP66" i="88"/>
  <c r="AP65" i="88" s="1"/>
  <c r="AQ66" i="88" s="1"/>
  <c r="AD77" i="88"/>
  <c r="AE78" i="88" s="1"/>
  <c r="AE77" i="88" s="1"/>
  <c r="AF78" i="88" s="1"/>
  <c r="AF77" i="88" s="1"/>
  <c r="AG78" i="88" s="1"/>
  <c r="AG77" i="88" s="1"/>
  <c r="AH78" i="88" s="1"/>
  <c r="AH77" i="88" s="1"/>
  <c r="AI78" i="88" s="1"/>
  <c r="AI77" i="88" s="1"/>
  <c r="AJ78" i="88" s="1"/>
  <c r="AJ77" i="88" s="1"/>
  <c r="AK78" i="88" s="1"/>
  <c r="AK77" i="88" s="1"/>
  <c r="AL78" i="88" s="1"/>
  <c r="AL77" i="88" s="1"/>
  <c r="AM78" i="88" s="1"/>
  <c r="AM77" i="88" s="1"/>
  <c r="AN78" i="88" s="1"/>
  <c r="AN77" i="88" s="1"/>
  <c r="AO78" i="88" s="1"/>
  <c r="AO77" i="88" s="1"/>
  <c r="AP78" i="88"/>
  <c r="AP77" i="88" s="1"/>
  <c r="AQ78" i="88" s="1"/>
  <c r="AD41" i="88"/>
  <c r="AE42" i="88" s="1"/>
  <c r="AE41" i="88" s="1"/>
  <c r="AF42" i="88" s="1"/>
  <c r="AF41" i="88" s="1"/>
  <c r="AG42" i="88" s="1"/>
  <c r="AG41" i="88" s="1"/>
  <c r="AH42" i="88" s="1"/>
  <c r="AH41" i="88" s="1"/>
  <c r="AI42" i="88" s="1"/>
  <c r="AI41" i="88" s="1"/>
  <c r="AP42" i="88"/>
  <c r="AP41" i="88" s="1"/>
  <c r="AQ42" i="88" s="1"/>
  <c r="AC6" i="88"/>
  <c r="AC5" i="88" s="1"/>
  <c r="AD6" i="88" s="1"/>
  <c r="Q5" i="88"/>
  <c r="R6" i="88" s="1"/>
  <c r="R5" i="88" s="1"/>
  <c r="S6" i="88" s="1"/>
  <c r="S5" i="88" s="1"/>
  <c r="T6" i="88" s="1"/>
  <c r="T5" i="88" s="1"/>
  <c r="U6" i="88" s="1"/>
  <c r="U5" i="88" s="1"/>
  <c r="V6" i="88" s="1"/>
  <c r="V5" i="88" s="1"/>
  <c r="W6" i="88" s="1"/>
  <c r="W5" i="88" s="1"/>
  <c r="X6" i="88" s="1"/>
  <c r="X5" i="88" s="1"/>
  <c r="Y6" i="88" s="1"/>
  <c r="Y5" i="88" s="1"/>
  <c r="Z6" i="88" s="1"/>
  <c r="Z5" i="88" s="1"/>
  <c r="AA6" i="88" s="1"/>
  <c r="AA5" i="88" s="1"/>
  <c r="AB6" i="88" s="1"/>
  <c r="AB5" i="88" s="1"/>
  <c r="AC30" i="88"/>
  <c r="AC29" i="88" s="1"/>
  <c r="AD30" i="88" s="1"/>
  <c r="Q29" i="88"/>
  <c r="R30" i="88" s="1"/>
  <c r="R29" i="88" s="1"/>
  <c r="S30" i="88" s="1"/>
  <c r="S29" i="88" s="1"/>
  <c r="T30" i="88" s="1"/>
  <c r="T29" i="88" s="1"/>
  <c r="U30" i="88" s="1"/>
  <c r="U29" i="88" s="1"/>
  <c r="V30" i="88" s="1"/>
  <c r="V29" i="88" s="1"/>
  <c r="Q71" i="88"/>
  <c r="R72" i="88" s="1"/>
  <c r="R71" i="88" s="1"/>
  <c r="S72" i="88" s="1"/>
  <c r="S71" i="88" s="1"/>
  <c r="T72" i="88" s="1"/>
  <c r="T71" i="88" s="1"/>
  <c r="U72" i="88" s="1"/>
  <c r="U71" i="88" s="1"/>
  <c r="V72" i="88" s="1"/>
  <c r="V71" i="88" s="1"/>
  <c r="W72" i="88" s="1"/>
  <c r="W71" i="88" s="1"/>
  <c r="X72" i="88" s="1"/>
  <c r="X71" i="88" s="1"/>
  <c r="Y72" i="88" s="1"/>
  <c r="Y71" i="88" s="1"/>
  <c r="Z72" i="88" s="1"/>
  <c r="Z71" i="88" s="1"/>
  <c r="AA72" i="88" s="1"/>
  <c r="AA71" i="88" s="1"/>
  <c r="AB72" i="88" s="1"/>
  <c r="AB71" i="88" s="1"/>
  <c r="AC72" i="88"/>
  <c r="AC71" i="88" s="1"/>
  <c r="AD72" i="88" s="1"/>
  <c r="AC60" i="88"/>
  <c r="AC59" i="88" s="1"/>
  <c r="AD60" i="88" s="1"/>
  <c r="Q59" i="88"/>
  <c r="R60" i="88" s="1"/>
  <c r="R59" i="88" s="1"/>
  <c r="S60" i="88" s="1"/>
  <c r="S59" i="88" s="1"/>
  <c r="T60" i="88" s="1"/>
  <c r="T59" i="88" s="1"/>
  <c r="U60" i="88" s="1"/>
  <c r="U59" i="88" s="1"/>
  <c r="V60" i="88" s="1"/>
  <c r="V59" i="88" s="1"/>
  <c r="W60" i="88" s="1"/>
  <c r="W59" i="88" s="1"/>
  <c r="X60" i="88" s="1"/>
  <c r="X59" i="88" s="1"/>
  <c r="Y60" i="88" s="1"/>
  <c r="Y59" i="88" s="1"/>
  <c r="Z60" i="88" s="1"/>
  <c r="Z59" i="88" s="1"/>
  <c r="AA60" i="88" s="1"/>
  <c r="AA59" i="88" s="1"/>
  <c r="AB60" i="88" s="1"/>
  <c r="AB59" i="88" s="1"/>
  <c r="AC36" i="88"/>
  <c r="AC35" i="88" s="1"/>
  <c r="AD36" i="88" s="1"/>
  <c r="Q35" i="88"/>
  <c r="R36" i="88" s="1"/>
  <c r="R35" i="88" s="1"/>
  <c r="S36" i="88" s="1"/>
  <c r="S35" i="88" s="1"/>
  <c r="T36" i="88" s="1"/>
  <c r="T35" i="88" s="1"/>
  <c r="U36" i="88" s="1"/>
  <c r="U35" i="88" s="1"/>
  <c r="V36" i="88" s="1"/>
  <c r="V35" i="88" s="1"/>
  <c r="AC54" i="88"/>
  <c r="AC53" i="88" s="1"/>
  <c r="AD54" i="88" s="1"/>
  <c r="Q53" i="88"/>
  <c r="R54" i="88" s="1"/>
  <c r="R53" i="88" s="1"/>
  <c r="S54" i="88" s="1"/>
  <c r="S53" i="88" s="1"/>
  <c r="T54" i="88" s="1"/>
  <c r="T53" i="88" s="1"/>
  <c r="U54" i="88" s="1"/>
  <c r="U53" i="88" s="1"/>
  <c r="V54" i="88" s="1"/>
  <c r="V53" i="88" s="1"/>
  <c r="AC48" i="88"/>
  <c r="AC47" i="88" s="1"/>
  <c r="AD48" i="88" s="1"/>
  <c r="Q47" i="88"/>
  <c r="R48" i="88" s="1"/>
  <c r="R47" i="88" s="1"/>
  <c r="S48" i="88" s="1"/>
  <c r="S47" i="88" s="1"/>
  <c r="T48" i="88" s="1"/>
  <c r="T47" i="88" s="1"/>
  <c r="U48" i="88" s="1"/>
  <c r="U47" i="88" s="1"/>
  <c r="V48" i="88" s="1"/>
  <c r="V47" i="88" s="1"/>
  <c r="W48" i="88" s="1"/>
  <c r="W47" i="88" s="1"/>
  <c r="X48" i="88" s="1"/>
  <c r="X47" i="88" s="1"/>
  <c r="Y48" i="88" s="1"/>
  <c r="Y47" i="88" s="1"/>
  <c r="Z48" i="88" s="1"/>
  <c r="Z47" i="88" s="1"/>
  <c r="AA48" i="88" s="1"/>
  <c r="AA47" i="88" s="1"/>
  <c r="AB48" i="88" s="1"/>
  <c r="AB47" i="88" s="1"/>
  <c r="Q23" i="88"/>
  <c r="R24" i="88" s="1"/>
  <c r="R23" i="88" s="1"/>
  <c r="S24" i="88" s="1"/>
  <c r="S23" i="88" s="1"/>
  <c r="T24" i="88" s="1"/>
  <c r="T23" i="88" s="1"/>
  <c r="U24" i="88" s="1"/>
  <c r="U23" i="88" s="1"/>
  <c r="V24" i="88" s="1"/>
  <c r="V23" i="88" s="1"/>
  <c r="W24" i="88" s="1"/>
  <c r="W23" i="88" s="1"/>
  <c r="X24" i="88" s="1"/>
  <c r="X23" i="88" s="1"/>
  <c r="Y24" i="88" s="1"/>
  <c r="Y23" i="88" s="1"/>
  <c r="Z24" i="88" s="1"/>
  <c r="Z23" i="88" s="1"/>
  <c r="AA24" i="88" s="1"/>
  <c r="AA23" i="88" s="1"/>
  <c r="AB24" i="88" s="1"/>
  <c r="AB23" i="88" s="1"/>
  <c r="AC24" i="88"/>
  <c r="AC23" i="88" s="1"/>
  <c r="AD24" i="88" s="1"/>
  <c r="Q17" i="88"/>
  <c r="R18" i="88" s="1"/>
  <c r="R17" i="88" s="1"/>
  <c r="S18" i="88" s="1"/>
  <c r="S17" i="88" s="1"/>
  <c r="T18" i="88" s="1"/>
  <c r="T17" i="88" s="1"/>
  <c r="U18" i="88" s="1"/>
  <c r="U17" i="88" s="1"/>
  <c r="V18" i="88" s="1"/>
  <c r="V17" i="88" s="1"/>
  <c r="W18" i="88" s="1"/>
  <c r="W17" i="88" s="1"/>
  <c r="X18" i="88" s="1"/>
  <c r="X17" i="88" s="1"/>
  <c r="Y18" i="88" s="1"/>
  <c r="Y17" i="88" s="1"/>
  <c r="Z18" i="88" s="1"/>
  <c r="Z17" i="88" s="1"/>
  <c r="AA18" i="88" s="1"/>
  <c r="AA17" i="88" s="1"/>
  <c r="AB18" i="88" s="1"/>
  <c r="AB17" i="88" s="1"/>
  <c r="AC18" i="88"/>
  <c r="AC17" i="88" s="1"/>
  <c r="AD18" i="88" s="1"/>
  <c r="AQ41" i="88" l="1"/>
  <c r="AR42" i="88" s="1"/>
  <c r="AR41" i="88" s="1"/>
  <c r="AS42" i="88" s="1"/>
  <c r="AS41" i="88" s="1"/>
  <c r="AT42" i="88" s="1"/>
  <c r="AT41" i="88" s="1"/>
  <c r="AU42" i="88" s="1"/>
  <c r="AU41" i="88" s="1"/>
  <c r="AV42" i="88" s="1"/>
  <c r="AV41" i="88" s="1"/>
  <c r="BC42" i="88"/>
  <c r="BC41" i="88" s="1"/>
  <c r="BD42" i="88" s="1"/>
  <c r="AQ65" i="88"/>
  <c r="AR66" i="88" s="1"/>
  <c r="AR65" i="88" s="1"/>
  <c r="AS66" i="88" s="1"/>
  <c r="AS65" i="88" s="1"/>
  <c r="AT66" i="88" s="1"/>
  <c r="AT65" i="88" s="1"/>
  <c r="AU66" i="88" s="1"/>
  <c r="AU65" i="88" s="1"/>
  <c r="AV66" i="88" s="1"/>
  <c r="AV65" i="88" s="1"/>
  <c r="AW66" i="88" s="1"/>
  <c r="AW65" i="88" s="1"/>
  <c r="AX66" i="88" s="1"/>
  <c r="AX65" i="88" s="1"/>
  <c r="AY66" i="88" s="1"/>
  <c r="AY65" i="88" s="1"/>
  <c r="AZ66" i="88" s="1"/>
  <c r="AZ65" i="88" s="1"/>
  <c r="BA66" i="88" s="1"/>
  <c r="BA65" i="88" s="1"/>
  <c r="BB66" i="88" s="1"/>
  <c r="BB65" i="88" s="1"/>
  <c r="BC66" i="88"/>
  <c r="BC65" i="88" s="1"/>
  <c r="AQ83" i="88"/>
  <c r="AR84" i="88" s="1"/>
  <c r="AR83" i="88" s="1"/>
  <c r="AS84" i="88" s="1"/>
  <c r="AS83" i="88" s="1"/>
  <c r="AT84" i="88" s="1"/>
  <c r="AT83" i="88" s="1"/>
  <c r="AU84" i="88" s="1"/>
  <c r="AU83" i="88" s="1"/>
  <c r="AV84" i="88" s="1"/>
  <c r="AV83" i="88" s="1"/>
  <c r="AW84" i="88" s="1"/>
  <c r="AW83" i="88" s="1"/>
  <c r="AX84" i="88" s="1"/>
  <c r="AX83" i="88" s="1"/>
  <c r="AY84" i="88" s="1"/>
  <c r="AY83" i="88" s="1"/>
  <c r="AZ84" i="88" s="1"/>
  <c r="AZ83" i="88" s="1"/>
  <c r="BA84" i="88" s="1"/>
  <c r="BA83" i="88" s="1"/>
  <c r="BB84" i="88" s="1"/>
  <c r="BB83" i="88" s="1"/>
  <c r="BC84" i="88"/>
  <c r="BC83" i="88" s="1"/>
  <c r="AQ77" i="88"/>
  <c r="AR78" i="88" s="1"/>
  <c r="AR77" i="88" s="1"/>
  <c r="AS78" i="88" s="1"/>
  <c r="AS77" i="88" s="1"/>
  <c r="AT78" i="88" s="1"/>
  <c r="AT77" i="88" s="1"/>
  <c r="AU78" i="88" s="1"/>
  <c r="AU77" i="88" s="1"/>
  <c r="AV78" i="88" s="1"/>
  <c r="AV77" i="88" s="1"/>
  <c r="AW78" i="88" s="1"/>
  <c r="AW77" i="88" s="1"/>
  <c r="AX78" i="88" s="1"/>
  <c r="AX77" i="88" s="1"/>
  <c r="AY78" i="88" s="1"/>
  <c r="AY77" i="88" s="1"/>
  <c r="AZ78" i="88" s="1"/>
  <c r="AZ77" i="88" s="1"/>
  <c r="BA78" i="88" s="1"/>
  <c r="BA77" i="88" s="1"/>
  <c r="BB78" i="88" s="1"/>
  <c r="BB77" i="88" s="1"/>
  <c r="BC78" i="88"/>
  <c r="BC77" i="88" s="1"/>
  <c r="AQ11" i="88"/>
  <c r="AR12" i="88" s="1"/>
  <c r="AR11" i="88" s="1"/>
  <c r="AS12" i="88" s="1"/>
  <c r="AS11" i="88" s="1"/>
  <c r="AT12" i="88" s="1"/>
  <c r="AT11" i="88" s="1"/>
  <c r="AU12" i="88" s="1"/>
  <c r="AU11" i="88" s="1"/>
  <c r="AV12" i="88" s="1"/>
  <c r="AV11" i="88" s="1"/>
  <c r="AW12" i="88" s="1"/>
  <c r="AW11" i="88" s="1"/>
  <c r="AX12" i="88" s="1"/>
  <c r="AX11" i="88" s="1"/>
  <c r="AY12" i="88" s="1"/>
  <c r="AY11" i="88" s="1"/>
  <c r="AZ12" i="88" s="1"/>
  <c r="AZ11" i="88" s="1"/>
  <c r="BA12" i="88" s="1"/>
  <c r="BA11" i="88" s="1"/>
  <c r="BB12" i="88" s="1"/>
  <c r="BB11" i="88" s="1"/>
  <c r="BC12" i="88"/>
  <c r="BC11" i="88" s="1"/>
  <c r="AD53" i="88"/>
  <c r="AE54" i="88" s="1"/>
  <c r="AE53" i="88" s="1"/>
  <c r="AF54" i="88" s="1"/>
  <c r="AF53" i="88" s="1"/>
  <c r="AG54" i="88" s="1"/>
  <c r="AG53" i="88" s="1"/>
  <c r="AH54" i="88" s="1"/>
  <c r="AH53" i="88" s="1"/>
  <c r="AI54" i="88" s="1"/>
  <c r="AI53" i="88" s="1"/>
  <c r="AP54" i="88"/>
  <c r="AP53" i="88" s="1"/>
  <c r="AQ54" i="88" s="1"/>
  <c r="AD59" i="88"/>
  <c r="AE60" i="88" s="1"/>
  <c r="AE59" i="88" s="1"/>
  <c r="AF60" i="88" s="1"/>
  <c r="AF59" i="88" s="1"/>
  <c r="AG60" i="88" s="1"/>
  <c r="AG59" i="88" s="1"/>
  <c r="AH60" i="88" s="1"/>
  <c r="AH59" i="88" s="1"/>
  <c r="AI60" i="88" s="1"/>
  <c r="AI59" i="88" s="1"/>
  <c r="AJ60" i="88" s="1"/>
  <c r="AJ59" i="88" s="1"/>
  <c r="AK60" i="88" s="1"/>
  <c r="AK59" i="88" s="1"/>
  <c r="AL60" i="88" s="1"/>
  <c r="AL59" i="88" s="1"/>
  <c r="AM60" i="88" s="1"/>
  <c r="AM59" i="88" s="1"/>
  <c r="AN60" i="88" s="1"/>
  <c r="AN59" i="88" s="1"/>
  <c r="AO60" i="88" s="1"/>
  <c r="AO59" i="88" s="1"/>
  <c r="AP60" i="88"/>
  <c r="AP59" i="88" s="1"/>
  <c r="AQ60" i="88" s="1"/>
  <c r="AD29" i="88"/>
  <c r="AE30" i="88" s="1"/>
  <c r="AE29" i="88" s="1"/>
  <c r="AF30" i="88" s="1"/>
  <c r="AF29" i="88" s="1"/>
  <c r="AG30" i="88" s="1"/>
  <c r="AG29" i="88" s="1"/>
  <c r="AH30" i="88" s="1"/>
  <c r="AH29" i="88" s="1"/>
  <c r="AI30" i="88" s="1"/>
  <c r="AI29" i="88" s="1"/>
  <c r="AP30" i="88"/>
  <c r="AP29" i="88" s="1"/>
  <c r="AQ30" i="88" s="1"/>
  <c r="AD17" i="88"/>
  <c r="AE18" i="88" s="1"/>
  <c r="AE17" i="88" s="1"/>
  <c r="AF18" i="88" s="1"/>
  <c r="AF17" i="88" s="1"/>
  <c r="AG18" i="88" s="1"/>
  <c r="AG17" i="88" s="1"/>
  <c r="AH18" i="88" s="1"/>
  <c r="AH17" i="88" s="1"/>
  <c r="AI18" i="88" s="1"/>
  <c r="AI17" i="88" s="1"/>
  <c r="AJ18" i="88" s="1"/>
  <c r="AJ17" i="88" s="1"/>
  <c r="AK18" i="88" s="1"/>
  <c r="AK17" i="88" s="1"/>
  <c r="AL18" i="88" s="1"/>
  <c r="AL17" i="88" s="1"/>
  <c r="AM18" i="88" s="1"/>
  <c r="AM17" i="88" s="1"/>
  <c r="AN18" i="88" s="1"/>
  <c r="AN17" i="88" s="1"/>
  <c r="AO18" i="88" s="1"/>
  <c r="AO17" i="88" s="1"/>
  <c r="AP18" i="88"/>
  <c r="AP17" i="88" s="1"/>
  <c r="AQ18" i="88" s="1"/>
  <c r="AD71" i="88"/>
  <c r="AE72" i="88" s="1"/>
  <c r="AE71" i="88" s="1"/>
  <c r="AF72" i="88" s="1"/>
  <c r="AF71" i="88" s="1"/>
  <c r="AG72" i="88" s="1"/>
  <c r="AG71" i="88" s="1"/>
  <c r="AH72" i="88" s="1"/>
  <c r="AH71" i="88" s="1"/>
  <c r="AI72" i="88" s="1"/>
  <c r="AI71" i="88" s="1"/>
  <c r="AJ72" i="88" s="1"/>
  <c r="AJ71" i="88" s="1"/>
  <c r="AK72" i="88" s="1"/>
  <c r="AK71" i="88" s="1"/>
  <c r="AL72" i="88" s="1"/>
  <c r="AL71" i="88" s="1"/>
  <c r="AM72" i="88" s="1"/>
  <c r="AM71" i="88" s="1"/>
  <c r="AN72" i="88" s="1"/>
  <c r="AN71" i="88" s="1"/>
  <c r="AO72" i="88" s="1"/>
  <c r="AO71" i="88" s="1"/>
  <c r="AP72" i="88"/>
  <c r="AP71" i="88" s="1"/>
  <c r="AQ72" i="88" s="1"/>
  <c r="AD23" i="88"/>
  <c r="AE24" i="88" s="1"/>
  <c r="AE23" i="88" s="1"/>
  <c r="AF24" i="88" s="1"/>
  <c r="AF23" i="88" s="1"/>
  <c r="AG24" i="88" s="1"/>
  <c r="AG23" i="88" s="1"/>
  <c r="AH24" i="88" s="1"/>
  <c r="AH23" i="88" s="1"/>
  <c r="AI24" i="88" s="1"/>
  <c r="AI23" i="88" s="1"/>
  <c r="AJ24" i="88" s="1"/>
  <c r="AJ23" i="88" s="1"/>
  <c r="AK24" i="88" s="1"/>
  <c r="AK23" i="88" s="1"/>
  <c r="AL24" i="88" s="1"/>
  <c r="AL23" i="88" s="1"/>
  <c r="AM24" i="88" s="1"/>
  <c r="AM23" i="88" s="1"/>
  <c r="AN24" i="88" s="1"/>
  <c r="AN23" i="88" s="1"/>
  <c r="AO24" i="88" s="1"/>
  <c r="AO23" i="88" s="1"/>
  <c r="AP24" i="88"/>
  <c r="AP23" i="88" s="1"/>
  <c r="AQ24" i="88" s="1"/>
  <c r="AD47" i="88"/>
  <c r="AE48" i="88" s="1"/>
  <c r="AE47" i="88" s="1"/>
  <c r="AF48" i="88" s="1"/>
  <c r="AF47" i="88" s="1"/>
  <c r="AG48" i="88" s="1"/>
  <c r="AG47" i="88" s="1"/>
  <c r="AH48" i="88" s="1"/>
  <c r="AH47" i="88" s="1"/>
  <c r="AI48" i="88" s="1"/>
  <c r="AI47" i="88" s="1"/>
  <c r="AJ48" i="88" s="1"/>
  <c r="AJ47" i="88" s="1"/>
  <c r="AK48" i="88" s="1"/>
  <c r="AK47" i="88" s="1"/>
  <c r="AL48" i="88" s="1"/>
  <c r="AL47" i="88" s="1"/>
  <c r="AM48" i="88" s="1"/>
  <c r="AM47" i="88" s="1"/>
  <c r="AN48" i="88" s="1"/>
  <c r="AN47" i="88" s="1"/>
  <c r="AO48" i="88" s="1"/>
  <c r="AO47" i="88" s="1"/>
  <c r="AP48" i="88"/>
  <c r="AP47" i="88" s="1"/>
  <c r="AQ48" i="88" s="1"/>
  <c r="AD35" i="88"/>
  <c r="AE36" i="88" s="1"/>
  <c r="AE35" i="88" s="1"/>
  <c r="AF36" i="88" s="1"/>
  <c r="AF35" i="88" s="1"/>
  <c r="AG36" i="88" s="1"/>
  <c r="AG35" i="88" s="1"/>
  <c r="AH36" i="88" s="1"/>
  <c r="AH35" i="88" s="1"/>
  <c r="AI36" i="88" s="1"/>
  <c r="AI35" i="88" s="1"/>
  <c r="AP36" i="88"/>
  <c r="AP35" i="88" s="1"/>
  <c r="AQ36" i="88" s="1"/>
  <c r="AD5" i="88"/>
  <c r="AE6" i="88" s="1"/>
  <c r="AE5" i="88" s="1"/>
  <c r="AF6" i="88" s="1"/>
  <c r="AF5" i="88" s="1"/>
  <c r="AG6" i="88" s="1"/>
  <c r="AG5" i="88" s="1"/>
  <c r="AH6" i="88" s="1"/>
  <c r="AH5" i="88" s="1"/>
  <c r="AI6" i="88" s="1"/>
  <c r="AI5" i="88" s="1"/>
  <c r="AJ6" i="88" s="1"/>
  <c r="AJ5" i="88" s="1"/>
  <c r="AK6" i="88" s="1"/>
  <c r="AK5" i="88" s="1"/>
  <c r="AL6" i="88" s="1"/>
  <c r="AL5" i="88" s="1"/>
  <c r="AM6" i="88" s="1"/>
  <c r="AM5" i="88" s="1"/>
  <c r="AN6" i="88" s="1"/>
  <c r="AN5" i="88" s="1"/>
  <c r="AO6" i="88" s="1"/>
  <c r="AO5" i="88" s="1"/>
  <c r="AP6" i="88"/>
  <c r="AQ47" i="88" l="1"/>
  <c r="AR48" i="88" s="1"/>
  <c r="AR47" i="88" s="1"/>
  <c r="AS48" i="88" s="1"/>
  <c r="AS47" i="88" s="1"/>
  <c r="AT48" i="88" s="1"/>
  <c r="AT47" i="88" s="1"/>
  <c r="AU48" i="88" s="1"/>
  <c r="AU47" i="88" s="1"/>
  <c r="AV48" i="88" s="1"/>
  <c r="AV47" i="88" s="1"/>
  <c r="AW48" i="88" s="1"/>
  <c r="AW47" i="88" s="1"/>
  <c r="AX48" i="88" s="1"/>
  <c r="AX47" i="88" s="1"/>
  <c r="AY48" i="88" s="1"/>
  <c r="AY47" i="88" s="1"/>
  <c r="AZ48" i="88" s="1"/>
  <c r="AZ47" i="88" s="1"/>
  <c r="BA48" i="88" s="1"/>
  <c r="BA47" i="88" s="1"/>
  <c r="BB48" i="88" s="1"/>
  <c r="BB47" i="88" s="1"/>
  <c r="BC48" i="88"/>
  <c r="BC47" i="88" s="1"/>
  <c r="AQ71" i="88"/>
  <c r="AR72" i="88" s="1"/>
  <c r="AR71" i="88" s="1"/>
  <c r="AS72" i="88" s="1"/>
  <c r="AS71" i="88" s="1"/>
  <c r="AT72" i="88" s="1"/>
  <c r="AT71" i="88" s="1"/>
  <c r="AU72" i="88" s="1"/>
  <c r="AU71" i="88" s="1"/>
  <c r="AV72" i="88" s="1"/>
  <c r="AV71" i="88" s="1"/>
  <c r="AW72" i="88" s="1"/>
  <c r="AW71" i="88" s="1"/>
  <c r="AX72" i="88" s="1"/>
  <c r="AX71" i="88" s="1"/>
  <c r="AY72" i="88" s="1"/>
  <c r="AY71" i="88" s="1"/>
  <c r="AZ72" i="88" s="1"/>
  <c r="AZ71" i="88" s="1"/>
  <c r="BA72" i="88" s="1"/>
  <c r="BA71" i="88" s="1"/>
  <c r="BB72" i="88" s="1"/>
  <c r="BB71" i="88" s="1"/>
  <c r="BC72" i="88"/>
  <c r="BC71" i="88" s="1"/>
  <c r="AQ29" i="88"/>
  <c r="AR30" i="88" s="1"/>
  <c r="AR29" i="88" s="1"/>
  <c r="AS30" i="88" s="1"/>
  <c r="AS29" i="88" s="1"/>
  <c r="AT30" i="88" s="1"/>
  <c r="AT29" i="88" s="1"/>
  <c r="AU30" i="88" s="1"/>
  <c r="AU29" i="88" s="1"/>
  <c r="AV30" i="88" s="1"/>
  <c r="AV29" i="88" s="1"/>
  <c r="BC30" i="88"/>
  <c r="BC29" i="88" s="1"/>
  <c r="BD30" i="88" s="1"/>
  <c r="AQ53" i="88"/>
  <c r="AR54" i="88" s="1"/>
  <c r="AR53" i="88" s="1"/>
  <c r="AS54" i="88" s="1"/>
  <c r="AS53" i="88" s="1"/>
  <c r="AT54" i="88" s="1"/>
  <c r="AT53" i="88" s="1"/>
  <c r="AU54" i="88" s="1"/>
  <c r="AU53" i="88" s="1"/>
  <c r="AV54" i="88" s="1"/>
  <c r="AV53" i="88" s="1"/>
  <c r="BC54" i="88"/>
  <c r="BC53" i="88" s="1"/>
  <c r="BD54" i="88" s="1"/>
  <c r="BD78" i="88"/>
  <c r="BD66" i="88"/>
  <c r="AQ35" i="88"/>
  <c r="AR36" i="88" s="1"/>
  <c r="AR35" i="88" s="1"/>
  <c r="AS36" i="88" s="1"/>
  <c r="AS35" i="88" s="1"/>
  <c r="AT36" i="88" s="1"/>
  <c r="AT35" i="88" s="1"/>
  <c r="AU36" i="88" s="1"/>
  <c r="AU35" i="88" s="1"/>
  <c r="AV36" i="88" s="1"/>
  <c r="AV35" i="88" s="1"/>
  <c r="BC36" i="88"/>
  <c r="BC35" i="88" s="1"/>
  <c r="BD36" i="88" s="1"/>
  <c r="AQ23" i="88"/>
  <c r="AR24" i="88" s="1"/>
  <c r="AR23" i="88" s="1"/>
  <c r="AS24" i="88" s="1"/>
  <c r="AS23" i="88" s="1"/>
  <c r="AT24" i="88" s="1"/>
  <c r="AT23" i="88" s="1"/>
  <c r="AU24" i="88" s="1"/>
  <c r="AU23" i="88" s="1"/>
  <c r="AV24" i="88" s="1"/>
  <c r="AV23" i="88" s="1"/>
  <c r="AW24" i="88" s="1"/>
  <c r="AW23" i="88" s="1"/>
  <c r="AX24" i="88" s="1"/>
  <c r="AX23" i="88" s="1"/>
  <c r="AY24" i="88" s="1"/>
  <c r="AY23" i="88" s="1"/>
  <c r="AZ24" i="88" s="1"/>
  <c r="AZ23" i="88" s="1"/>
  <c r="BA24" i="88" s="1"/>
  <c r="BA23" i="88" s="1"/>
  <c r="BB24" i="88" s="1"/>
  <c r="BB23" i="88" s="1"/>
  <c r="BC24" i="88"/>
  <c r="BC23" i="88" s="1"/>
  <c r="AQ17" i="88"/>
  <c r="AR18" i="88" s="1"/>
  <c r="AR17" i="88" s="1"/>
  <c r="AS18" i="88" s="1"/>
  <c r="AS17" i="88" s="1"/>
  <c r="AT18" i="88" s="1"/>
  <c r="AT17" i="88" s="1"/>
  <c r="AU18" i="88" s="1"/>
  <c r="AU17" i="88" s="1"/>
  <c r="AV18" i="88" s="1"/>
  <c r="AV17" i="88" s="1"/>
  <c r="AW18" i="88" s="1"/>
  <c r="AW17" i="88" s="1"/>
  <c r="AX18" i="88" s="1"/>
  <c r="AX17" i="88" s="1"/>
  <c r="AY18" i="88" s="1"/>
  <c r="AY17" i="88" s="1"/>
  <c r="AZ18" i="88" s="1"/>
  <c r="AZ17" i="88" s="1"/>
  <c r="BA18" i="88" s="1"/>
  <c r="BA17" i="88" s="1"/>
  <c r="BB18" i="88" s="1"/>
  <c r="BB17" i="88" s="1"/>
  <c r="BC18" i="88"/>
  <c r="BC17" i="88" s="1"/>
  <c r="AQ59" i="88"/>
  <c r="AR60" i="88" s="1"/>
  <c r="AR59" i="88" s="1"/>
  <c r="AS60" i="88" s="1"/>
  <c r="AS59" i="88" s="1"/>
  <c r="AT60" i="88" s="1"/>
  <c r="AT59" i="88" s="1"/>
  <c r="AU60" i="88" s="1"/>
  <c r="AU59" i="88" s="1"/>
  <c r="AV60" i="88" s="1"/>
  <c r="AV59" i="88" s="1"/>
  <c r="AW60" i="88" s="1"/>
  <c r="AW59" i="88" s="1"/>
  <c r="AX60" i="88" s="1"/>
  <c r="AX59" i="88" s="1"/>
  <c r="AY60" i="88" s="1"/>
  <c r="AY59" i="88" s="1"/>
  <c r="AZ60" i="88" s="1"/>
  <c r="AZ59" i="88" s="1"/>
  <c r="BA60" i="88" s="1"/>
  <c r="BA59" i="88" s="1"/>
  <c r="BB60" i="88" s="1"/>
  <c r="BB59" i="88" s="1"/>
  <c r="BC60" i="88"/>
  <c r="BC59" i="88" s="1"/>
  <c r="BD12" i="88"/>
  <c r="BD84" i="88"/>
  <c r="BP42" i="88"/>
  <c r="BP41" i="88" s="1"/>
  <c r="BD41" i="88"/>
  <c r="AP90" i="88"/>
  <c r="AP89" i="88" s="1"/>
  <c r="AP5" i="88"/>
  <c r="AQ6" i="88" s="1"/>
  <c r="AQ5" i="88" l="1"/>
  <c r="AR6" i="88" s="1"/>
  <c r="AQ90" i="88"/>
  <c r="AQ89" i="88" s="1"/>
  <c r="BC6" i="88"/>
  <c r="BD83" i="88"/>
  <c r="BE84" i="88" s="1"/>
  <c r="BE83" i="88" s="1"/>
  <c r="BF84" i="88" s="1"/>
  <c r="BF83" i="88" s="1"/>
  <c r="BP84" i="88"/>
  <c r="BP83" i="88" s="1"/>
  <c r="BD24" i="88"/>
  <c r="BP66" i="88"/>
  <c r="BP65" i="88" s="1"/>
  <c r="BD65" i="88"/>
  <c r="BE66" i="88" s="1"/>
  <c r="BE65" i="88" s="1"/>
  <c r="BF66" i="88" s="1"/>
  <c r="BF65" i="88" s="1"/>
  <c r="BD11" i="88"/>
  <c r="BE12" i="88" s="1"/>
  <c r="BE11" i="88" s="1"/>
  <c r="BF12" i="88" s="1"/>
  <c r="BF11" i="88" s="1"/>
  <c r="BP12" i="88"/>
  <c r="BP11" i="88" s="1"/>
  <c r="BD60" i="88"/>
  <c r="BD53" i="88"/>
  <c r="BP54" i="88"/>
  <c r="BP53" i="88" s="1"/>
  <c r="BD72" i="88"/>
  <c r="BD18" i="88"/>
  <c r="BD35" i="88"/>
  <c r="BP36" i="88"/>
  <c r="BP35" i="88" s="1"/>
  <c r="BD77" i="88"/>
  <c r="BE78" i="88" s="1"/>
  <c r="BE77" i="88" s="1"/>
  <c r="BF78" i="88" s="1"/>
  <c r="BF77" i="88" s="1"/>
  <c r="BP78" i="88"/>
  <c r="BP77" i="88" s="1"/>
  <c r="BD29" i="88"/>
  <c r="BP30" i="88"/>
  <c r="BP29" i="88" s="1"/>
  <c r="BD48" i="88"/>
  <c r="BD47" i="88" l="1"/>
  <c r="BE48" i="88" s="1"/>
  <c r="BE47" i="88" s="1"/>
  <c r="BF48" i="88" s="1"/>
  <c r="BF47" i="88" s="1"/>
  <c r="BP48" i="88"/>
  <c r="BP47" i="88" s="1"/>
  <c r="BP18" i="88"/>
  <c r="BP17" i="88" s="1"/>
  <c r="BD17" i="88"/>
  <c r="BE18" i="88" s="1"/>
  <c r="BE17" i="88" s="1"/>
  <c r="BF18" i="88" s="1"/>
  <c r="BF17" i="88" s="1"/>
  <c r="BD23" i="88"/>
  <c r="BE24" i="88" s="1"/>
  <c r="BE23" i="88" s="1"/>
  <c r="BF24" i="88" s="1"/>
  <c r="BF23" i="88" s="1"/>
  <c r="BP24" i="88"/>
  <c r="BP23" i="88" s="1"/>
  <c r="BC90" i="88"/>
  <c r="BC89" i="88" s="1"/>
  <c r="BC5" i="88"/>
  <c r="BD59" i="88"/>
  <c r="BE60" i="88" s="1"/>
  <c r="BE59" i="88" s="1"/>
  <c r="BF60" i="88" s="1"/>
  <c r="BF59" i="88" s="1"/>
  <c r="BP60" i="88"/>
  <c r="BP59" i="88" s="1"/>
  <c r="BD71" i="88"/>
  <c r="BE72" i="88" s="1"/>
  <c r="BE71" i="88" s="1"/>
  <c r="BF72" i="88" s="1"/>
  <c r="BF71" i="88" s="1"/>
  <c r="BP72" i="88"/>
  <c r="BP71" i="88" s="1"/>
  <c r="AR5" i="88"/>
  <c r="AS6" i="88" s="1"/>
  <c r="AR90" i="88"/>
  <c r="AR89" i="88" s="1"/>
  <c r="BD6" i="88" l="1"/>
  <c r="AS5" i="88"/>
  <c r="AT6" i="88" s="1"/>
  <c r="AS90" i="88"/>
  <c r="AS89" i="88" s="1"/>
  <c r="C21" i="70"/>
  <c r="AT5" i="88" l="1"/>
  <c r="AU6" i="88" s="1"/>
  <c r="AT90" i="88"/>
  <c r="AT89" i="88" s="1"/>
  <c r="BD5" i="88"/>
  <c r="BE6" i="88" s="1"/>
  <c r="BD90" i="88"/>
  <c r="BD89" i="88" s="1"/>
  <c r="BP6" i="88"/>
  <c r="AO94" i="88"/>
  <c r="AN94" i="88"/>
  <c r="AM94" i="88"/>
  <c r="AL94" i="88"/>
  <c r="AK94" i="88"/>
  <c r="AJ94" i="88"/>
  <c r="AI94" i="88"/>
  <c r="AH94" i="88"/>
  <c r="AG94" i="88"/>
  <c r="AF94" i="88"/>
  <c r="AE94" i="88"/>
  <c r="AD94" i="88"/>
  <c r="AO93" i="88"/>
  <c r="AN93" i="88"/>
  <c r="AM93" i="88"/>
  <c r="AL93" i="88"/>
  <c r="AK93" i="88"/>
  <c r="AJ93" i="88"/>
  <c r="AI93" i="88"/>
  <c r="AH93" i="88"/>
  <c r="AG93" i="88"/>
  <c r="AF93" i="88"/>
  <c r="AE93" i="88"/>
  <c r="AD93" i="88"/>
  <c r="AO92" i="88"/>
  <c r="AN92" i="88"/>
  <c r="AM92" i="88"/>
  <c r="AL92" i="88"/>
  <c r="AK92" i="88"/>
  <c r="AJ92" i="88"/>
  <c r="AI92" i="88"/>
  <c r="AH92" i="88"/>
  <c r="AG92" i="88"/>
  <c r="AF92" i="88"/>
  <c r="AE92" i="88"/>
  <c r="AD92" i="88"/>
  <c r="AO91" i="88"/>
  <c r="AN91" i="88"/>
  <c r="AM91" i="88"/>
  <c r="AL91" i="88"/>
  <c r="AK91" i="88"/>
  <c r="AJ91" i="88"/>
  <c r="AI91" i="88"/>
  <c r="AH91" i="88"/>
  <c r="AG91" i="88"/>
  <c r="AF91" i="88"/>
  <c r="AE91" i="88"/>
  <c r="AD91" i="88"/>
  <c r="BE5" i="88" l="1"/>
  <c r="BF6" i="88" s="1"/>
  <c r="BE90" i="88"/>
  <c r="BE89" i="88" s="1"/>
  <c r="BP90" i="88"/>
  <c r="BP89" i="88" s="1"/>
  <c r="BP5" i="88"/>
  <c r="AU5" i="88"/>
  <c r="AV6" i="88" s="1"/>
  <c r="AU90" i="88"/>
  <c r="AU89" i="88" s="1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Q5" i="94"/>
  <c r="R5" i="94"/>
  <c r="S5" i="94"/>
  <c r="T5" i="94"/>
  <c r="U5" i="94"/>
  <c r="V5" i="94"/>
  <c r="W5" i="94"/>
  <c r="X5" i="94"/>
  <c r="Y5" i="94"/>
  <c r="Z5" i="94"/>
  <c r="AA5" i="94"/>
  <c r="AB5" i="94"/>
  <c r="P6" i="94"/>
  <c r="AC6" i="94"/>
  <c r="P7" i="94"/>
  <c r="AC7" i="94"/>
  <c r="AF7" i="94"/>
  <c r="AF13" i="94" s="1"/>
  <c r="AI7" i="94"/>
  <c r="AI13" i="94" s="1"/>
  <c r="P8" i="94"/>
  <c r="AC8" i="94"/>
  <c r="AF8" i="94"/>
  <c r="AI8" i="94"/>
  <c r="AI14" i="94" s="1"/>
  <c r="P9" i="94"/>
  <c r="AC9" i="94"/>
  <c r="AP9" i="94"/>
  <c r="P10" i="94"/>
  <c r="AC10" i="94"/>
  <c r="AF10" i="94"/>
  <c r="AP10" i="94" s="1"/>
  <c r="P11" i="94"/>
  <c r="AC11" i="94"/>
  <c r="AF11" i="94"/>
  <c r="AI11" i="94"/>
  <c r="C12" i="94"/>
  <c r="D12" i="94"/>
  <c r="E12" i="94"/>
  <c r="F12" i="94"/>
  <c r="G12" i="94"/>
  <c r="H12" i="94"/>
  <c r="I12" i="94"/>
  <c r="J12" i="94"/>
  <c r="K12" i="94"/>
  <c r="L12" i="94"/>
  <c r="M12" i="94"/>
  <c r="N12" i="94"/>
  <c r="O12" i="94"/>
  <c r="Q12" i="94"/>
  <c r="R12" i="94"/>
  <c r="S12" i="94"/>
  <c r="T12" i="94"/>
  <c r="U12" i="94"/>
  <c r="V12" i="94"/>
  <c r="W12" i="94"/>
  <c r="X12" i="94"/>
  <c r="Y12" i="94"/>
  <c r="Z12" i="94"/>
  <c r="AA12" i="94"/>
  <c r="AB12" i="94"/>
  <c r="AD12" i="94"/>
  <c r="AE12" i="94"/>
  <c r="AG12" i="94"/>
  <c r="AH12" i="94"/>
  <c r="AJ12" i="94"/>
  <c r="AK12" i="94"/>
  <c r="AL12" i="94"/>
  <c r="AM12" i="94"/>
  <c r="AN12" i="94"/>
  <c r="AO12" i="94"/>
  <c r="P13" i="94"/>
  <c r="AC13" i="94"/>
  <c r="P14" i="94"/>
  <c r="AC14" i="94"/>
  <c r="P15" i="94"/>
  <c r="AC15" i="94"/>
  <c r="AF15" i="94"/>
  <c r="AI15" i="94"/>
  <c r="AI28" i="94" s="1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Q16" i="94"/>
  <c r="R16" i="94"/>
  <c r="S16" i="94"/>
  <c r="T16" i="94"/>
  <c r="U16" i="94"/>
  <c r="V16" i="94"/>
  <c r="W16" i="94"/>
  <c r="X16" i="94"/>
  <c r="Y16" i="94"/>
  <c r="Z16" i="94"/>
  <c r="AA16" i="94"/>
  <c r="AB16" i="94"/>
  <c r="P17" i="94"/>
  <c r="AC17" i="94"/>
  <c r="P18" i="94"/>
  <c r="AC18" i="94"/>
  <c r="AD18" i="94"/>
  <c r="AE18" i="94"/>
  <c r="AF18" i="94"/>
  <c r="P19" i="94"/>
  <c r="AC19" i="94"/>
  <c r="AD19" i="94"/>
  <c r="AE19" i="94"/>
  <c r="AF19" i="94"/>
  <c r="P20" i="94"/>
  <c r="AC20" i="94"/>
  <c r="AD20" i="94"/>
  <c r="AE20" i="94"/>
  <c r="AE29" i="94" s="1"/>
  <c r="AF20" i="94"/>
  <c r="AF29" i="94" s="1"/>
  <c r="AG20" i="94"/>
  <c r="AG29" i="94" s="1"/>
  <c r="AH20" i="94"/>
  <c r="AH30" i="94" s="1"/>
  <c r="AI20" i="94"/>
  <c r="P21" i="94"/>
  <c r="AC21" i="94"/>
  <c r="AD21" i="94"/>
  <c r="AE21" i="94"/>
  <c r="AF21" i="94"/>
  <c r="AI21" i="94"/>
  <c r="C22" i="94"/>
  <c r="D22" i="94"/>
  <c r="E22" i="94"/>
  <c r="F22" i="94"/>
  <c r="G22" i="94"/>
  <c r="H22" i="94"/>
  <c r="I22" i="94"/>
  <c r="J22" i="94"/>
  <c r="K22" i="94"/>
  <c r="L22" i="94"/>
  <c r="M22" i="94"/>
  <c r="N22" i="94"/>
  <c r="O22" i="94"/>
  <c r="Q22" i="94"/>
  <c r="R22" i="94"/>
  <c r="S22" i="94"/>
  <c r="T22" i="94"/>
  <c r="U22" i="94"/>
  <c r="V22" i="94"/>
  <c r="W22" i="94"/>
  <c r="X22" i="94"/>
  <c r="Y22" i="94"/>
  <c r="Z22" i="94"/>
  <c r="AA22" i="94"/>
  <c r="AB22" i="94"/>
  <c r="P23" i="94"/>
  <c r="AC23" i="94"/>
  <c r="P24" i="94"/>
  <c r="AC24" i="94"/>
  <c r="AF24" i="94"/>
  <c r="AI24" i="94"/>
  <c r="P25" i="94"/>
  <c r="AC25" i="94"/>
  <c r="AP25" i="94"/>
  <c r="D28" i="94"/>
  <c r="D31" i="94" s="1"/>
  <c r="E28" i="94"/>
  <c r="F28" i="94"/>
  <c r="G28" i="94"/>
  <c r="H28" i="94"/>
  <c r="H31" i="94" s="1"/>
  <c r="I28" i="94"/>
  <c r="J28" i="94"/>
  <c r="K28" i="94"/>
  <c r="L28" i="94"/>
  <c r="L31" i="94" s="1"/>
  <c r="M28" i="94"/>
  <c r="N28" i="94"/>
  <c r="O28" i="94"/>
  <c r="Q28" i="94"/>
  <c r="Q31" i="94" s="1"/>
  <c r="R28" i="94"/>
  <c r="S28" i="94"/>
  <c r="T28" i="94"/>
  <c r="U28" i="94"/>
  <c r="U31" i="94" s="1"/>
  <c r="V28" i="94"/>
  <c r="W28" i="94"/>
  <c r="X28" i="94"/>
  <c r="Y28" i="94"/>
  <c r="Y31" i="94" s="1"/>
  <c r="Z28" i="94"/>
  <c r="AA28" i="94"/>
  <c r="AB28" i="94"/>
  <c r="AC28" i="94"/>
  <c r="AD28" i="94"/>
  <c r="AE28" i="94"/>
  <c r="AG28" i="94"/>
  <c r="AH28" i="94"/>
  <c r="AJ28" i="94"/>
  <c r="AK28" i="94"/>
  <c r="AL28" i="94"/>
  <c r="AM28" i="94"/>
  <c r="AN28" i="94"/>
  <c r="AO28" i="94"/>
  <c r="D29" i="94"/>
  <c r="E29" i="94"/>
  <c r="P29" i="94" s="1"/>
  <c r="F29" i="94"/>
  <c r="G29" i="94"/>
  <c r="H29" i="94"/>
  <c r="I29" i="94"/>
  <c r="J29" i="94"/>
  <c r="K29" i="94"/>
  <c r="L29" i="94"/>
  <c r="M29" i="94"/>
  <c r="N29" i="94"/>
  <c r="O29" i="94"/>
  <c r="Q29" i="94"/>
  <c r="R29" i="94"/>
  <c r="S29" i="94"/>
  <c r="T29" i="94"/>
  <c r="U29" i="94"/>
  <c r="V29" i="94"/>
  <c r="W29" i="94"/>
  <c r="X29" i="94"/>
  <c r="Y29" i="94"/>
  <c r="Z29" i="94"/>
  <c r="AA29" i="94"/>
  <c r="AB29" i="94"/>
  <c r="AJ29" i="94"/>
  <c r="AK29" i="94"/>
  <c r="AL29" i="94"/>
  <c r="AM29" i="94"/>
  <c r="AN29" i="94"/>
  <c r="AO29" i="94"/>
  <c r="D30" i="94"/>
  <c r="E30" i="94"/>
  <c r="P30" i="94" s="1"/>
  <c r="F30" i="94"/>
  <c r="G30" i="94"/>
  <c r="H30" i="94"/>
  <c r="I30" i="94"/>
  <c r="J30" i="94"/>
  <c r="K30" i="94"/>
  <c r="L30" i="94"/>
  <c r="M30" i="94"/>
  <c r="N30" i="94"/>
  <c r="O30" i="94"/>
  <c r="Q30" i="94"/>
  <c r="R30" i="94"/>
  <c r="S30" i="94"/>
  <c r="T30" i="94"/>
  <c r="U30" i="94"/>
  <c r="V30" i="94"/>
  <c r="W30" i="94"/>
  <c r="X30" i="94"/>
  <c r="Y30" i="94"/>
  <c r="Z30" i="94"/>
  <c r="AA30" i="94"/>
  <c r="AB30" i="94"/>
  <c r="AJ30" i="94"/>
  <c r="AK30" i="94"/>
  <c r="AL30" i="94"/>
  <c r="AM30" i="94"/>
  <c r="AN30" i="94"/>
  <c r="AO30" i="94"/>
  <c r="F31" i="94"/>
  <c r="J31" i="94"/>
  <c r="N31" i="94"/>
  <c r="S31" i="94"/>
  <c r="W31" i="94"/>
  <c r="AA31" i="94"/>
  <c r="AJ31" i="94"/>
  <c r="AL31" i="94"/>
  <c r="AN31" i="94"/>
  <c r="N32" i="94"/>
  <c r="C20" i="70"/>
  <c r="C19" i="70"/>
  <c r="C18" i="70"/>
  <c r="AD29" i="94" l="1"/>
  <c r="AB31" i="94"/>
  <c r="X31" i="94"/>
  <c r="T31" i="94"/>
  <c r="O31" i="94"/>
  <c r="K31" i="94"/>
  <c r="G31" i="94"/>
  <c r="P22" i="94"/>
  <c r="P12" i="94"/>
  <c r="AO31" i="94"/>
  <c r="AK31" i="94"/>
  <c r="AC22" i="94"/>
  <c r="AD23" i="94" s="1"/>
  <c r="P16" i="94"/>
  <c r="AC12" i="94"/>
  <c r="P5" i="94"/>
  <c r="AM31" i="94"/>
  <c r="AC30" i="94"/>
  <c r="Z31" i="94"/>
  <c r="V31" i="94"/>
  <c r="R31" i="94"/>
  <c r="M31" i="94"/>
  <c r="I31" i="94"/>
  <c r="E31" i="94"/>
  <c r="AC16" i="94"/>
  <c r="AD17" i="94" s="1"/>
  <c r="AC5" i="94"/>
  <c r="AD6" i="94" s="1"/>
  <c r="AP6" i="94" s="1"/>
  <c r="AV5" i="88"/>
  <c r="AW6" i="88" s="1"/>
  <c r="AV90" i="88"/>
  <c r="AV89" i="88" s="1"/>
  <c r="BF5" i="88"/>
  <c r="BF90" i="88"/>
  <c r="BF89" i="88" s="1"/>
  <c r="AG30" i="94"/>
  <c r="AG31" i="94" s="1"/>
  <c r="AI29" i="94"/>
  <c r="AH29" i="94"/>
  <c r="AH31" i="94" s="1"/>
  <c r="AP19" i="94"/>
  <c r="AP15" i="94"/>
  <c r="AP11" i="94"/>
  <c r="AP24" i="94"/>
  <c r="AP7" i="94"/>
  <c r="AI30" i="94"/>
  <c r="AD30" i="94"/>
  <c r="AE30" i="94"/>
  <c r="AP21" i="94"/>
  <c r="AP20" i="94"/>
  <c r="AP18" i="94"/>
  <c r="AF30" i="94"/>
  <c r="AP8" i="94"/>
  <c r="AI12" i="94"/>
  <c r="AP17" i="94"/>
  <c r="AD16" i="94"/>
  <c r="AE17" i="94" s="1"/>
  <c r="AE16" i="94" s="1"/>
  <c r="AF17" i="94" s="1"/>
  <c r="AF16" i="94" s="1"/>
  <c r="AG17" i="94" s="1"/>
  <c r="AG16" i="94" s="1"/>
  <c r="AH17" i="94" s="1"/>
  <c r="AH16" i="94" s="1"/>
  <c r="AI17" i="94" s="1"/>
  <c r="AI16" i="94" s="1"/>
  <c r="AJ17" i="94" s="1"/>
  <c r="AJ16" i="94" s="1"/>
  <c r="AK17" i="94" s="1"/>
  <c r="AK16" i="94" s="1"/>
  <c r="AL17" i="94" s="1"/>
  <c r="AL16" i="94" s="1"/>
  <c r="AM17" i="94" s="1"/>
  <c r="AM16" i="94" s="1"/>
  <c r="AN17" i="94" s="1"/>
  <c r="AN16" i="94" s="1"/>
  <c r="AO17" i="94" s="1"/>
  <c r="AO16" i="94" s="1"/>
  <c r="AP23" i="94"/>
  <c r="AD22" i="94"/>
  <c r="AE23" i="94" s="1"/>
  <c r="AE22" i="94" s="1"/>
  <c r="AF23" i="94" s="1"/>
  <c r="AF22" i="94" s="1"/>
  <c r="AG23" i="94" s="1"/>
  <c r="AG22" i="94" s="1"/>
  <c r="AH23" i="94" s="1"/>
  <c r="AH22" i="94" s="1"/>
  <c r="AI23" i="94" s="1"/>
  <c r="AI22" i="94" s="1"/>
  <c r="AJ23" i="94" s="1"/>
  <c r="AJ22" i="94" s="1"/>
  <c r="AK23" i="94" s="1"/>
  <c r="AK22" i="94" s="1"/>
  <c r="AL23" i="94" s="1"/>
  <c r="AL22" i="94" s="1"/>
  <c r="AM23" i="94" s="1"/>
  <c r="AM22" i="94" s="1"/>
  <c r="AN23" i="94" s="1"/>
  <c r="AN22" i="94" s="1"/>
  <c r="AO23" i="94" s="1"/>
  <c r="AO22" i="94" s="1"/>
  <c r="AP13" i="94"/>
  <c r="AC29" i="94"/>
  <c r="AF28" i="94"/>
  <c r="P28" i="94"/>
  <c r="AF14" i="94"/>
  <c r="AP14" i="94" s="1"/>
  <c r="C5" i="71"/>
  <c r="AD31" i="94" l="1"/>
  <c r="AI31" i="94"/>
  <c r="AD5" i="94"/>
  <c r="AE6" i="94" s="1"/>
  <c r="AE5" i="94" s="1"/>
  <c r="AF6" i="94" s="1"/>
  <c r="AF5" i="94" s="1"/>
  <c r="AG6" i="94" s="1"/>
  <c r="AG5" i="94" s="1"/>
  <c r="AH6" i="94" s="1"/>
  <c r="AH5" i="94" s="1"/>
  <c r="AI6" i="94" s="1"/>
  <c r="AI5" i="94" s="1"/>
  <c r="AJ6" i="94" s="1"/>
  <c r="AJ5" i="94" s="1"/>
  <c r="AK6" i="94" s="1"/>
  <c r="AK5" i="94" s="1"/>
  <c r="AL6" i="94" s="1"/>
  <c r="AL5" i="94" s="1"/>
  <c r="AM6" i="94" s="1"/>
  <c r="AM5" i="94" s="1"/>
  <c r="AN6" i="94" s="1"/>
  <c r="AN5" i="94" s="1"/>
  <c r="AO6" i="94" s="1"/>
  <c r="AO5" i="94" s="1"/>
  <c r="AW5" i="88"/>
  <c r="AX6" i="88" s="1"/>
  <c r="AW90" i="88"/>
  <c r="AW89" i="88" s="1"/>
  <c r="AP29" i="94"/>
  <c r="AF31" i="94"/>
  <c r="AP30" i="94"/>
  <c r="AP22" i="94"/>
  <c r="AE31" i="94"/>
  <c r="AP5" i="94"/>
  <c r="AP16" i="94"/>
  <c r="AF12" i="94"/>
  <c r="AP12" i="94"/>
  <c r="AP28" i="94"/>
  <c r="E12" i="67"/>
  <c r="AX5" i="88" l="1"/>
  <c r="AY6" i="88" s="1"/>
  <c r="AX90" i="88"/>
  <c r="AX89" i="88" s="1"/>
  <c r="AJ90" i="88"/>
  <c r="AJ89" i="88" s="1"/>
  <c r="AY5" i="88" l="1"/>
  <c r="AZ6" i="88" s="1"/>
  <c r="AY90" i="88"/>
  <c r="AY89" i="88" s="1"/>
  <c r="AK90" i="88"/>
  <c r="AK89" i="88" s="1"/>
  <c r="AZ5" i="88" l="1"/>
  <c r="BA6" i="88" s="1"/>
  <c r="AZ90" i="88"/>
  <c r="AZ89" i="88" s="1"/>
  <c r="AL90" i="88"/>
  <c r="AL89" i="88" s="1"/>
  <c r="BA5" i="88" l="1"/>
  <c r="BB6" i="88" s="1"/>
  <c r="BA90" i="88"/>
  <c r="BA89" i="88" s="1"/>
  <c r="AM90" i="88"/>
  <c r="AM89" i="88" s="1"/>
  <c r="BB5" i="88" l="1"/>
  <c r="BB90" i="88"/>
  <c r="BB89" i="88" s="1"/>
  <c r="AN90" i="88"/>
  <c r="AN89" i="88" s="1"/>
  <c r="AO90" i="88" l="1"/>
  <c r="AO89" i="88" s="1"/>
  <c r="A3" i="33" l="1"/>
  <c r="A3" i="117" s="1"/>
  <c r="A3" i="116" l="1"/>
  <c r="A3" i="110"/>
  <c r="A3" i="103"/>
  <c r="C21" i="54"/>
  <c r="A3" i="120" l="1"/>
  <c r="A3" i="70" s="1"/>
  <c r="A3" i="59"/>
  <c r="A3" i="119"/>
  <c r="A3" i="118"/>
  <c r="A3" i="68" s="1"/>
  <c r="G23" i="93"/>
  <c r="D22" i="93"/>
  <c r="G24" i="93" s="1"/>
  <c r="A3" i="15" l="1"/>
  <c r="A3" i="122"/>
  <c r="H9" i="90"/>
  <c r="F9" i="90"/>
  <c r="E9" i="90"/>
  <c r="C9" i="90"/>
  <c r="H8" i="90"/>
  <c r="F8" i="90"/>
  <c r="E8" i="90"/>
  <c r="C8" i="90"/>
  <c r="H7" i="90"/>
  <c r="F7" i="90"/>
  <c r="E7" i="90"/>
  <c r="D7" i="90"/>
  <c r="D8" i="90" s="1"/>
  <c r="C7" i="90"/>
  <c r="H10" i="90" l="1"/>
  <c r="G9" i="90"/>
  <c r="G7" i="90"/>
  <c r="I7" i="90" s="1"/>
  <c r="J7" i="90" s="1"/>
  <c r="G8" i="90"/>
  <c r="I8" i="90" s="1"/>
  <c r="J8" i="90" s="1"/>
  <c r="M8" i="90" s="1"/>
  <c r="N8" i="90" s="1"/>
  <c r="D9" i="90"/>
  <c r="I9" i="90" l="1"/>
  <c r="J9" i="90" s="1"/>
  <c r="M9" i="90" s="1"/>
  <c r="N9" i="90" s="1"/>
  <c r="M7" i="90"/>
  <c r="J10" i="90" l="1"/>
  <c r="I10" i="90"/>
  <c r="M10" i="90"/>
  <c r="N7" i="90"/>
  <c r="N10" i="90" s="1"/>
  <c r="M11" i="90" l="1"/>
  <c r="D22" i="15" l="1"/>
  <c r="H15" i="38" s="1"/>
  <c r="H12" i="38" s="1"/>
  <c r="H11" i="38" s="1"/>
  <c r="AB94" i="88" l="1"/>
  <c r="AA94" i="88"/>
  <c r="Z94" i="88"/>
  <c r="Y94" i="88"/>
  <c r="X94" i="88"/>
  <c r="W94" i="88"/>
  <c r="V94" i="88"/>
  <c r="U94" i="88"/>
  <c r="T94" i="88"/>
  <c r="S94" i="88"/>
  <c r="R94" i="88"/>
  <c r="Q94" i="88"/>
  <c r="O94" i="88"/>
  <c r="N94" i="88"/>
  <c r="M94" i="88"/>
  <c r="L94" i="88"/>
  <c r="K94" i="88"/>
  <c r="J94" i="88"/>
  <c r="I94" i="88"/>
  <c r="H94" i="88"/>
  <c r="G94" i="88"/>
  <c r="F94" i="88"/>
  <c r="E94" i="88"/>
  <c r="D94" i="88"/>
  <c r="C94" i="88"/>
  <c r="AB93" i="88"/>
  <c r="AA93" i="88"/>
  <c r="Z93" i="88"/>
  <c r="Y93" i="88"/>
  <c r="X93" i="88"/>
  <c r="W93" i="88"/>
  <c r="V93" i="88"/>
  <c r="U93" i="88"/>
  <c r="T93" i="88"/>
  <c r="S93" i="88"/>
  <c r="R93" i="88"/>
  <c r="Q93" i="88"/>
  <c r="O93" i="88"/>
  <c r="N93" i="88"/>
  <c r="M93" i="88"/>
  <c r="L93" i="88"/>
  <c r="K93" i="88"/>
  <c r="J93" i="88"/>
  <c r="I93" i="88"/>
  <c r="H93" i="88"/>
  <c r="G93" i="88"/>
  <c r="F93" i="88"/>
  <c r="E93" i="88"/>
  <c r="D93" i="88"/>
  <c r="C93" i="88"/>
  <c r="AB92" i="88"/>
  <c r="AA92" i="88"/>
  <c r="Z92" i="88"/>
  <c r="Y92" i="88"/>
  <c r="X92" i="88"/>
  <c r="W92" i="88"/>
  <c r="V92" i="88"/>
  <c r="U92" i="88"/>
  <c r="T92" i="88"/>
  <c r="S92" i="88"/>
  <c r="R92" i="88"/>
  <c r="Q92" i="88"/>
  <c r="O92" i="88"/>
  <c r="N92" i="88"/>
  <c r="M92" i="88"/>
  <c r="L92" i="88"/>
  <c r="K92" i="88"/>
  <c r="J92" i="88"/>
  <c r="I92" i="88"/>
  <c r="H92" i="88"/>
  <c r="G92" i="88"/>
  <c r="F92" i="88"/>
  <c r="E92" i="88"/>
  <c r="D92" i="88"/>
  <c r="AB91" i="88"/>
  <c r="AA91" i="88"/>
  <c r="Z91" i="88"/>
  <c r="Y91" i="88"/>
  <c r="X91" i="88"/>
  <c r="W91" i="88"/>
  <c r="V91" i="88"/>
  <c r="U91" i="88"/>
  <c r="T91" i="88"/>
  <c r="S91" i="88"/>
  <c r="R91" i="88"/>
  <c r="Q91" i="88"/>
  <c r="O91" i="88"/>
  <c r="C91" i="88"/>
  <c r="C90" i="88"/>
  <c r="AC92" i="88" l="1"/>
  <c r="AC94" i="88"/>
  <c r="P92" i="88"/>
  <c r="P94" i="88"/>
  <c r="C89" i="88"/>
  <c r="D90" i="88"/>
  <c r="D89" i="88" s="1"/>
  <c r="AC91" i="88"/>
  <c r="AC93" i="88"/>
  <c r="P91" i="88"/>
  <c r="P93" i="88"/>
  <c r="P90" i="88" l="1"/>
  <c r="P89" i="88" s="1"/>
  <c r="E90" i="88"/>
  <c r="E89" i="88" s="1"/>
  <c r="Q90" i="88"/>
  <c r="Q89" i="88" s="1"/>
  <c r="AD90" i="88" l="1"/>
  <c r="AD89" i="88" s="1"/>
  <c r="F90" i="88"/>
  <c r="F89" i="88" s="1"/>
  <c r="AC90" i="88"/>
  <c r="AC89" i="88" s="1"/>
  <c r="R90" i="88"/>
  <c r="R89" i="88" s="1"/>
  <c r="AE90" i="88" l="1"/>
  <c r="AE89" i="88" s="1"/>
  <c r="S90" i="88"/>
  <c r="S89" i="88" s="1"/>
  <c r="G90" i="88"/>
  <c r="G89" i="88" s="1"/>
  <c r="AF90" i="88" l="1"/>
  <c r="AF89" i="88" s="1"/>
  <c r="H90" i="88"/>
  <c r="H89" i="88" s="1"/>
  <c r="T90" i="88"/>
  <c r="T89" i="88" s="1"/>
  <c r="AG90" i="88" l="1"/>
  <c r="AG89" i="88" s="1"/>
  <c r="U90" i="88"/>
  <c r="U89" i="88" s="1"/>
  <c r="I90" i="88"/>
  <c r="I89" i="88" s="1"/>
  <c r="AH90" i="88" l="1"/>
  <c r="AH89" i="88" s="1"/>
  <c r="V90" i="88"/>
  <c r="V89" i="88" s="1"/>
  <c r="J90" i="88"/>
  <c r="J89" i="88" s="1"/>
  <c r="AI90" i="88" l="1"/>
  <c r="AI89" i="88" s="1"/>
  <c r="K90" i="88"/>
  <c r="K89" i="88" s="1"/>
  <c r="W90" i="88"/>
  <c r="W89" i="88" s="1"/>
  <c r="L90" i="88" l="1"/>
  <c r="L89" i="88" s="1"/>
  <c r="X90" i="88"/>
  <c r="X89" i="88" s="1"/>
  <c r="Y90" i="88" l="1"/>
  <c r="Y89" i="88" s="1"/>
  <c r="M90" i="88"/>
  <c r="M89" i="88" s="1"/>
  <c r="N90" i="88" l="1"/>
  <c r="N89" i="88" s="1"/>
  <c r="Z90" i="88"/>
  <c r="Z89" i="88" s="1"/>
  <c r="AA90" i="88" l="1"/>
  <c r="AA89" i="88" s="1"/>
  <c r="O90" i="88"/>
  <c r="O89" i="88" s="1"/>
  <c r="AB90" i="88" l="1"/>
  <c r="AB89" i="88" s="1"/>
  <c r="C19" i="54" l="1"/>
  <c r="C22" i="81" l="1"/>
  <c r="C26" i="75" l="1"/>
  <c r="C39" i="71" l="1"/>
  <c r="F18" i="58"/>
  <c r="E18" i="58"/>
  <c r="E42" i="79" l="1"/>
  <c r="E41" i="79"/>
  <c r="E40" i="79"/>
  <c r="E39" i="79"/>
  <c r="E38" i="79"/>
  <c r="E36" i="79"/>
  <c r="E34" i="79"/>
  <c r="E33" i="79"/>
  <c r="E32" i="79"/>
  <c r="E31" i="79"/>
  <c r="E30" i="79"/>
  <c r="E29" i="79"/>
  <c r="E28" i="79"/>
  <c r="E27" i="79"/>
  <c r="E26" i="79"/>
  <c r="E25" i="79"/>
  <c r="E24" i="79"/>
  <c r="E23" i="79"/>
  <c r="E22" i="79"/>
  <c r="E21" i="79"/>
  <c r="E20" i="79"/>
  <c r="E18" i="79"/>
  <c r="E17" i="79"/>
  <c r="E16" i="79"/>
  <c r="E15" i="79"/>
  <c r="E14" i="79"/>
  <c r="E13" i="79"/>
  <c r="E12" i="79"/>
  <c r="E11" i="79"/>
  <c r="E10" i="79"/>
  <c r="E9" i="79"/>
  <c r="E8" i="79"/>
  <c r="E7" i="79"/>
  <c r="E6" i="79"/>
  <c r="E5" i="79"/>
  <c r="G17" i="58" l="1"/>
  <c r="G18" i="58" l="1"/>
  <c r="H8" i="38" s="1"/>
  <c r="G23" i="15"/>
  <c r="C11" i="70" l="1"/>
  <c r="C10" i="70"/>
  <c r="C7" i="70"/>
  <c r="H33" i="38" s="1"/>
  <c r="H31" i="38" s="1"/>
  <c r="B9" i="70"/>
  <c r="B10" i="70" s="1"/>
  <c r="B11" i="70" s="1"/>
  <c r="B12" i="70" s="1"/>
  <c r="B13" i="70" s="1"/>
  <c r="B14" i="70" s="1"/>
  <c r="B15" i="70" s="1"/>
  <c r="B16" i="70" s="1"/>
  <c r="B17" i="70" s="1"/>
  <c r="B18" i="70" s="1"/>
  <c r="B19" i="70" s="1"/>
  <c r="B20" i="70" s="1"/>
  <c r="B21" i="70" s="1"/>
  <c r="B22" i="70" s="1"/>
  <c r="B23" i="70" s="1"/>
  <c r="B24" i="70" s="1"/>
  <c r="B25" i="70" s="1"/>
  <c r="B26" i="70" s="1"/>
  <c r="B27" i="70" s="1"/>
  <c r="B28" i="70" s="1"/>
  <c r="C12" i="54"/>
  <c r="C13" i="54"/>
  <c r="C9" i="54"/>
  <c r="C8" i="54"/>
  <c r="C6" i="54"/>
  <c r="H7" i="38" l="1"/>
  <c r="H5" i="38" s="1"/>
  <c r="H24" i="38" s="1"/>
  <c r="C18" i="58"/>
  <c r="D18" i="58" l="1"/>
  <c r="D41" i="38" l="1"/>
  <c r="B18" i="58" l="1"/>
  <c r="A22" i="7" l="1"/>
  <c r="A61" i="66"/>
  <c r="A23" i="67" s="1"/>
  <c r="A18" i="10" l="1"/>
  <c r="A23" i="81" l="1"/>
  <c r="A19" i="58"/>
  <c r="A61" i="118" s="1"/>
  <c r="D17" i="10"/>
  <c r="D45" i="38" s="1"/>
  <c r="A20" i="59" l="1"/>
  <c r="A23" i="99" s="1"/>
  <c r="A18" i="120"/>
  <c r="A97" i="70" s="1"/>
  <c r="A18" i="119"/>
  <c r="A21" i="103"/>
  <c r="A19" i="68" l="1"/>
  <c r="A23" i="93"/>
  <c r="A27" i="75"/>
  <c r="A32" i="71"/>
  <c r="A3" i="66"/>
  <c r="A3" i="67" s="1"/>
  <c r="J7" i="67" l="1"/>
  <c r="F11" i="67" s="1"/>
  <c r="A23" i="15"/>
  <c r="A22" i="102" s="1"/>
  <c r="A23" i="122"/>
  <c r="F6" i="67"/>
  <c r="F9" i="67"/>
  <c r="F10" i="67"/>
  <c r="F7" i="67"/>
  <c r="F8" i="67"/>
  <c r="F12" i="67"/>
  <c r="A3" i="7"/>
  <c r="A3" i="63"/>
  <c r="H28" i="38" l="1"/>
  <c r="H25" i="38" s="1"/>
  <c r="H46" i="38" l="1"/>
  <c r="H38" i="38"/>
  <c r="D42" i="38"/>
  <c r="D40" i="38" l="1"/>
  <c r="D39" i="38" s="1"/>
  <c r="D23" i="17" l="1"/>
  <c r="G24" i="15" l="1"/>
  <c r="A3" i="10" l="1"/>
  <c r="A3" i="100" l="1"/>
  <c r="A3" i="54" s="1"/>
  <c r="A3" i="58" s="1"/>
  <c r="A3" i="81"/>
  <c r="H17" i="67"/>
  <c r="A3" i="99" l="1"/>
  <c r="A3" i="93"/>
  <c r="H27" i="67"/>
  <c r="H22" i="67"/>
  <c r="A3" i="75"/>
  <c r="A3" i="71"/>
  <c r="D11" i="75" l="1"/>
  <c r="D6" i="75"/>
  <c r="A3" i="102"/>
  <c r="A3" i="17" l="1"/>
  <c r="D37" i="38"/>
  <c r="D35" i="38" s="1"/>
  <c r="D34" i="38" s="1"/>
  <c r="D46" i="38" s="1"/>
  <c r="E71" i="124" l="1"/>
  <c r="F70" i="124"/>
</calcChain>
</file>

<file path=xl/comments1.xml><?xml version="1.0" encoding="utf-8"?>
<comments xmlns="http://schemas.openxmlformats.org/spreadsheetml/2006/main">
  <authors>
    <author>woo00</author>
  </authors>
  <commentList>
    <comment ref="F45" authorId="0" shapeId="0">
      <text>
        <r>
          <rPr>
            <b/>
            <sz val="9"/>
            <color indexed="81"/>
            <rFont val="Tahoma"/>
            <family val="2"/>
          </rPr>
          <t>woo00: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단수</t>
        </r>
      </text>
    </comment>
  </commentList>
</comments>
</file>

<file path=xl/comments2.xml><?xml version="1.0" encoding="utf-8"?>
<comments xmlns="http://schemas.openxmlformats.org/spreadsheetml/2006/main">
  <authors>
    <author>노신희</author>
  </authors>
  <commentList>
    <comment ref="BT47" authorId="0" shapeId="0">
      <text>
        <r>
          <rPr>
            <b/>
            <sz val="9"/>
            <color indexed="81"/>
            <rFont val="Tahoma"/>
            <family val="2"/>
          </rPr>
          <t xml:space="preserve">pdf pw 5108123455
</t>
        </r>
      </text>
    </comment>
  </commentList>
</comments>
</file>

<file path=xl/comments3.xml><?xml version="1.0" encoding="utf-8"?>
<comments xmlns="http://schemas.openxmlformats.org/spreadsheetml/2006/main">
  <authors>
    <author>n0013</author>
  </authors>
  <commentList>
    <comment ref="D24" authorId="0" shapeId="0">
      <text>
        <r>
          <rPr>
            <b/>
            <sz val="9"/>
            <color indexed="81"/>
            <rFont val="돋움"/>
            <family val="3"/>
            <charset val="129"/>
          </rPr>
          <t>이자수익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</text>
    </comment>
  </commentList>
</comments>
</file>

<file path=xl/connections.xml><?xml version="1.0" encoding="utf-8"?>
<connections xmlns="http://schemas.openxmlformats.org/spreadsheetml/2006/main">
  <connection id="1" sourceFile="C:\Users\user\Desktop\자산명세서(1507).xlsx" keepAlive="1" name="자산명세서(1507)" type="5" refreshedVersion="0" new="1" background="1">
    <dbPr connection="Provider=Microsoft.ACE.OLEDB.12.0;Password=&quot;&quot;;User ID=Admin;Data Source=C:\Users\user\Desktop\자산명세서(1507)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건물$" commandType="3"/>
  </connection>
</connections>
</file>

<file path=xl/sharedStrings.xml><?xml version="1.0" encoding="utf-8"?>
<sst xmlns="http://schemas.openxmlformats.org/spreadsheetml/2006/main" count="2278" uniqueCount="1426">
  <si>
    <t>단위 : 원</t>
  </si>
  <si>
    <t>거 래 처</t>
  </si>
  <si>
    <t>적   요</t>
  </si>
  <si>
    <t>금   액</t>
  </si>
  <si>
    <t>비   고</t>
  </si>
  <si>
    <t>합   계</t>
  </si>
  <si>
    <t>과   목</t>
  </si>
  <si>
    <t>계좌번호</t>
  </si>
  <si>
    <t>보통예금</t>
  </si>
  <si>
    <t>계약개시일</t>
  </si>
  <si>
    <t>계약종료일</t>
  </si>
  <si>
    <t>계약일수</t>
  </si>
  <si>
    <t>미경과일수</t>
  </si>
  <si>
    <t>대 상 액</t>
  </si>
  <si>
    <t>선급비용</t>
  </si>
  <si>
    <t xml:space="preserve">         단위 : 원</t>
  </si>
  <si>
    <t>종   류</t>
  </si>
  <si>
    <t>이 자 율</t>
  </si>
  <si>
    <t>산업은행</t>
  </si>
  <si>
    <t>김천에너지㈜</t>
    <phoneticPr fontId="39" type="noConversion"/>
  </si>
  <si>
    <t>일  자</t>
    <phoneticPr fontId="3" type="noConversion"/>
  </si>
  <si>
    <t>미수수익 명세서</t>
    <phoneticPr fontId="3" type="noConversion"/>
  </si>
  <si>
    <t>선급금 명세서</t>
    <phoneticPr fontId="3" type="noConversion"/>
  </si>
  <si>
    <t>현금과 예금 명세서</t>
    <phoneticPr fontId="3" type="noConversion"/>
  </si>
  <si>
    <t>현    금</t>
    <phoneticPr fontId="3" type="noConversion"/>
  </si>
  <si>
    <t>소  계</t>
    <phoneticPr fontId="3" type="noConversion"/>
  </si>
  <si>
    <t>제 예 금</t>
    <phoneticPr fontId="3" type="noConversion"/>
  </si>
  <si>
    <t>미지급비용 명세서</t>
    <phoneticPr fontId="3" type="noConversion"/>
  </si>
  <si>
    <t>주식발행할인차금 명세서</t>
    <phoneticPr fontId="3" type="noConversion"/>
  </si>
  <si>
    <t>하나은행</t>
    <phoneticPr fontId="2" type="noConversion"/>
  </si>
  <si>
    <t>MMT</t>
    <phoneticPr fontId="3" type="noConversion"/>
  </si>
  <si>
    <t>거래처</t>
    <phoneticPr fontId="2" type="noConversion"/>
  </si>
  <si>
    <t>6월</t>
  </si>
  <si>
    <t>7월</t>
  </si>
  <si>
    <t>8월</t>
  </si>
  <si>
    <t>9월</t>
  </si>
  <si>
    <t>10월</t>
  </si>
  <si>
    <t>11월</t>
  </si>
  <si>
    <t>12월</t>
  </si>
  <si>
    <t>3월</t>
  </si>
  <si>
    <t>계</t>
    <phoneticPr fontId="2" type="noConversion"/>
  </si>
  <si>
    <t>계좌번호</t>
    <phoneticPr fontId="2" type="noConversion"/>
  </si>
  <si>
    <t>예금잔액</t>
    <phoneticPr fontId="2" type="noConversion"/>
  </si>
  <si>
    <t>미수수익</t>
    <phoneticPr fontId="3" type="noConversion"/>
  </si>
  <si>
    <t>금  리</t>
    <phoneticPr fontId="2" type="noConversion"/>
  </si>
  <si>
    <t>일자</t>
    <phoneticPr fontId="2" type="noConversion"/>
  </si>
  <si>
    <t>임원 변경 및 증자수수료외</t>
    <phoneticPr fontId="2" type="noConversion"/>
  </si>
  <si>
    <t>증자수수료</t>
    <phoneticPr fontId="2" type="noConversion"/>
  </si>
  <si>
    <t>유상증자 등기비용외</t>
    <phoneticPr fontId="2" type="noConversion"/>
  </si>
  <si>
    <t>2011.04.14</t>
    <phoneticPr fontId="2" type="noConversion"/>
  </si>
  <si>
    <t>2011.11.08</t>
    <phoneticPr fontId="2" type="noConversion"/>
  </si>
  <si>
    <t>2011.10.01</t>
    <phoneticPr fontId="2" type="noConversion"/>
  </si>
  <si>
    <t>일  수</t>
    <phoneticPr fontId="2" type="noConversion"/>
  </si>
  <si>
    <t>-</t>
    <phoneticPr fontId="2" type="noConversion"/>
  </si>
  <si>
    <t>-</t>
    <phoneticPr fontId="3" type="noConversion"/>
  </si>
  <si>
    <t>하나은행</t>
    <phoneticPr fontId="2" type="noConversion"/>
  </si>
  <si>
    <t>일자</t>
    <phoneticPr fontId="3" type="noConversion"/>
  </si>
  <si>
    <t>단위 : 원</t>
    <phoneticPr fontId="39" type="noConversion"/>
  </si>
  <si>
    <t>과  목</t>
    <phoneticPr fontId="39" type="noConversion"/>
  </si>
  <si>
    <t>금  액</t>
    <phoneticPr fontId="39" type="noConversion"/>
  </si>
  <si>
    <t>유 동 자 산</t>
    <phoneticPr fontId="39" type="noConversion"/>
  </si>
  <si>
    <t>재고자산</t>
    <phoneticPr fontId="39" type="noConversion"/>
  </si>
  <si>
    <t>부 채 총 계</t>
    <phoneticPr fontId="39" type="noConversion"/>
  </si>
  <si>
    <t>비 유 동 자 산</t>
    <phoneticPr fontId="39" type="noConversion"/>
  </si>
  <si>
    <t>유형자산</t>
    <phoneticPr fontId="39" type="noConversion"/>
  </si>
  <si>
    <t>토지</t>
    <phoneticPr fontId="39" type="noConversion"/>
  </si>
  <si>
    <t>건물</t>
    <phoneticPr fontId="39" type="noConversion"/>
  </si>
  <si>
    <t>자 본 총 계</t>
    <phoneticPr fontId="39" type="noConversion"/>
  </si>
  <si>
    <t>구축물</t>
    <phoneticPr fontId="39" type="noConversion"/>
  </si>
  <si>
    <t>기계장치</t>
    <phoneticPr fontId="39" type="noConversion"/>
  </si>
  <si>
    <t>차량운반구</t>
    <phoneticPr fontId="39" type="noConversion"/>
  </si>
  <si>
    <t>건설중인자산</t>
    <phoneticPr fontId="39" type="noConversion"/>
  </si>
  <si>
    <t>자 산 총 계</t>
    <phoneticPr fontId="39" type="noConversion"/>
  </si>
  <si>
    <t>부채와자본총계</t>
    <phoneticPr fontId="39" type="noConversion"/>
  </si>
  <si>
    <t>(감가상각누계액)</t>
    <phoneticPr fontId="2" type="noConversion"/>
  </si>
  <si>
    <t>공구와기구</t>
    <phoneticPr fontId="39" type="noConversion"/>
  </si>
  <si>
    <t>비품</t>
    <phoneticPr fontId="39" type="noConversion"/>
  </si>
  <si>
    <t>비유동이연법인세자산</t>
    <phoneticPr fontId="39" type="noConversion"/>
  </si>
  <si>
    <t>매출채권 및 기타채권</t>
    <phoneticPr fontId="39" type="noConversion"/>
  </si>
  <si>
    <t>미수수익</t>
    <phoneticPr fontId="39" type="noConversion"/>
  </si>
  <si>
    <t>현금 및 현금성자산</t>
    <phoneticPr fontId="39" type="noConversion"/>
  </si>
  <si>
    <t>비 유 동 부 채</t>
    <phoneticPr fontId="39" type="noConversion"/>
  </si>
  <si>
    <t>유 동 부 채</t>
    <phoneticPr fontId="39" type="noConversion"/>
  </si>
  <si>
    <t>매입채무및 기타채무</t>
    <phoneticPr fontId="2" type="noConversion"/>
  </si>
  <si>
    <t>미지급금</t>
    <phoneticPr fontId="2" type="noConversion"/>
  </si>
  <si>
    <t>예수금</t>
    <phoneticPr fontId="2" type="noConversion"/>
  </si>
  <si>
    <t>미지급비용</t>
    <phoneticPr fontId="2" type="noConversion"/>
  </si>
  <si>
    <t>부가세예수금</t>
    <phoneticPr fontId="2" type="noConversion"/>
  </si>
  <si>
    <t>주  주  지 분</t>
    <phoneticPr fontId="2" type="noConversion"/>
  </si>
  <si>
    <t>자본금</t>
    <phoneticPr fontId="2" type="noConversion"/>
  </si>
  <si>
    <t>자본잉여금</t>
    <phoneticPr fontId="2" type="noConversion"/>
  </si>
  <si>
    <t>자본조정</t>
    <phoneticPr fontId="2" type="noConversion"/>
  </si>
  <si>
    <t>포괄손익누계액</t>
    <phoneticPr fontId="2" type="noConversion"/>
  </si>
  <si>
    <t>이익잉여금</t>
    <phoneticPr fontId="2" type="noConversion"/>
  </si>
  <si>
    <t>당기손익</t>
    <phoneticPr fontId="2" type="noConversion"/>
  </si>
  <si>
    <t>전기손익</t>
    <phoneticPr fontId="2" type="noConversion"/>
  </si>
  <si>
    <t>비 지 배 지 분</t>
    <phoneticPr fontId="2" type="noConversion"/>
  </si>
  <si>
    <t>구  분</t>
    <phoneticPr fontId="2" type="noConversion"/>
  </si>
  <si>
    <t>기  말</t>
    <phoneticPr fontId="2" type="noConversion"/>
  </si>
  <si>
    <t>기  초</t>
    <phoneticPr fontId="2" type="noConversion"/>
  </si>
  <si>
    <t>대상기간</t>
    <phoneticPr fontId="3" type="noConversion"/>
  </si>
  <si>
    <t>코오롱인더스트리1</t>
  </si>
  <si>
    <t>코오롱인더스트리2</t>
  </si>
  <si>
    <t>LG화학</t>
  </si>
  <si>
    <t>이자조회</t>
    <phoneticPr fontId="2" type="noConversion"/>
  </si>
  <si>
    <t>매출채권 명세서</t>
    <phoneticPr fontId="3" type="noConversion"/>
  </si>
  <si>
    <t>계</t>
    <phoneticPr fontId="2" type="noConversion"/>
  </si>
  <si>
    <t>사외적립자산 명세서</t>
    <phoneticPr fontId="3" type="noConversion"/>
  </si>
  <si>
    <t>삼성생명</t>
  </si>
  <si>
    <t>미래에셋생명</t>
  </si>
  <si>
    <t>신한은행</t>
  </si>
  <si>
    <t>하나은행</t>
  </si>
  <si>
    <t>국민은행</t>
  </si>
  <si>
    <t>삼성증권</t>
  </si>
  <si>
    <t>한국투자증권</t>
  </si>
  <si>
    <t>미래에셋증권</t>
  </si>
  <si>
    <t>예치이자</t>
    <phoneticPr fontId="2" type="noConversion"/>
  </si>
  <si>
    <t>한화생명</t>
  </si>
  <si>
    <t>구  분</t>
  </si>
  <si>
    <t>새빗켐</t>
  </si>
  <si>
    <t>공급관로</t>
    <phoneticPr fontId="39" type="noConversion"/>
  </si>
  <si>
    <t>매입채무</t>
    <phoneticPr fontId="2" type="noConversion"/>
  </si>
  <si>
    <t>일  자</t>
    <phoneticPr fontId="2" type="noConversion"/>
  </si>
  <si>
    <t>거래처</t>
    <phoneticPr fontId="2" type="noConversion"/>
  </si>
  <si>
    <t>비  고</t>
    <phoneticPr fontId="2" type="noConversion"/>
  </si>
  <si>
    <t>510-910034-39004</t>
    <phoneticPr fontId="2" type="noConversion"/>
  </si>
  <si>
    <t>510-910008-71852</t>
  </si>
  <si>
    <t>510-910034-55904</t>
    <phoneticPr fontId="2" type="noConversion"/>
  </si>
  <si>
    <t>기업은행</t>
    <phoneticPr fontId="2" type="noConversion"/>
  </si>
  <si>
    <t>595-001327-04-011</t>
    <phoneticPr fontId="2" type="noConversion"/>
  </si>
  <si>
    <t>510-910034-40004</t>
    <phoneticPr fontId="2" type="noConversion"/>
  </si>
  <si>
    <t>입출금계좌</t>
    <phoneticPr fontId="2" type="noConversion"/>
  </si>
  <si>
    <t>급여계좌</t>
    <phoneticPr fontId="2" type="noConversion"/>
  </si>
  <si>
    <t>전력산업기반기금계좌</t>
    <phoneticPr fontId="2" type="noConversion"/>
  </si>
  <si>
    <t>전력대금 입금계좌</t>
    <phoneticPr fontId="2" type="noConversion"/>
  </si>
  <si>
    <t>상  품</t>
    <phoneticPr fontId="2" type="noConversion"/>
  </si>
  <si>
    <t>MMDA</t>
    <phoneticPr fontId="2" type="noConversion"/>
  </si>
  <si>
    <t>적  요</t>
    <phoneticPr fontId="2" type="noConversion"/>
  </si>
  <si>
    <t>원천징수의무자</t>
    <phoneticPr fontId="2" type="noConversion"/>
  </si>
  <si>
    <t>일  자</t>
    <phoneticPr fontId="2" type="noConversion"/>
  </si>
  <si>
    <t>이자금액</t>
    <phoneticPr fontId="2" type="noConversion"/>
  </si>
  <si>
    <t>원천법인세</t>
    <phoneticPr fontId="2" type="noConversion"/>
  </si>
  <si>
    <t>원천지방소득세</t>
    <phoneticPr fontId="2" type="noConversion"/>
  </si>
  <si>
    <t>비  고</t>
    <phoneticPr fontId="3" type="noConversion"/>
  </si>
  <si>
    <t>이자수익</t>
  </si>
  <si>
    <t>선급비용(보험료/기타) 명세서</t>
    <phoneticPr fontId="3" type="noConversion"/>
  </si>
  <si>
    <t>B/S</t>
    <phoneticPr fontId="2" type="noConversion"/>
  </si>
  <si>
    <t>기초 예치금</t>
    <phoneticPr fontId="2" type="noConversion"/>
  </si>
  <si>
    <t>지급액</t>
    <phoneticPr fontId="2" type="noConversion"/>
  </si>
  <si>
    <t>농협은행</t>
  </si>
  <si>
    <t>NH투자증권</t>
  </si>
  <si>
    <t>하나대투증권</t>
  </si>
  <si>
    <t>미지급금(자동이체)</t>
    <phoneticPr fontId="2" type="noConversion"/>
  </si>
  <si>
    <t>건강보험공단</t>
    <phoneticPr fontId="2" type="noConversion"/>
  </si>
  <si>
    <t>영남에너지서비스</t>
    <phoneticPr fontId="2" type="noConversion"/>
  </si>
  <si>
    <t>선급비용(기타)</t>
    <phoneticPr fontId="2" type="noConversion"/>
  </si>
  <si>
    <t>선급비용(보험료)</t>
    <phoneticPr fontId="2" type="noConversion"/>
  </si>
  <si>
    <t>2015.05.31</t>
    <phoneticPr fontId="2" type="noConversion"/>
  </si>
  <si>
    <t>2015.01.12</t>
    <phoneticPr fontId="2" type="noConversion"/>
  </si>
  <si>
    <t>하남이동 인력</t>
    <phoneticPr fontId="2" type="noConversion"/>
  </si>
  <si>
    <t>1월 이자원가+당기근무원가+보험수리적 손실</t>
    <phoneticPr fontId="2" type="noConversion"/>
  </si>
  <si>
    <t>하남이동 인력 차액 반환</t>
    <phoneticPr fontId="2" type="noConversion"/>
  </si>
  <si>
    <t>2015.01.31</t>
    <phoneticPr fontId="2" type="noConversion"/>
  </si>
  <si>
    <t>2015.01.30</t>
    <phoneticPr fontId="2" type="noConversion"/>
  </si>
  <si>
    <t>2015.02.28</t>
    <phoneticPr fontId="2" type="noConversion"/>
  </si>
  <si>
    <t>2월 이자원가+당기근무원가+보험수리적 손실</t>
    <phoneticPr fontId="2" type="noConversion"/>
  </si>
  <si>
    <t>1월 계리 차이분 조정</t>
    <phoneticPr fontId="2" type="noConversion"/>
  </si>
  <si>
    <t>2015.03.31</t>
    <phoneticPr fontId="2" type="noConversion"/>
  </si>
  <si>
    <t>2015.04.30</t>
    <phoneticPr fontId="2" type="noConversion"/>
  </si>
  <si>
    <t>3월 이자원가+당기근무원가+보험수리적 손실</t>
    <phoneticPr fontId="2" type="noConversion"/>
  </si>
  <si>
    <t>4월 이자원가+당기근무원가+보험수리적 손실</t>
    <phoneticPr fontId="2" type="noConversion"/>
  </si>
  <si>
    <t>5월 이자원가+당기근무원가+보험수리적 손실</t>
    <phoneticPr fontId="2" type="noConversion"/>
  </si>
  <si>
    <t>보험수리적손익 명세서</t>
    <phoneticPr fontId="3" type="noConversion"/>
  </si>
  <si>
    <t>보험수리적 손익</t>
    <phoneticPr fontId="2" type="noConversion"/>
  </si>
  <si>
    <t>1월 계리 차이분 조정</t>
    <phoneticPr fontId="2" type="noConversion"/>
  </si>
  <si>
    <t>예수금(기타) 명세서</t>
    <phoneticPr fontId="3" type="noConversion"/>
  </si>
  <si>
    <t>전력산업 기반기금(지원금+이자)</t>
    <phoneticPr fontId="2" type="noConversion"/>
  </si>
  <si>
    <t>전력기반센터</t>
    <phoneticPr fontId="2" type="noConversion"/>
  </si>
  <si>
    <t>-</t>
    <phoneticPr fontId="2" type="noConversion"/>
  </si>
  <si>
    <t>예수금(소득세)</t>
    <phoneticPr fontId="2" type="noConversion"/>
  </si>
  <si>
    <t>예수금(주민세)</t>
    <phoneticPr fontId="2" type="noConversion"/>
  </si>
  <si>
    <t>예수금(소득/주민세) 명세서</t>
    <phoneticPr fontId="3" type="noConversion"/>
  </si>
  <si>
    <t>일자</t>
    <phoneticPr fontId="2" type="noConversion"/>
  </si>
  <si>
    <t>저장품 명세서</t>
    <phoneticPr fontId="3" type="noConversion"/>
  </si>
  <si>
    <t>하남인력 1월 급여시 연말정산 추징분 뗐는지 확인 : 4,252,550-</t>
    <phoneticPr fontId="2" type="noConversion"/>
  </si>
  <si>
    <t>2016.06.30</t>
    <phoneticPr fontId="2" type="noConversion"/>
  </si>
  <si>
    <t>6월 이자원가+당기근무원가+보험수리적 손실</t>
    <phoneticPr fontId="2" type="noConversion"/>
  </si>
  <si>
    <t>현대해상화재</t>
    <phoneticPr fontId="2" type="noConversion"/>
  </si>
  <si>
    <t>수수료</t>
    <phoneticPr fontId="2" type="noConversion"/>
  </si>
  <si>
    <t>품  명</t>
    <phoneticPr fontId="2" type="noConversion"/>
  </si>
  <si>
    <t>규  격</t>
    <phoneticPr fontId="2" type="noConversion"/>
  </si>
  <si>
    <t>수량</t>
    <phoneticPr fontId="3" type="noConversion"/>
  </si>
  <si>
    <t>단가</t>
    <phoneticPr fontId="2" type="noConversion"/>
  </si>
  <si>
    <t>Conveyor Belt</t>
  </si>
  <si>
    <t>감속기</t>
  </si>
  <si>
    <t xml:space="preserve"> DHM-HQH5557.5Kw X 1242rpm X 1/150</t>
  </si>
  <si>
    <t>Filter bag</t>
  </si>
  <si>
    <t>KF97 DRE132MC4.7.5kw.1775rpm 1/56.55</t>
  </si>
  <si>
    <t>Furnace wall tube</t>
  </si>
  <si>
    <t>ST35.8,63.5OD X 4.5-6000L.A210C</t>
  </si>
  <si>
    <t>Wing wall Super heater tube</t>
  </si>
  <si>
    <t>SH-1 Super heater tube</t>
  </si>
  <si>
    <t>ST35.8, 44.5OD X 4.5-6000L.A210C</t>
  </si>
  <si>
    <t>13CrMo44,44.5OD X 4.0-6000L.A213T12</t>
  </si>
  <si>
    <t>SH-2 Super heater tube</t>
  </si>
  <si>
    <t>10CrMo910, 44.5OD X 5.0-6000L.A213T22</t>
  </si>
  <si>
    <t>SH-3 Super heater tube</t>
  </si>
  <si>
    <t>10CrMo910,44.5OD X 8.0-6000L.A213T22</t>
  </si>
  <si>
    <t>Furnace grid wall tube</t>
  </si>
  <si>
    <t>ST35.8,76.2OD X 11.0-6000L.A210C</t>
  </si>
  <si>
    <t>Furnace membrane bar</t>
  </si>
  <si>
    <t>6t X 22.5W-4000L.SS400</t>
  </si>
  <si>
    <t>Furnace grid wall membrane bar</t>
  </si>
  <si>
    <t>6t X 95.8W-4000L.SS400</t>
  </si>
  <si>
    <t>SH wall membrane bar</t>
  </si>
  <si>
    <t>6t X 61.5W-4000L.SA387Gr12</t>
  </si>
  <si>
    <t>Wing wall SH membrane bar</t>
  </si>
  <si>
    <t>6t X 15.5W-4000L.SA387Gr22</t>
  </si>
  <si>
    <t>AIR NOZZLE FOR L/S</t>
  </si>
  <si>
    <t>S353156구</t>
  </si>
  <si>
    <t>S3531512구</t>
  </si>
  <si>
    <t>FHC.효성. 0.75kW*4P*60HZ*440V*1/60 일반형/Motor일체형</t>
  </si>
  <si>
    <t>감속기.FHC.효성</t>
  </si>
  <si>
    <t>2.2kW*4P*60HZ*440V*1/45 일반형/Motor일체형</t>
  </si>
  <si>
    <t>감속기.FHB.효성</t>
  </si>
  <si>
    <t>7.5kW*4P*60HZ*440V*1/20 방폭형/Motor일체형</t>
  </si>
  <si>
    <t>1.5kW*4P*60HZ*440V*1/20 방폭형/Motor일체형</t>
  </si>
  <si>
    <t>2.2kW*4P*60HZ*440V*1/20 방폭형/Motor일체형</t>
  </si>
  <si>
    <t>SHC22.효성. 22kW*4P*60HZ*440V*1/63</t>
  </si>
  <si>
    <t>E/S G/MOTOR.2.2 kw x 4P X 1/30</t>
  </si>
  <si>
    <t>MOTOR</t>
  </si>
  <si>
    <t>10HP.6P.TE</t>
  </si>
  <si>
    <t>20HP.6P.EF</t>
  </si>
  <si>
    <t>3HP.4P.EF-F</t>
  </si>
  <si>
    <t>1HP.2P.TE</t>
  </si>
  <si>
    <t>3HP.4P.TE</t>
  </si>
  <si>
    <t>Sleeve bearing</t>
  </si>
  <si>
    <t>400Kw 8P HSTC 60HZ 6600V Sleeve/Sleeve</t>
  </si>
  <si>
    <t>2600Kw 2P HSTC 60HZ 6600V Sleeve/Sleeve</t>
  </si>
  <si>
    <t>160Kw 4P HSFC 60HZ 6600V 6314C3/6318C3</t>
  </si>
  <si>
    <t>3500/22 3500/22 Transient Data Interface</t>
  </si>
  <si>
    <t>138607-01 &amp; 146031-01</t>
  </si>
  <si>
    <t>3500/33 3500/33 16-CHANNEL RELAY</t>
  </si>
  <si>
    <t>149986-01 &amp; 149992-01</t>
  </si>
  <si>
    <t>3500/42 3500 PROXIMITOR/SEIS</t>
  </si>
  <si>
    <t>176449-02 &amp; 140471-01</t>
  </si>
  <si>
    <t>3500/92 3500/92 COMMUNICATIONGATEWAY</t>
  </si>
  <si>
    <t>136180-01 &amp; 136188-02</t>
  </si>
  <si>
    <t>김천에너지서비스㈜</t>
    <phoneticPr fontId="2" type="noConversion"/>
  </si>
  <si>
    <t>2015.07.31</t>
    <phoneticPr fontId="2" type="noConversion"/>
  </si>
  <si>
    <t>7월 이자원가+당기근무원가+보험수리적 손실</t>
  </si>
  <si>
    <t>'15년 전력기반기금</t>
    <phoneticPr fontId="2" type="noConversion"/>
  </si>
  <si>
    <t>예수-고용으로 계정 대체</t>
    <phoneticPr fontId="2" type="noConversion"/>
  </si>
  <si>
    <t>전력기반기금</t>
    <phoneticPr fontId="2" type="noConversion"/>
  </si>
  <si>
    <t>법인세 중간예납</t>
    <phoneticPr fontId="2" type="noConversion"/>
  </si>
  <si>
    <t>소   계</t>
    <phoneticPr fontId="2" type="noConversion"/>
  </si>
  <si>
    <t>김천세무서</t>
    <phoneticPr fontId="2" type="noConversion"/>
  </si>
  <si>
    <t>합 계</t>
    <phoneticPr fontId="2" type="noConversion"/>
  </si>
  <si>
    <t>선급비용(법인세/지방소득세) 명세서</t>
    <phoneticPr fontId="3" type="noConversion"/>
  </si>
  <si>
    <t>2015.08.31</t>
    <phoneticPr fontId="2" type="noConversion"/>
  </si>
  <si>
    <t>8월 이자원가+당기근무원가+보험수리적 손실</t>
  </si>
  <si>
    <t>이익준비금</t>
    <phoneticPr fontId="2" type="noConversion"/>
  </si>
  <si>
    <t>보험수리적손익</t>
    <phoneticPr fontId="2" type="noConversion"/>
  </si>
  <si>
    <t>이익준비금 명세서</t>
    <phoneticPr fontId="3" type="noConversion"/>
  </si>
  <si>
    <t>2015.08.21</t>
    <phoneticPr fontId="2" type="noConversion"/>
  </si>
  <si>
    <t>15년 중간배당</t>
    <phoneticPr fontId="2" type="noConversion"/>
  </si>
  <si>
    <t>2015.09.30</t>
    <phoneticPr fontId="2" type="noConversion"/>
  </si>
  <si>
    <t>9월 이자원가+당기근무원가+보험수리적 손실</t>
  </si>
  <si>
    <t>2015.10.31</t>
    <phoneticPr fontId="2" type="noConversion"/>
  </si>
  <si>
    <t>10월 이자원가+당기근무원가+보험수리적 손실</t>
  </si>
  <si>
    <t>전력기반기금 운영경비</t>
    <phoneticPr fontId="2" type="noConversion"/>
  </si>
  <si>
    <t>2015.10.31</t>
    <phoneticPr fontId="2" type="noConversion"/>
  </si>
  <si>
    <t>이익준비금 대체(중간배당분)</t>
    <phoneticPr fontId="2" type="noConversion"/>
  </si>
  <si>
    <t>2015.11.30</t>
    <phoneticPr fontId="2" type="noConversion"/>
  </si>
  <si>
    <t>11월 이자원가+당기근무원가+보험수리적 손실</t>
    <phoneticPr fontId="2" type="noConversion"/>
  </si>
  <si>
    <t>독정마을 안마기 구입</t>
    <phoneticPr fontId="2" type="noConversion"/>
  </si>
  <si>
    <t>구  분</t>
    <phoneticPr fontId="39" type="noConversion"/>
  </si>
  <si>
    <t>재고</t>
    <phoneticPr fontId="39" type="noConversion"/>
  </si>
  <si>
    <t>2월</t>
    <phoneticPr fontId="92" type="noConversion"/>
  </si>
  <si>
    <t>러시아탄</t>
    <phoneticPr fontId="92" type="noConversion"/>
  </si>
  <si>
    <t>○ 재무상태표</t>
    <phoneticPr fontId="39" type="noConversion"/>
  </si>
  <si>
    <t>2015.12.31</t>
    <phoneticPr fontId="2" type="noConversion"/>
  </si>
  <si>
    <t>하나은행 구미중앙지점</t>
    <phoneticPr fontId="2" type="noConversion"/>
  </si>
  <si>
    <t>하나은행구미중앙지점</t>
  </si>
  <si>
    <t>구분</t>
    <phoneticPr fontId="92" type="noConversion"/>
  </si>
  <si>
    <t>차입일</t>
    <phoneticPr fontId="92" type="noConversion"/>
  </si>
  <si>
    <t>만기일</t>
    <phoneticPr fontId="92" type="noConversion"/>
  </si>
  <si>
    <t>총 차입금</t>
    <phoneticPr fontId="92" type="noConversion"/>
  </si>
  <si>
    <t>전환권조정
+할인발행차금</t>
    <phoneticPr fontId="92" type="noConversion"/>
  </si>
  <si>
    <t>유효이자율</t>
    <phoneticPr fontId="92" type="noConversion"/>
  </si>
  <si>
    <t>전환권조정</t>
    <phoneticPr fontId="92" type="noConversion"/>
  </si>
  <si>
    <t>할인발행차금</t>
    <phoneticPr fontId="92" type="noConversion"/>
  </si>
  <si>
    <t>1,600억</t>
    <phoneticPr fontId="92" type="noConversion"/>
  </si>
  <si>
    <t>일자</t>
    <phoneticPr fontId="92" type="noConversion"/>
  </si>
  <si>
    <t>상환원금</t>
  </si>
  <si>
    <t>유효이자</t>
    <phoneticPr fontId="92" type="noConversion"/>
  </si>
  <si>
    <t>액면이자</t>
    <phoneticPr fontId="92" type="noConversion"/>
  </si>
  <si>
    <t>상각액</t>
    <phoneticPr fontId="92" type="noConversion"/>
  </si>
  <si>
    <t>장부금액</t>
    <phoneticPr fontId="92" type="noConversion"/>
  </si>
  <si>
    <t xml:space="preserve">현금 </t>
    <phoneticPr fontId="92" type="noConversion"/>
  </si>
  <si>
    <t>전환사채</t>
    <phoneticPr fontId="92" type="noConversion"/>
  </si>
  <si>
    <t>자본잉여금</t>
    <phoneticPr fontId="92" type="noConversion"/>
  </si>
  <si>
    <t>사할차</t>
    <phoneticPr fontId="92" type="noConversion"/>
  </si>
  <si>
    <t>현금</t>
    <phoneticPr fontId="92" type="noConversion"/>
  </si>
  <si>
    <t>합계</t>
    <phoneticPr fontId="92" type="noConversion"/>
  </si>
  <si>
    <t>회차</t>
    <phoneticPr fontId="92" type="noConversion"/>
  </si>
  <si>
    <t>상환일</t>
    <phoneticPr fontId="92" type="noConversion"/>
  </si>
  <si>
    <t>2015.12.09</t>
    <phoneticPr fontId="2" type="noConversion"/>
  </si>
  <si>
    <t>퇴직금(김정은) 지급</t>
    <phoneticPr fontId="2" type="noConversion"/>
  </si>
  <si>
    <t>12월 이자원가+당기근무원가+보험수리적 손실</t>
    <phoneticPr fontId="2" type="noConversion"/>
  </si>
  <si>
    <t>2013년</t>
    <phoneticPr fontId="92" type="noConversion"/>
  </si>
  <si>
    <t>2014년</t>
    <phoneticPr fontId="92" type="noConversion"/>
  </si>
  <si>
    <t>2015년</t>
    <phoneticPr fontId="92" type="noConversion"/>
  </si>
  <si>
    <t>1월</t>
    <phoneticPr fontId="92" type="noConversion"/>
  </si>
  <si>
    <t>3월</t>
    <phoneticPr fontId="92" type="noConversion"/>
  </si>
  <si>
    <t>4월</t>
  </si>
  <si>
    <t>5월</t>
  </si>
  <si>
    <t>계</t>
    <phoneticPr fontId="92" type="noConversion"/>
  </si>
  <si>
    <t>예치금</t>
    <phoneticPr fontId="92" type="noConversion"/>
  </si>
  <si>
    <t>이자수익</t>
    <phoneticPr fontId="92" type="noConversion"/>
  </si>
  <si>
    <t>수수료</t>
    <phoneticPr fontId="92" type="noConversion"/>
  </si>
  <si>
    <t>납입액</t>
    <phoneticPr fontId="92" type="noConversion"/>
  </si>
  <si>
    <t>지급액</t>
    <phoneticPr fontId="92" type="noConversion"/>
  </si>
  <si>
    <t>최초 적립일 : 2013.12.26</t>
    <phoneticPr fontId="92" type="noConversion"/>
  </si>
  <si>
    <t>독정마을 난방유 지급</t>
    <phoneticPr fontId="2" type="noConversion"/>
  </si>
  <si>
    <t>운영경비 사용</t>
    <phoneticPr fontId="2" type="noConversion"/>
  </si>
  <si>
    <t>욱영사업</t>
    <phoneticPr fontId="2" type="noConversion"/>
  </si>
  <si>
    <t>이자수익</t>
    <phoneticPr fontId="2" type="noConversion"/>
  </si>
  <si>
    <t>당기근무원가</t>
  </si>
  <si>
    <t>김천에너지서비스㈜ 제1회 기명식 무보증 사모 전환사채 이자 미지급분</t>
    <phoneticPr fontId="2" type="noConversion"/>
  </si>
  <si>
    <t>(단위 : 원)</t>
    <phoneticPr fontId="2" type="noConversion"/>
  </si>
  <si>
    <t>대상금액</t>
  </si>
  <si>
    <t>금리</t>
  </si>
  <si>
    <t>이자계산</t>
  </si>
  <si>
    <t>상환 이자</t>
  </si>
  <si>
    <t>비  고</t>
  </si>
  <si>
    <t>원천세</t>
    <phoneticPr fontId="2" type="noConversion"/>
  </si>
  <si>
    <t>시작일</t>
  </si>
  <si>
    <t>종료일</t>
  </si>
  <si>
    <t>일수</t>
  </si>
  <si>
    <t>기존</t>
    <phoneticPr fontId="2" type="noConversion"/>
  </si>
  <si>
    <t>수정</t>
    <phoneticPr fontId="2" type="noConversion"/>
  </si>
  <si>
    <t>차이</t>
    <phoneticPr fontId="2" type="noConversion"/>
  </si>
  <si>
    <t>법인세</t>
    <phoneticPr fontId="2" type="noConversion"/>
  </si>
  <si>
    <t>지방소득세</t>
    <phoneticPr fontId="2" type="noConversion"/>
  </si>
  <si>
    <t>제1차 상환</t>
    <phoneticPr fontId="2" type="noConversion"/>
  </si>
  <si>
    <t>일수 오류
(1일 차이, 
양일 산입)</t>
    <phoneticPr fontId="2" type="noConversion"/>
  </si>
  <si>
    <t>제2차 상환</t>
    <phoneticPr fontId="2" type="noConversion"/>
  </si>
  <si>
    <t>제3차 상환</t>
    <phoneticPr fontId="2" type="noConversion"/>
  </si>
  <si>
    <t>합  계</t>
    <phoneticPr fontId="2" type="noConversion"/>
  </si>
  <si>
    <t>전환권대가</t>
    <phoneticPr fontId="2" type="noConversion"/>
  </si>
  <si>
    <t>MMT</t>
    <phoneticPr fontId="2" type="noConversion"/>
  </si>
  <si>
    <t>특정금전신탁 운용보고서</t>
    <phoneticPr fontId="2" type="noConversion"/>
  </si>
  <si>
    <t>예수금(법인세) 명세서</t>
    <phoneticPr fontId="3" type="noConversion"/>
  </si>
  <si>
    <t>2016.03.31</t>
    <phoneticPr fontId="2" type="noConversion"/>
  </si>
  <si>
    <t>업무용트럭(4373)</t>
    <phoneticPr fontId="2" type="noConversion"/>
  </si>
  <si>
    <t>지게차</t>
    <phoneticPr fontId="2" type="noConversion"/>
  </si>
  <si>
    <t>2016.02.17</t>
    <phoneticPr fontId="2" type="noConversion"/>
  </si>
  <si>
    <t>퇴직금 지급(박상현)</t>
  </si>
  <si>
    <t>'16년 1Q 당기근무원가</t>
  </si>
  <si>
    <t>'16년 1Q 이자원가</t>
  </si>
  <si>
    <t>'16년 1Q 보험수리적 손실(재측정요소)</t>
  </si>
  <si>
    <t>'16년 2Q 당기근무원가</t>
  </si>
  <si>
    <t>'16년 2Q 이자원가</t>
  </si>
  <si>
    <t>'16년 2Q 보험수리적 이익(재측정요소-할인율 변경)</t>
  </si>
  <si>
    <t>한국전력거래소</t>
    <phoneticPr fontId="2" type="noConversion"/>
  </si>
  <si>
    <t>16년 전력기반기금</t>
  </si>
  <si>
    <t>예금이자(전력기반기금)</t>
  </si>
  <si>
    <t>기말 예치금</t>
    <phoneticPr fontId="2" type="noConversion"/>
  </si>
  <si>
    <t>재측정효과</t>
    <phoneticPr fontId="92" type="noConversion"/>
  </si>
  <si>
    <t>실발생이자</t>
    <phoneticPr fontId="92" type="noConversion"/>
  </si>
  <si>
    <t xml:space="preserve"> 기대수익</t>
    <phoneticPr fontId="92" type="noConversion"/>
  </si>
  <si>
    <t>사외적립자산</t>
    <phoneticPr fontId="92" type="noConversion"/>
  </si>
  <si>
    <t>법인세비용</t>
    <phoneticPr fontId="92" type="noConversion"/>
  </si>
  <si>
    <t>보험수리적손실</t>
    <phoneticPr fontId="92" type="noConversion"/>
  </si>
  <si>
    <t>기초</t>
    <phoneticPr fontId="92" type="noConversion"/>
  </si>
  <si>
    <t>이익잉여금</t>
    <phoneticPr fontId="92" type="noConversion"/>
  </si>
  <si>
    <t>수수료</t>
    <phoneticPr fontId="92" type="noConversion"/>
  </si>
  <si>
    <t>이자수익</t>
    <phoneticPr fontId="92" type="noConversion"/>
  </si>
  <si>
    <t>지급액</t>
    <phoneticPr fontId="92" type="noConversion"/>
  </si>
  <si>
    <t>납입액</t>
    <phoneticPr fontId="92" type="noConversion"/>
  </si>
  <si>
    <t>기초</t>
    <phoneticPr fontId="92" type="noConversion"/>
  </si>
  <si>
    <t>사외적립자산</t>
    <phoneticPr fontId="92" type="noConversion"/>
  </si>
  <si>
    <t>기대수익</t>
    <phoneticPr fontId="92" type="noConversion"/>
  </si>
  <si>
    <t>이자원가</t>
    <phoneticPr fontId="92" type="noConversion"/>
  </si>
  <si>
    <t>당기근무원가</t>
    <phoneticPr fontId="92" type="noConversion"/>
  </si>
  <si>
    <t>퇴직급여</t>
    <phoneticPr fontId="92" type="noConversion"/>
  </si>
  <si>
    <t>보험수리적손실</t>
    <phoneticPr fontId="92" type="noConversion"/>
  </si>
  <si>
    <t>지급액</t>
    <phoneticPr fontId="92" type="noConversion"/>
  </si>
  <si>
    <t>전입액</t>
    <phoneticPr fontId="92" type="noConversion"/>
  </si>
  <si>
    <t>기초</t>
    <phoneticPr fontId="92" type="noConversion"/>
  </si>
  <si>
    <t>확정급여채무</t>
    <phoneticPr fontId="92" type="noConversion"/>
  </si>
  <si>
    <t>계</t>
    <phoneticPr fontId="92" type="noConversion"/>
  </si>
  <si>
    <t>3월</t>
    <phoneticPr fontId="92" type="noConversion"/>
  </si>
  <si>
    <t>2월</t>
    <phoneticPr fontId="92" type="noConversion"/>
  </si>
  <si>
    <t>1월</t>
    <phoneticPr fontId="92" type="noConversion"/>
  </si>
  <si>
    <t>2016년</t>
    <phoneticPr fontId="92" type="noConversion"/>
  </si>
  <si>
    <t>2015년</t>
    <phoneticPr fontId="92" type="noConversion"/>
  </si>
  <si>
    <t>2014년</t>
    <phoneticPr fontId="92" type="noConversion"/>
  </si>
  <si>
    <t>2013년</t>
    <phoneticPr fontId="92" type="noConversion"/>
  </si>
  <si>
    <t>확정급여채무</t>
    <phoneticPr fontId="3" type="noConversion"/>
  </si>
  <si>
    <t>2016년</t>
    <phoneticPr fontId="92" type="noConversion"/>
  </si>
  <si>
    <t>1월</t>
    <phoneticPr fontId="92" type="noConversion"/>
  </si>
  <si>
    <t>2월</t>
    <phoneticPr fontId="92" type="noConversion"/>
  </si>
  <si>
    <t>3월</t>
    <phoneticPr fontId="92" type="noConversion"/>
  </si>
  <si>
    <t>2016.09.30</t>
    <phoneticPr fontId="2" type="noConversion"/>
  </si>
  <si>
    <t>510-910035-76804</t>
    <phoneticPr fontId="2" type="noConversion"/>
  </si>
  <si>
    <t>전력기반기금 경비</t>
    <phoneticPr fontId="2" type="noConversion"/>
  </si>
  <si>
    <t>'16년 3Q 보험수리적 이익(재측정요소-할인율 변경)</t>
  </si>
  <si>
    <t>'16년 3Q 당기근무원가</t>
  </si>
  <si>
    <t>'16년 3Q 이자원가</t>
  </si>
  <si>
    <t>전환사채 이자에 대한 원천법인세</t>
    <phoneticPr fontId="2" type="noConversion"/>
  </si>
  <si>
    <t>김천세무서</t>
    <phoneticPr fontId="2" type="noConversion"/>
  </si>
  <si>
    <t>전환사채 이자에 대한 원천법인할 주민세</t>
    <phoneticPr fontId="2" type="noConversion"/>
  </si>
  <si>
    <t>김천시청(세정과)</t>
    <phoneticPr fontId="2" type="noConversion"/>
  </si>
  <si>
    <t>16.3분기 예금이자(전력기반기금) 입금</t>
  </si>
  <si>
    <t>전력산업기반기금 경비 입금</t>
  </si>
  <si>
    <t>'15년 전력기반기금 반납</t>
  </si>
  <si>
    <t>510-910008-71852</t>
    <phoneticPr fontId="2" type="noConversion"/>
  </si>
  <si>
    <t>MMF</t>
    <phoneticPr fontId="2" type="noConversion"/>
  </si>
  <si>
    <t>37507214-300</t>
    <phoneticPr fontId="2" type="noConversion"/>
  </si>
  <si>
    <t>2016 정기보수시 사용</t>
  </si>
  <si>
    <t>'16년 4Q 당기근무원가</t>
  </si>
  <si>
    <t>'16년 4Q 이자원가</t>
  </si>
  <si>
    <t>'16년 4Q 보험수리적 이익(재측정요소-할인율 변경)</t>
  </si>
  <si>
    <t>예치금</t>
    <phoneticPr fontId="92" type="noConversion"/>
  </si>
  <si>
    <t>납입액(추가)</t>
    <phoneticPr fontId="92" type="noConversion"/>
  </si>
  <si>
    <t>지급액</t>
    <phoneticPr fontId="92" type="noConversion"/>
  </si>
  <si>
    <t>이자수익</t>
    <phoneticPr fontId="92" type="noConversion"/>
  </si>
  <si>
    <t>수수료</t>
    <phoneticPr fontId="92" type="noConversion"/>
  </si>
  <si>
    <t>납입액</t>
    <phoneticPr fontId="92" type="noConversion"/>
  </si>
  <si>
    <t>지급액</t>
    <phoneticPr fontId="92" type="noConversion"/>
  </si>
  <si>
    <t>수수료</t>
    <phoneticPr fontId="92" type="noConversion"/>
  </si>
  <si>
    <t>예치금</t>
    <phoneticPr fontId="92" type="noConversion"/>
  </si>
  <si>
    <t>이자수익</t>
    <phoneticPr fontId="92" type="noConversion"/>
  </si>
  <si>
    <t>납입액</t>
    <phoneticPr fontId="92" type="noConversion"/>
  </si>
  <si>
    <t>지급액</t>
    <phoneticPr fontId="92" type="noConversion"/>
  </si>
  <si>
    <t>이자수익</t>
    <phoneticPr fontId="92" type="noConversion"/>
  </si>
  <si>
    <t>수수료</t>
    <phoneticPr fontId="92" type="noConversion"/>
  </si>
  <si>
    <t>예치금</t>
    <phoneticPr fontId="92" type="noConversion"/>
  </si>
  <si>
    <t>납입액</t>
    <phoneticPr fontId="92" type="noConversion"/>
  </si>
  <si>
    <t>지급액</t>
    <phoneticPr fontId="92" type="noConversion"/>
  </si>
  <si>
    <t>이자수익</t>
    <phoneticPr fontId="92" type="noConversion"/>
  </si>
  <si>
    <t>수수료</t>
    <phoneticPr fontId="92" type="noConversion"/>
  </si>
  <si>
    <t>예치금</t>
    <phoneticPr fontId="92" type="noConversion"/>
  </si>
  <si>
    <t>농협은행</t>
    <phoneticPr fontId="92" type="noConversion"/>
  </si>
  <si>
    <t>NH투자증권</t>
    <phoneticPr fontId="92" type="noConversion"/>
  </si>
  <si>
    <t>하나금융투자</t>
    <phoneticPr fontId="92" type="noConversion"/>
  </si>
  <si>
    <t>현대해상화재</t>
    <phoneticPr fontId="92" type="noConversion"/>
  </si>
  <si>
    <t>인근 마을 복지물품(난방유)지급</t>
  </si>
  <si>
    <t>전력기반기금 운용계좌 예금이자</t>
  </si>
  <si>
    <t>전력기반기금 운용경비계좌 예금이자</t>
  </si>
  <si>
    <t>장학금 기탁(초,중,고,대학생)</t>
  </si>
  <si>
    <t>전력기반기금 집행</t>
  </si>
  <si>
    <t>비  고</t>
    <phoneticPr fontId="92" type="noConversion"/>
  </si>
  <si>
    <t>대출 이자비용 추정</t>
    <phoneticPr fontId="92" type="noConversion"/>
  </si>
  <si>
    <t>&lt;개별 대출&gt;</t>
    <phoneticPr fontId="92" type="noConversion"/>
  </si>
  <si>
    <t>&lt;한도 대출&gt;</t>
    <phoneticPr fontId="92" type="noConversion"/>
  </si>
  <si>
    <t>&lt;미사용한도수수료&gt;</t>
    <phoneticPr fontId="92" type="noConversion"/>
  </si>
  <si>
    <t>구  분</t>
    <phoneticPr fontId="92" type="noConversion"/>
  </si>
  <si>
    <t>대출기관</t>
    <phoneticPr fontId="92" type="noConversion"/>
  </si>
  <si>
    <t>계</t>
    <phoneticPr fontId="92" type="noConversion"/>
  </si>
  <si>
    <t>기업은행</t>
    <phoneticPr fontId="92" type="noConversion"/>
  </si>
  <si>
    <t>이자지급일</t>
    <phoneticPr fontId="92" type="noConversion"/>
  </si>
  <si>
    <t>일수</t>
    <phoneticPr fontId="92" type="noConversion"/>
  </si>
  <si>
    <t>산업은행</t>
    <phoneticPr fontId="92" type="noConversion"/>
  </si>
  <si>
    <t>기업은행</t>
    <phoneticPr fontId="92" type="noConversion"/>
  </si>
  <si>
    <t>우리은행</t>
    <phoneticPr fontId="92" type="noConversion"/>
  </si>
  <si>
    <t>산업은행</t>
    <phoneticPr fontId="92" type="noConversion"/>
  </si>
  <si>
    <t>기업은행</t>
    <phoneticPr fontId="92" type="noConversion"/>
  </si>
  <si>
    <t>비  고</t>
    <phoneticPr fontId="92" type="noConversion"/>
  </si>
  <si>
    <t>일반대출</t>
    <phoneticPr fontId="92" type="noConversion"/>
  </si>
  <si>
    <t>한도대출</t>
    <phoneticPr fontId="92" type="noConversion"/>
  </si>
  <si>
    <t>산업은행</t>
    <phoneticPr fontId="92" type="noConversion"/>
  </si>
  <si>
    <t>우리은행</t>
    <phoneticPr fontId="92" type="noConversion"/>
  </si>
  <si>
    <t>비  고</t>
    <phoneticPr fontId="92" type="noConversion"/>
  </si>
  <si>
    <t>금  리</t>
    <phoneticPr fontId="92" type="noConversion"/>
  </si>
  <si>
    <t>CD+130bp</t>
    <phoneticPr fontId="92" type="noConversion"/>
  </si>
  <si>
    <t xml:space="preserve"> - 개별대출 : 6개월 KORIBOR + 1.273%
 - 한도대출 : 6개월 KORIBOR + 0.983%</t>
    <phoneticPr fontId="92" type="noConversion"/>
  </si>
  <si>
    <t>CD+140bp</t>
    <phoneticPr fontId="92" type="noConversion"/>
  </si>
  <si>
    <t>미사용한도수수료</t>
    <phoneticPr fontId="92" type="noConversion"/>
  </si>
  <si>
    <t>한도대출 : 0.3%</t>
    <phoneticPr fontId="92" type="noConversion"/>
  </si>
  <si>
    <t>우리은행</t>
    <phoneticPr fontId="92" type="noConversion"/>
  </si>
  <si>
    <t>금리 추정</t>
    <phoneticPr fontId="92" type="noConversion"/>
  </si>
  <si>
    <t>개별대출</t>
    <phoneticPr fontId="92" type="noConversion"/>
  </si>
  <si>
    <t>한도대출</t>
    <phoneticPr fontId="92" type="noConversion"/>
  </si>
  <si>
    <t>3개월마다 CD금리 적용</t>
    <phoneticPr fontId="92" type="noConversion"/>
  </si>
  <si>
    <t xml:space="preserve"> 6개월 KORIBOR :</t>
    <phoneticPr fontId="92" type="noConversion"/>
  </si>
  <si>
    <t>http://www.kfb.or.kr/new_data/koribor.html?m=new&amp;S=GCE</t>
    <phoneticPr fontId="92" type="noConversion"/>
  </si>
  <si>
    <t>(6개월간 적용)</t>
    <phoneticPr fontId="92" type="noConversion"/>
  </si>
  <si>
    <t>CD 금리 91일 :</t>
    <phoneticPr fontId="92" type="noConversion"/>
  </si>
  <si>
    <t>http://ecos.bok.or.kr/</t>
    <phoneticPr fontId="92" type="noConversion"/>
  </si>
  <si>
    <t>4. 금리 → 4.1 시장금리 → 4.1.2 시장금리(월,분기,년) → CD 유통수익률(91일)</t>
    <phoneticPr fontId="92" type="noConversion"/>
  </si>
  <si>
    <t>계</t>
    <phoneticPr fontId="92" type="noConversion"/>
  </si>
  <si>
    <t>미지급법인세 명세서</t>
    <phoneticPr fontId="2" type="noConversion"/>
  </si>
  <si>
    <t>입고</t>
    <phoneticPr fontId="39" type="noConversion"/>
  </si>
  <si>
    <t>사용량</t>
    <phoneticPr fontId="39" type="noConversion"/>
  </si>
  <si>
    <t>거래처</t>
    <phoneticPr fontId="92" type="noConversion"/>
  </si>
  <si>
    <t>탄종</t>
    <phoneticPr fontId="92" type="noConversion"/>
  </si>
  <si>
    <t>수량(톤)</t>
    <phoneticPr fontId="39" type="noConversion"/>
  </si>
  <si>
    <t>금액(원)</t>
    <phoneticPr fontId="39" type="noConversion"/>
  </si>
  <si>
    <t>단가(원/톤)</t>
    <phoneticPr fontId="39" type="noConversion"/>
  </si>
  <si>
    <t>1월</t>
    <phoneticPr fontId="39" type="noConversion"/>
  </si>
  <si>
    <t>4월</t>
    <phoneticPr fontId="92" type="noConversion"/>
  </si>
  <si>
    <t>계</t>
    <phoneticPr fontId="39" type="noConversion"/>
  </si>
  <si>
    <t>2017년</t>
  </si>
  <si>
    <t>1월</t>
  </si>
  <si>
    <t>2월</t>
  </si>
  <si>
    <t>계</t>
    <phoneticPr fontId="92" type="noConversion"/>
  </si>
  <si>
    <t>전력기반기금 이자</t>
  </si>
  <si>
    <t>'17년 2Q 당기근무원가</t>
  </si>
  <si>
    <t>'17년 2Q 이자원가</t>
  </si>
  <si>
    <t>'17년 2Q 보험수리적 이익(재측정요소-할인율 변경)</t>
  </si>
  <si>
    <t>한국전력공사(수전)</t>
  </si>
  <si>
    <t>'17년 3Q 당기근무원가</t>
  </si>
  <si>
    <t>'17년 3Q 이자원가</t>
  </si>
  <si>
    <t>'17년 3Q 보험수리적 이익(재측정요소-할인율 변경)</t>
  </si>
  <si>
    <t>원천 법인이자소득세</t>
    <phoneticPr fontId="2" type="noConversion"/>
  </si>
  <si>
    <t>원천 법인이자소득세</t>
    <phoneticPr fontId="2" type="noConversion"/>
  </si>
  <si>
    <t>상환</t>
    <phoneticPr fontId="92" type="noConversion"/>
  </si>
  <si>
    <t>대출금 잔액</t>
    <phoneticPr fontId="92" type="noConversion"/>
  </si>
  <si>
    <t>상환원금</t>
    <phoneticPr fontId="92" type="noConversion"/>
  </si>
  <si>
    <t>이자</t>
    <phoneticPr fontId="92" type="noConversion"/>
  </si>
  <si>
    <t>구  분</t>
    <phoneticPr fontId="92" type="noConversion"/>
  </si>
  <si>
    <t>일수</t>
    <phoneticPr fontId="92" type="noConversion"/>
  </si>
  <si>
    <t>1,600억원</t>
    <phoneticPr fontId="92" type="noConversion"/>
  </si>
  <si>
    <t>금리</t>
    <phoneticPr fontId="92" type="noConversion"/>
  </si>
  <si>
    <t>'15.1.14</t>
    <phoneticPr fontId="92" type="noConversion"/>
  </si>
  <si>
    <t>전환사채</t>
    <phoneticPr fontId="92" type="noConversion"/>
  </si>
  <si>
    <t>전환권 조정</t>
    <phoneticPr fontId="92" type="noConversion"/>
  </si>
  <si>
    <t>전환권 대가</t>
    <phoneticPr fontId="92" type="noConversion"/>
  </si>
  <si>
    <t>선급비용</t>
    <phoneticPr fontId="92" type="noConversion"/>
  </si>
  <si>
    <t>부채</t>
    <phoneticPr fontId="92" type="noConversion"/>
  </si>
  <si>
    <t>'15.4.13</t>
    <phoneticPr fontId="92" type="noConversion"/>
  </si>
  <si>
    <t>1,600억</t>
    <phoneticPr fontId="92" type="noConversion"/>
  </si>
  <si>
    <t>현금</t>
    <phoneticPr fontId="92" type="noConversion"/>
  </si>
  <si>
    <t>사할차</t>
    <phoneticPr fontId="92" type="noConversion"/>
  </si>
  <si>
    <t>-XXX</t>
    <phoneticPr fontId="92" type="noConversion"/>
  </si>
  <si>
    <t>이자비용</t>
    <phoneticPr fontId="92" type="noConversion"/>
  </si>
  <si>
    <t>자본</t>
    <phoneticPr fontId="92" type="noConversion"/>
  </si>
  <si>
    <t>'15.7.13</t>
    <phoneticPr fontId="92" type="noConversion"/>
  </si>
  <si>
    <t>전환권대가</t>
    <phoneticPr fontId="92" type="noConversion"/>
  </si>
  <si>
    <t>-YYY</t>
    <phoneticPr fontId="92" type="noConversion"/>
  </si>
  <si>
    <t>이자비용</t>
    <phoneticPr fontId="92" type="noConversion"/>
  </si>
  <si>
    <t>전환권 조정</t>
    <phoneticPr fontId="92" type="noConversion"/>
  </si>
  <si>
    <t>2016,17 정기보수시 사용</t>
    <phoneticPr fontId="2" type="noConversion"/>
  </si>
  <si>
    <t>2017 정기보수시 사용</t>
    <phoneticPr fontId="2" type="noConversion"/>
  </si>
  <si>
    <t>'17년 4Q 당기근무원가</t>
  </si>
  <si>
    <t>'17년 4Q 이자원가</t>
  </si>
  <si>
    <t>'17년 4Q 보험수리적 이익(재측정요소-할인율 변경)</t>
  </si>
  <si>
    <t>보험수리적손익 법인세 효과인식</t>
  </si>
  <si>
    <t>…</t>
    <phoneticPr fontId="2" type="noConversion"/>
  </si>
  <si>
    <t>2018년</t>
    <phoneticPr fontId="2" type="noConversion"/>
  </si>
  <si>
    <t>'18년 1Q 당기근무원가</t>
  </si>
  <si>
    <t>'18년 1Q 이자원가</t>
  </si>
  <si>
    <t>'18년 1Q 보험수리적 이익(재측정요소-할인율 변경)</t>
  </si>
  <si>
    <t>'18년 1Q 재측정요소 손실</t>
  </si>
  <si>
    <t>CFBC GAH TUBE</t>
    <phoneticPr fontId="2" type="noConversion"/>
  </si>
  <si>
    <t>ASME SA423M-CC2494-1(S-TEN1) 60.3*2.9T-5050</t>
    <phoneticPr fontId="2" type="noConversion"/>
  </si>
  <si>
    <t>전력기반기금 반납</t>
  </si>
  <si>
    <t>전력기반기금 경비 반납</t>
  </si>
  <si>
    <t>전력기반기금 이자(0317~0613)</t>
  </si>
  <si>
    <t>'18년 2Q 재측정요소 손실</t>
  </si>
  <si>
    <t>'18년 2Q 보험수리적 이익(재측정요소-할인율 변경)</t>
  </si>
  <si>
    <t>'18년 2Q 당기근무원가</t>
  </si>
  <si>
    <t>'18년 2Q 이자원가</t>
  </si>
  <si>
    <t>주식회사 에이치씨기초소재</t>
  </si>
  <si>
    <t>(주)해천물류</t>
  </si>
  <si>
    <t>수원그린환경(주)</t>
  </si>
  <si>
    <t>차입금액</t>
    <phoneticPr fontId="3" type="noConversion"/>
  </si>
  <si>
    <t>차입금 현할차</t>
    <phoneticPr fontId="2" type="noConversion"/>
  </si>
  <si>
    <t>'18년 3Q 당기근무원가</t>
  </si>
  <si>
    <t>'18년 3Q 이자원가</t>
  </si>
  <si>
    <t>'18년 3Q 보험수리적 이익(재측정요소-할인율 변경)</t>
  </si>
  <si>
    <t>'18년 3Q 재측정요소 손실</t>
  </si>
  <si>
    <t>재산종합보험</t>
    <phoneticPr fontId="2" type="noConversion"/>
  </si>
  <si>
    <t>배상책임보험</t>
    <phoneticPr fontId="2" type="noConversion"/>
  </si>
  <si>
    <t>환경책임보험</t>
    <phoneticPr fontId="2" type="noConversion"/>
  </si>
  <si>
    <t>하나카드</t>
    <phoneticPr fontId="2" type="noConversion"/>
  </si>
  <si>
    <t>2016년 10월 13일 조기상환 관련 회계처리</t>
    <phoneticPr fontId="92" type="noConversion"/>
  </si>
  <si>
    <t>1. 2016년 10월 13일 조기상환 전(정기 상환분 포함) 전환사채 가치</t>
    <phoneticPr fontId="92" type="noConversion"/>
  </si>
  <si>
    <t>&lt;사채 만원당 가치&gt;</t>
    <phoneticPr fontId="92" type="noConversion"/>
  </si>
  <si>
    <t>5. 상각 Table 재작성</t>
    <phoneticPr fontId="92" type="noConversion"/>
  </si>
  <si>
    <t>(1) 사채의 가치</t>
    <phoneticPr fontId="92" type="noConversion"/>
  </si>
  <si>
    <t>일반사채의 공정가치</t>
    <phoneticPr fontId="92" type="noConversion"/>
  </si>
  <si>
    <t>(1) 유효이자율 산출</t>
    <phoneticPr fontId="92" type="noConversion"/>
  </si>
  <si>
    <t>사채의 가치</t>
    <phoneticPr fontId="92" type="noConversion"/>
  </si>
  <si>
    <t>전환권</t>
    <phoneticPr fontId="92" type="noConversion"/>
  </si>
  <si>
    <t>구  분</t>
    <phoneticPr fontId="92" type="noConversion"/>
  </si>
  <si>
    <t>할인발행차금</t>
    <phoneticPr fontId="92" type="noConversion"/>
  </si>
  <si>
    <t>전환사채의 가치</t>
    <phoneticPr fontId="92" type="noConversion"/>
  </si>
  <si>
    <t>회차</t>
    <phoneticPr fontId="92" type="noConversion"/>
  </si>
  <si>
    <t>상환일</t>
    <phoneticPr fontId="92" type="noConversion"/>
  </si>
  <si>
    <t>대출금 잔액</t>
    <phoneticPr fontId="92" type="noConversion"/>
  </si>
  <si>
    <t>상환원금</t>
    <phoneticPr fontId="92" type="noConversion"/>
  </si>
  <si>
    <t>금리</t>
    <phoneticPr fontId="92" type="noConversion"/>
  </si>
  <si>
    <t>이자</t>
    <phoneticPr fontId="92" type="noConversion"/>
  </si>
  <si>
    <t>전환권조정</t>
    <phoneticPr fontId="92" type="noConversion"/>
  </si>
  <si>
    <t>사채 권면액</t>
    <phoneticPr fontId="92" type="noConversion"/>
  </si>
  <si>
    <t>사채의 액면금액</t>
    <phoneticPr fontId="92" type="noConversion"/>
  </si>
  <si>
    <t>만원당 갯수</t>
    <phoneticPr fontId="92" type="noConversion"/>
  </si>
  <si>
    <t>상환액</t>
    <phoneticPr fontId="92" type="noConversion"/>
  </si>
  <si>
    <t>(2) 전환권의 가치</t>
    <phoneticPr fontId="92" type="noConversion"/>
  </si>
  <si>
    <t>만원당 갯수</t>
    <phoneticPr fontId="92" type="noConversion"/>
  </si>
  <si>
    <t>(3) 전환사채의 가치</t>
    <phoneticPr fontId="92" type="noConversion"/>
  </si>
  <si>
    <t>2. 2016년 10월 13일 조기상환분</t>
    <phoneticPr fontId="92" type="noConversion"/>
  </si>
  <si>
    <t>(1) 사채의 가치</t>
    <phoneticPr fontId="92" type="noConversion"/>
  </si>
  <si>
    <t>사채의 가치</t>
    <phoneticPr fontId="92" type="noConversion"/>
  </si>
  <si>
    <t>할인발행차금</t>
    <phoneticPr fontId="92" type="noConversion"/>
  </si>
  <si>
    <t>전환권조정</t>
    <phoneticPr fontId="92" type="noConversion"/>
  </si>
  <si>
    <t>사채의 액면금액</t>
    <phoneticPr fontId="92" type="noConversion"/>
  </si>
  <si>
    <t>3. 2016년 10월 13일 조기상환 후 전환사채 가치</t>
    <phoneticPr fontId="92" type="noConversion"/>
  </si>
  <si>
    <t>(1) 사채의 가치</t>
    <phoneticPr fontId="92" type="noConversion"/>
  </si>
  <si>
    <t>사채의 가치</t>
    <phoneticPr fontId="92" type="noConversion"/>
  </si>
  <si>
    <t>할인발행차금</t>
    <phoneticPr fontId="92" type="noConversion"/>
  </si>
  <si>
    <t>전환권조정</t>
    <phoneticPr fontId="92" type="noConversion"/>
  </si>
  <si>
    <t>사채의 액면금액</t>
    <phoneticPr fontId="92" type="noConversion"/>
  </si>
  <si>
    <t>(2) 전환권의 가치</t>
    <phoneticPr fontId="92" type="noConversion"/>
  </si>
  <si>
    <t>4. 조기상환 회계처리</t>
    <phoneticPr fontId="92" type="noConversion"/>
  </si>
  <si>
    <t>(1) 부채</t>
    <phoneticPr fontId="92" type="noConversion"/>
  </si>
  <si>
    <t>(2) 상각 Table</t>
    <phoneticPr fontId="92" type="noConversion"/>
  </si>
  <si>
    <t>차변</t>
    <phoneticPr fontId="92" type="noConversion"/>
  </si>
  <si>
    <t>대변</t>
    <phoneticPr fontId="92" type="noConversion"/>
  </si>
  <si>
    <t>사채</t>
    <phoneticPr fontId="92" type="noConversion"/>
  </si>
  <si>
    <t>현금</t>
    <phoneticPr fontId="92" type="noConversion"/>
  </si>
  <si>
    <t>대출금잔액</t>
    <phoneticPr fontId="92" type="noConversion"/>
  </si>
  <si>
    <t>상환액</t>
    <phoneticPr fontId="92" type="noConversion"/>
  </si>
  <si>
    <t>유효이자</t>
    <phoneticPr fontId="92" type="noConversion"/>
  </si>
  <si>
    <t>액면이자</t>
    <phoneticPr fontId="92" type="noConversion"/>
  </si>
  <si>
    <t>상각액</t>
    <phoneticPr fontId="92" type="noConversion"/>
  </si>
  <si>
    <t>장부금액</t>
    <phoneticPr fontId="92" type="noConversion"/>
  </si>
  <si>
    <t>할인발행차금</t>
    <phoneticPr fontId="92" type="noConversion"/>
  </si>
  <si>
    <t>사채상환손실</t>
    <phoneticPr fontId="92" type="noConversion"/>
  </si>
  <si>
    <t>(2) 자본</t>
    <phoneticPr fontId="92" type="noConversion"/>
  </si>
  <si>
    <t>차변</t>
    <phoneticPr fontId="92" type="noConversion"/>
  </si>
  <si>
    <t>대변</t>
    <phoneticPr fontId="92" type="noConversion"/>
  </si>
  <si>
    <t>이자비용</t>
    <phoneticPr fontId="92" type="noConversion"/>
  </si>
  <si>
    <t>전환권</t>
    <phoneticPr fontId="92" type="noConversion"/>
  </si>
  <si>
    <t>이자비용</t>
  </si>
  <si>
    <t>현금</t>
  </si>
  <si>
    <t>현할차</t>
    <phoneticPr fontId="92" type="noConversion"/>
  </si>
  <si>
    <t>산업은행</t>
    <phoneticPr fontId="2" type="noConversion"/>
  </si>
  <si>
    <t>선급일수</t>
    <phoneticPr fontId="2" type="noConversion"/>
  </si>
  <si>
    <t>선급금</t>
    <phoneticPr fontId="2" type="noConversion"/>
  </si>
  <si>
    <t>'18년 4Q 당기근무원가</t>
  </si>
  <si>
    <t>'18년 4Q 이자원가</t>
  </si>
  <si>
    <t>'18년 4Q 보험수리적 이익(재측정요소-할인율 변경)</t>
  </si>
  <si>
    <t>2019년</t>
    <phoneticPr fontId="92" type="noConversion"/>
  </si>
  <si>
    <t>1월</t>
    <phoneticPr fontId="92" type="noConversion"/>
  </si>
  <si>
    <t>2월</t>
    <phoneticPr fontId="92" type="noConversion"/>
  </si>
  <si>
    <t>'18년 4Q 재측정요소 손실</t>
  </si>
  <si>
    <t>'18년 결산 조정 분개</t>
  </si>
  <si>
    <t>'19년 1Q 재측정요소 손실</t>
  </si>
  <si>
    <t>'19년 1Q 보험수리적 이익(재측정요소-할인율 변경)</t>
  </si>
  <si>
    <t>전력기반기금 이자 반납</t>
  </si>
  <si>
    <t>'19년 1Q 당기근무원가</t>
  </si>
  <si>
    <t>'19년 1Q 이자원가</t>
  </si>
  <si>
    <t>배출권</t>
    <phoneticPr fontId="39" type="noConversion"/>
  </si>
  <si>
    <t>2018 공사시 사용</t>
    <phoneticPr fontId="2" type="noConversion"/>
  </si>
  <si>
    <t>천단위 이하 절사</t>
  </si>
  <si>
    <t>'19년 2Q 당기근무원가</t>
  </si>
  <si>
    <t>'19년 2Q 이자원가</t>
  </si>
  <si>
    <t>'19년 2Q 보험수리적 이익(재측정요소-할인율 변경)</t>
  </si>
  <si>
    <t>퇴직금 지급(김성한)</t>
  </si>
  <si>
    <t>'19년 2Q 재측정요소 손실</t>
  </si>
  <si>
    <t>열병합발전설비 개선 타당성 용역비(선수금)</t>
  </si>
  <si>
    <t>주식회사 창신이앤이</t>
  </si>
  <si>
    <t>'19년 3Q 당기근무원가</t>
  </si>
  <si>
    <t>'19년 3Q 이자원가</t>
  </si>
  <si>
    <t>'19년 3Q 보험수리적 이익(재측정요소-할인율 변경)</t>
  </si>
  <si>
    <t>'19년 3Q 재측정요소 손실</t>
  </si>
  <si>
    <t xml:space="preserve"> SIEMENS Turbine Spare Parts </t>
  </si>
  <si>
    <t xml:space="preserve"> DIAPHRAGM 외 132종(첨부 참조) </t>
  </si>
  <si>
    <t>2019 정기보수시 사용</t>
    <phoneticPr fontId="2" type="noConversion"/>
  </si>
  <si>
    <t>19.11 사용</t>
    <phoneticPr fontId="2" type="noConversion"/>
  </si>
  <si>
    <t>16, 19 정기보수시 사용</t>
    <phoneticPr fontId="2" type="noConversion"/>
  </si>
  <si>
    <t>P/O List NO.(GCES-19-771)</t>
    <phoneticPr fontId="2" type="noConversion"/>
  </si>
  <si>
    <t>Purchase Order List</t>
    <phoneticPr fontId="2" type="noConversion"/>
  </si>
  <si>
    <t>[P/O NO.(GCES-19-771))</t>
    <phoneticPr fontId="2" type="noConversion"/>
  </si>
  <si>
    <t>Apr. 24, 2019</t>
    <phoneticPr fontId="2" type="noConversion"/>
  </si>
  <si>
    <t>Quotation NO.</t>
    <phoneticPr fontId="2" type="noConversion"/>
  </si>
  <si>
    <t>Item</t>
    <phoneticPr fontId="2" type="noConversion"/>
  </si>
  <si>
    <t>DESCRIPTION</t>
    <phoneticPr fontId="2" type="noConversion"/>
  </si>
  <si>
    <t>Qty</t>
    <phoneticPr fontId="2" type="noConversion"/>
  </si>
  <si>
    <t>Unit Price
(EUR)</t>
    <phoneticPr fontId="2" type="noConversion"/>
  </si>
  <si>
    <t>Total Price
(EUR)</t>
    <phoneticPr fontId="2" type="noConversion"/>
  </si>
  <si>
    <t>비율</t>
    <phoneticPr fontId="2" type="noConversion"/>
  </si>
  <si>
    <t>자재비
(원)</t>
    <phoneticPr fontId="2" type="noConversion"/>
  </si>
  <si>
    <t>통관비/관세
(원)</t>
    <phoneticPr fontId="2" type="noConversion"/>
  </si>
  <si>
    <t>Total Price
(원)</t>
    <phoneticPr fontId="2" type="noConversion"/>
  </si>
  <si>
    <t>Remark</t>
    <phoneticPr fontId="2" type="noConversion"/>
  </si>
  <si>
    <t>20104366 Rev.1</t>
    <phoneticPr fontId="2" type="noConversion"/>
  </si>
  <si>
    <t>10</t>
  </si>
  <si>
    <t>DIAPHRAGM</t>
    <phoneticPr fontId="2" type="noConversion"/>
  </si>
  <si>
    <t>20</t>
  </si>
  <si>
    <t>COMPRESSION SPRING</t>
    <phoneticPr fontId="2" type="noConversion"/>
  </si>
  <si>
    <t>30</t>
  </si>
  <si>
    <t>Gasket metal sheeted</t>
    <phoneticPr fontId="2" type="noConversion"/>
  </si>
  <si>
    <t>지멘스</t>
    <phoneticPr fontId="2" type="noConversion"/>
  </si>
  <si>
    <t>40</t>
  </si>
  <si>
    <t>BUSHING</t>
    <phoneticPr fontId="2" type="noConversion"/>
  </si>
  <si>
    <t>통관수수료/관세</t>
    <phoneticPr fontId="2" type="noConversion"/>
  </si>
  <si>
    <t>50</t>
  </si>
  <si>
    <t>SNAP RING</t>
    <phoneticPr fontId="2" type="noConversion"/>
  </si>
  <si>
    <t>60</t>
  </si>
  <si>
    <t>DISK</t>
    <phoneticPr fontId="2" type="noConversion"/>
  </si>
  <si>
    <t>70</t>
  </si>
  <si>
    <t>GUIDE RING</t>
    <phoneticPr fontId="2" type="noConversion"/>
  </si>
  <si>
    <t>80</t>
  </si>
  <si>
    <t>SLIDE RING</t>
    <phoneticPr fontId="2" type="noConversion"/>
  </si>
  <si>
    <t>90</t>
  </si>
  <si>
    <t>100</t>
  </si>
  <si>
    <t>ROD SEAL TURCON STEPSEAL</t>
    <phoneticPr fontId="2" type="noConversion"/>
  </si>
  <si>
    <t>110</t>
  </si>
  <si>
    <t>WIPER</t>
    <phoneticPr fontId="2" type="noConversion"/>
  </si>
  <si>
    <t>120</t>
  </si>
  <si>
    <t>130</t>
  </si>
  <si>
    <t>140</t>
  </si>
  <si>
    <t>SLIDE RING</t>
  </si>
  <si>
    <t>150</t>
  </si>
  <si>
    <t>O-RING</t>
  </si>
  <si>
    <t>160</t>
  </si>
  <si>
    <t>20104366 Rev.1</t>
    <phoneticPr fontId="2" type="noConversion"/>
  </si>
  <si>
    <t>170</t>
  </si>
  <si>
    <t>180</t>
  </si>
  <si>
    <t>190</t>
  </si>
  <si>
    <t>SEAL RING</t>
  </si>
  <si>
    <t>210</t>
  </si>
  <si>
    <t>220</t>
  </si>
  <si>
    <t>230</t>
  </si>
  <si>
    <t>GUIDE RING</t>
    <phoneticPr fontId="2" type="noConversion"/>
  </si>
  <si>
    <t>240</t>
  </si>
  <si>
    <t>SLIDE RING</t>
    <phoneticPr fontId="2" type="noConversion"/>
  </si>
  <si>
    <t>250</t>
  </si>
  <si>
    <t>260</t>
  </si>
  <si>
    <t>270</t>
  </si>
  <si>
    <t>280</t>
  </si>
  <si>
    <t>290</t>
  </si>
  <si>
    <t>300</t>
  </si>
  <si>
    <t>PISTON GASKET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</si>
  <si>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</si>
  <si>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</si>
  <si>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</si>
  <si>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</si>
  <si>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</si>
  <si>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</si>
  <si>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</si>
  <si>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</si>
  <si>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</si>
  <si>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O-RING</t>
    <phoneticPr fontId="2" type="noConversion"/>
  </si>
  <si>
    <t>410</t>
  </si>
  <si>
    <t>420</t>
  </si>
  <si>
    <t>FELT GASKET</t>
    <phoneticPr fontId="2" type="noConversion"/>
  </si>
  <si>
    <t>430</t>
  </si>
  <si>
    <t>NUT</t>
  </si>
  <si>
    <t>450</t>
  </si>
  <si>
    <t>CUP SPRING</t>
    <phoneticPr fontId="2" type="noConversion"/>
  </si>
  <si>
    <t>460</t>
  </si>
  <si>
    <t>470</t>
  </si>
  <si>
    <t>480</t>
  </si>
  <si>
    <t>490</t>
  </si>
  <si>
    <t>500</t>
  </si>
  <si>
    <t>510</t>
  </si>
  <si>
    <t>520</t>
  </si>
  <si>
    <t>O-RING</t>
    <phoneticPr fontId="2" type="noConversion"/>
  </si>
  <si>
    <t>530</t>
  </si>
  <si>
    <t>540</t>
  </si>
  <si>
    <t>550</t>
  </si>
  <si>
    <t>560</t>
  </si>
  <si>
    <t>570</t>
  </si>
  <si>
    <t>FELT GASKET</t>
  </si>
  <si>
    <t>620</t>
  </si>
  <si>
    <t>HEXAGON FITTING SCREW</t>
    <phoneticPr fontId="2" type="noConversion"/>
  </si>
  <si>
    <t>630</t>
  </si>
  <si>
    <t>WASHER</t>
    <phoneticPr fontId="2" type="noConversion"/>
  </si>
  <si>
    <t>650</t>
  </si>
  <si>
    <t>SCREW WITH PIN</t>
    <phoneticPr fontId="2" type="noConversion"/>
  </si>
  <si>
    <t>660</t>
  </si>
  <si>
    <t>GRUB SCREW</t>
    <phoneticPr fontId="2" type="noConversion"/>
  </si>
  <si>
    <t>670</t>
  </si>
  <si>
    <t>parallel pin</t>
    <phoneticPr fontId="2" type="noConversion"/>
  </si>
  <si>
    <t>680</t>
  </si>
  <si>
    <t>SOCKET SCREW</t>
    <phoneticPr fontId="2" type="noConversion"/>
  </si>
  <si>
    <t>690</t>
  </si>
  <si>
    <t>RING SCREW</t>
    <phoneticPr fontId="2" type="noConversion"/>
  </si>
  <si>
    <t>720</t>
  </si>
  <si>
    <t>LOCK PLATE</t>
    <phoneticPr fontId="2" type="noConversion"/>
  </si>
  <si>
    <t>730</t>
  </si>
  <si>
    <t>spindle</t>
    <phoneticPr fontId="2" type="noConversion"/>
  </si>
  <si>
    <t>750</t>
  </si>
  <si>
    <t>roller</t>
    <phoneticPr fontId="2" type="noConversion"/>
  </si>
  <si>
    <t>760</t>
  </si>
  <si>
    <t>THREAD PLUG</t>
    <phoneticPr fontId="2" type="noConversion"/>
  </si>
  <si>
    <t>780</t>
  </si>
  <si>
    <t>BUSH</t>
    <phoneticPr fontId="2" type="noConversion"/>
  </si>
  <si>
    <t>810</t>
  </si>
  <si>
    <t>820</t>
  </si>
  <si>
    <t>HEXAGON SCREW</t>
    <phoneticPr fontId="2" type="noConversion"/>
  </si>
  <si>
    <t>830</t>
  </si>
  <si>
    <t>PLAIN NOTCH PIN</t>
    <phoneticPr fontId="2" type="noConversion"/>
  </si>
  <si>
    <t>840</t>
  </si>
  <si>
    <t>STUD BOLT</t>
    <phoneticPr fontId="2" type="noConversion"/>
  </si>
  <si>
    <t>850</t>
  </si>
  <si>
    <t>BOX NUT</t>
    <phoneticPr fontId="2" type="noConversion"/>
  </si>
  <si>
    <t>870</t>
  </si>
  <si>
    <t>TAB WASHER</t>
    <phoneticPr fontId="2" type="noConversion"/>
  </si>
  <si>
    <t>880</t>
  </si>
  <si>
    <t>900</t>
  </si>
  <si>
    <t>disk</t>
    <phoneticPr fontId="2" type="noConversion"/>
  </si>
  <si>
    <t>910</t>
  </si>
  <si>
    <t>920</t>
  </si>
  <si>
    <t>940</t>
  </si>
  <si>
    <t>950</t>
  </si>
  <si>
    <t>970</t>
  </si>
  <si>
    <t>PIN</t>
  </si>
  <si>
    <t>980</t>
  </si>
  <si>
    <t>reducer</t>
    <phoneticPr fontId="2" type="noConversion"/>
  </si>
  <si>
    <t>990</t>
  </si>
  <si>
    <t>seal ring</t>
    <phoneticPr fontId="2" type="noConversion"/>
  </si>
  <si>
    <t>HEXAGON HEAD COLLAR SCREW</t>
  </si>
  <si>
    <t>LOCK PLATE</t>
  </si>
  <si>
    <t>HEXAGON FITS BOLT WITH LONG THREAD</t>
  </si>
  <si>
    <t>TAB WASHER WITH LONG TAB</t>
  </si>
  <si>
    <t>ROLLER CAGE</t>
  </si>
  <si>
    <t>NEEDLE ROLLER</t>
  </si>
  <si>
    <t>LEAF SPRING</t>
  </si>
  <si>
    <t>PIN ISO 2338</t>
  </si>
  <si>
    <t>VALVE STEM</t>
  </si>
  <si>
    <t>VALVE CONE</t>
  </si>
  <si>
    <t>SLEEVE</t>
  </si>
  <si>
    <t>DIFUSOR</t>
  </si>
  <si>
    <t>HEXAGON SCREW</t>
  </si>
  <si>
    <t>SOCKET SCREW</t>
  </si>
  <si>
    <t>HEXAGON NUT</t>
  </si>
  <si>
    <t>WASHER</t>
  </si>
  <si>
    <t>SEALING RING</t>
  </si>
  <si>
    <t>PLUG</t>
  </si>
  <si>
    <t>HEXAGON HEAD SCREW</t>
  </si>
  <si>
    <t>STUD</t>
  </si>
  <si>
    <t>LOCKING PLATE</t>
  </si>
  <si>
    <t>440</t>
  </si>
  <si>
    <t>VALVE SPINDLE</t>
  </si>
  <si>
    <t>DIFFUSER</t>
  </si>
  <si>
    <t>580</t>
  </si>
  <si>
    <t>590</t>
  </si>
  <si>
    <t>cone of cv</t>
  </si>
  <si>
    <t>591</t>
  </si>
  <si>
    <t>ARMOURED CARBON RING</t>
  </si>
  <si>
    <t>592</t>
  </si>
  <si>
    <t>593</t>
  </si>
  <si>
    <t>PACKING RING</t>
  </si>
  <si>
    <t>594</t>
  </si>
  <si>
    <t>Nut NF</t>
  </si>
  <si>
    <t>640</t>
  </si>
  <si>
    <t>SPINDLE</t>
  </si>
  <si>
    <t>helical compression spring</t>
  </si>
  <si>
    <t>STUD BOLT</t>
  </si>
  <si>
    <t>740</t>
  </si>
  <si>
    <t>GROUNDING</t>
  </si>
  <si>
    <t>LABYRINTH SHEET METAL</t>
    <phoneticPr fontId="2" type="noConversion"/>
  </si>
  <si>
    <t>LABYRINTH SHEET METAL</t>
    <phoneticPr fontId="2" type="noConversion"/>
  </si>
  <si>
    <t>LABYRINTH INSERTS</t>
    <phoneticPr fontId="2" type="noConversion"/>
  </si>
  <si>
    <t>Total Price</t>
    <phoneticPr fontId="2" type="noConversion"/>
  </si>
  <si>
    <t>'19년 4Q 재측정요소 손실</t>
  </si>
  <si>
    <t>'19년 4Q 보험수리적 이익(재측정요소-할인율 변경)</t>
  </si>
  <si>
    <t>(주)에스에이물류</t>
  </si>
  <si>
    <t>'19년 4Q 당기근무원가</t>
  </si>
  <si>
    <t>'19년 4Q 이자원가</t>
  </si>
  <si>
    <t>구미시상하수도사업소</t>
  </si>
  <si>
    <t>배출부채</t>
    <phoneticPr fontId="2" type="noConversion"/>
  </si>
  <si>
    <t>임차보증금</t>
    <phoneticPr fontId="2" type="noConversion"/>
  </si>
  <si>
    <t>임차보증금할인차금</t>
    <phoneticPr fontId="2" type="noConversion"/>
  </si>
  <si>
    <t>단기리스부채</t>
    <phoneticPr fontId="2" type="noConversion"/>
  </si>
  <si>
    <t>사용권자산</t>
    <phoneticPr fontId="2" type="noConversion"/>
  </si>
  <si>
    <t>(감가상각누계액)</t>
    <phoneticPr fontId="2" type="noConversion"/>
  </si>
  <si>
    <t>미지급법인세</t>
    <phoneticPr fontId="2" type="noConversion"/>
  </si>
  <si>
    <t>일   자</t>
    <phoneticPr fontId="2" type="noConversion"/>
  </si>
  <si>
    <t>적   요</t>
    <phoneticPr fontId="2" type="noConversion"/>
  </si>
  <si>
    <t>일   자</t>
    <phoneticPr fontId="2" type="noConversion"/>
  </si>
  <si>
    <t>선급비용-이자 명세서</t>
    <phoneticPr fontId="3" type="noConversion"/>
  </si>
  <si>
    <t>'20년 1Q 재측정요소 손실</t>
  </si>
  <si>
    <t>'20년 1Q 보험수리적 이익(재측정요소-할인율 변경)</t>
  </si>
  <si>
    <t>2020년</t>
    <phoneticPr fontId="92" type="noConversion"/>
  </si>
  <si>
    <t>계</t>
    <phoneticPr fontId="92" type="noConversion"/>
  </si>
  <si>
    <t>'20년 1Q 당기근무원가</t>
  </si>
  <si>
    <t>'20년 1Q 이자원가</t>
  </si>
  <si>
    <t>원천 기타소득세</t>
    <phoneticPr fontId="2" type="noConversion"/>
  </si>
  <si>
    <t>원천 기타소득세할 주민세</t>
    <phoneticPr fontId="2" type="noConversion"/>
  </si>
  <si>
    <t>원천 근로소득세할 주민세</t>
    <phoneticPr fontId="2" type="noConversion"/>
  </si>
  <si>
    <t>원천 근로소득세</t>
    <phoneticPr fontId="2" type="noConversion"/>
  </si>
  <si>
    <t>'20년 2Q 재측정요소 손실</t>
  </si>
  <si>
    <t>'20년 2Q 보험수리적 이익(재측정요소-할인율 변경)</t>
  </si>
  <si>
    <t>'20년 2Q 당기근무원가</t>
  </si>
  <si>
    <t>'20년 2Q 이자원가</t>
  </si>
  <si>
    <t>김천에너지서비스㈜</t>
  </si>
  <si>
    <t>지급/해지 예상 조회</t>
    <phoneticPr fontId="2" type="noConversion"/>
  </si>
  <si>
    <t>'20년 3Q 당기근무원가</t>
  </si>
  <si>
    <t>'20년 3Q 이자원가</t>
  </si>
  <si>
    <t>20년 3Q 보험수리적 이익(재측정요소-할인율 변경)</t>
    <phoneticPr fontId="2" type="noConversion"/>
  </si>
  <si>
    <t>'20년 3Q 재측정요소 손실</t>
  </si>
  <si>
    <t>'20년 3Q 보험수리적 이익(재측정요소-할인율 변경)</t>
  </si>
  <si>
    <t>(주)더존비즈온(월정료)</t>
  </si>
  <si>
    <t>SIEMENS Turbine Servo Motor Spare Parts 외</t>
  </si>
  <si>
    <t>HEXAGON HEAD SCREW 외 41종(첨부 참조)</t>
  </si>
  <si>
    <t>2020 중간점검시 사용</t>
  </si>
  <si>
    <t>수용가 RMS 설비 증기유량계</t>
  </si>
  <si>
    <t>코플#1,2 교체</t>
    <phoneticPr fontId="2" type="noConversion"/>
  </si>
  <si>
    <t>Oval, VXF1080-N61G-1814C(일체형)</t>
  </si>
  <si>
    <t>Oval, VXF1100-N61G-1814C(일체형)</t>
  </si>
  <si>
    <t>Oval, VXF1250-C61G-1814C(일체형)</t>
  </si>
  <si>
    <t>국가검교정(Oval, VXF1080-N61G-1814C</t>
  </si>
  <si>
    <t>국가검교정(Oval, VXF1100-N61G-1814C)</t>
  </si>
  <si>
    <t>국가검교정(Oval, VXF1250-C61G-1814C)</t>
  </si>
  <si>
    <t>Slip Joint</t>
  </si>
  <si>
    <t>100A, 100TR, NON-TOOL, 10kg/cm2, Double, 
용접형, 강관</t>
  </si>
  <si>
    <t>5월</t>
    <phoneticPr fontId="92" type="noConversion"/>
  </si>
  <si>
    <t>미처분이익잉여금</t>
    <phoneticPr fontId="2" type="noConversion"/>
  </si>
  <si>
    <t>'20년 4Q 재측정요소 손실</t>
  </si>
  <si>
    <t>'20년 4Q 보험수리적 이익(재측정요소-할인율 변경)</t>
  </si>
  <si>
    <t>'21년 1Q 재측정요소 손실</t>
  </si>
  <si>
    <t>'21년 1Q 보험수리적 이익(재측정요소-할인율 변경)</t>
  </si>
  <si>
    <t>6월</t>
    <phoneticPr fontId="92" type="noConversion"/>
  </si>
  <si>
    <t>7월</t>
    <phoneticPr fontId="92" type="noConversion"/>
  </si>
  <si>
    <t>'21년 3Q 재측정요소 손실</t>
  </si>
  <si>
    <t>'21년 3Q 보험수리적 이익(재측정요소-할인율 변경)</t>
  </si>
  <si>
    <t>'21년 2Q 재측정요소 손실</t>
    <phoneticPr fontId="2" type="noConversion"/>
  </si>
  <si>
    <t>'21년 2Q 보험수리적 이익(재측정요소-할인율 변경)</t>
    <phoneticPr fontId="2" type="noConversion"/>
  </si>
  <si>
    <t>장기선수수익 명세서</t>
    <phoneticPr fontId="3" type="noConversion"/>
  </si>
  <si>
    <t>업무용 장기 차량 렌탈료</t>
    <phoneticPr fontId="2" type="noConversion"/>
  </si>
  <si>
    <t>2021년</t>
    <phoneticPr fontId="92" type="noConversion"/>
  </si>
  <si>
    <t>1월</t>
    <phoneticPr fontId="92" type="noConversion"/>
  </si>
  <si>
    <t>2월</t>
    <phoneticPr fontId="92" type="noConversion"/>
  </si>
  <si>
    <t>3월</t>
    <phoneticPr fontId="92" type="noConversion"/>
  </si>
  <si>
    <t>계</t>
    <phoneticPr fontId="92" type="noConversion"/>
  </si>
  <si>
    <t>'20년 4Q 당기근무원가</t>
  </si>
  <si>
    <t>'20년 4Q 이자원가</t>
  </si>
  <si>
    <t>퇴직금 지급(김현주)</t>
  </si>
  <si>
    <t>'21년 1Q 당기근무원가</t>
  </si>
  <si>
    <t>'21년 1Q 이자원가</t>
  </si>
  <si>
    <t>'21년 1Q 보험수리적 이익(재측정요소-할인율 변경)</t>
    <phoneticPr fontId="2" type="noConversion"/>
  </si>
  <si>
    <t>퇴직금 지급(강덕주)</t>
  </si>
  <si>
    <t>'21년 3Q 당기근무원가</t>
  </si>
  <si>
    <t>'21년 3Q 이자원가</t>
  </si>
  <si>
    <t>DCS DPU Module</t>
    <phoneticPr fontId="2" type="noConversion"/>
  </si>
  <si>
    <t>National Geode, 128 Mbyte Ram</t>
    <phoneticPr fontId="2" type="noConversion"/>
  </si>
  <si>
    <t>CFBC BLR Wall Tube</t>
  </si>
  <si>
    <t>SML's Tube Min. A210-C 63.5x6.35Tx7000</t>
    <phoneticPr fontId="2" type="noConversion"/>
  </si>
  <si>
    <t>VMS 예비자재</t>
    <phoneticPr fontId="2" type="noConversion"/>
  </si>
  <si>
    <t xml:space="preserve"> 주배관(발전소 앞), 250A, Single-100TR 외(첨부 참조)</t>
  </si>
  <si>
    <t>BFWP Motor Sleeve Bearing</t>
  </si>
  <si>
    <t>HYOSUNG, 2600kW, 2P, 6.6kV, 60Hz</t>
  </si>
  <si>
    <t>PROXIMITY PROBE HOUSING 외</t>
    <phoneticPr fontId="2" type="noConversion"/>
  </si>
  <si>
    <t>2021 중간점검시 일부 사용</t>
    <phoneticPr fontId="2" type="noConversion"/>
  </si>
  <si>
    <t>21년 정기보수시 사용</t>
    <phoneticPr fontId="2" type="noConversion"/>
  </si>
  <si>
    <t>21년 정기보수시 일부 사용</t>
    <phoneticPr fontId="2" type="noConversion"/>
  </si>
  <si>
    <t>(주)보경INC</t>
  </si>
  <si>
    <t>(주)세양종합물류</t>
  </si>
  <si>
    <t>(주)진영케미칼</t>
  </si>
  <si>
    <t>(주)청주석회</t>
  </si>
  <si>
    <t>(주)파투아</t>
  </si>
  <si>
    <t>(주)한국테크원김천지점</t>
  </si>
  <si>
    <t>김천공단주유소</t>
  </si>
  <si>
    <t>김천그린환경주식회사</t>
  </si>
  <si>
    <t>김천시청(세정과)</t>
  </si>
  <si>
    <t>김천시청(수도-공업)</t>
  </si>
  <si>
    <t>나진상사</t>
  </si>
  <si>
    <t>남해종합환경주식회사</t>
  </si>
  <si>
    <t>동성화물자동차(주)</t>
  </si>
  <si>
    <t>아세아시멘트(주)제천</t>
  </si>
  <si>
    <t>정수기나라</t>
  </si>
  <si>
    <t>주식회사 이에스테크</t>
  </si>
  <si>
    <t>주식회사 한파워</t>
  </si>
  <si>
    <t>주식회사대선</t>
  </si>
  <si>
    <t>토마토푸드</t>
  </si>
  <si>
    <t>'22년 1Q 보험수리적 이익(재측정요소-할인율 변경)</t>
  </si>
  <si>
    <t>'22년 1Q 재측정요소 손실</t>
  </si>
  <si>
    <t xml:space="preserve"> </t>
    <phoneticPr fontId="2" type="noConversion"/>
  </si>
  <si>
    <t>'22년 2Q 재측정요소 손실</t>
  </si>
  <si>
    <t>'22년 2Q 보험수리적 이익(재측정요소-할인율 변경)</t>
  </si>
  <si>
    <t>2022년</t>
    <phoneticPr fontId="92" type="noConversion"/>
  </si>
  <si>
    <t>2월</t>
    <phoneticPr fontId="92" type="noConversion"/>
  </si>
  <si>
    <t>계</t>
    <phoneticPr fontId="92" type="noConversion"/>
  </si>
  <si>
    <t>'22년 1Q 당기근무원가</t>
  </si>
  <si>
    <t>'22년 1Q 이자원가</t>
  </si>
  <si>
    <t>퇴직금 지급(장성우)</t>
  </si>
  <si>
    <t>'22년 2Q 당기근무원가</t>
  </si>
  <si>
    <t>'22년 2Q 이자원가</t>
  </si>
  <si>
    <t>(주)에버이엔씨</t>
  </si>
  <si>
    <t>미수금</t>
  </si>
  <si>
    <t>매출채권</t>
  </si>
  <si>
    <t>원재료</t>
    <phoneticPr fontId="2" type="noConversion"/>
  </si>
  <si>
    <t>저장품</t>
    <phoneticPr fontId="2" type="noConversion"/>
  </si>
  <si>
    <t>기타재고</t>
    <phoneticPr fontId="2" type="noConversion"/>
  </si>
  <si>
    <t>선급금</t>
  </si>
  <si>
    <t>732-910008-99205</t>
  </si>
  <si>
    <t>고철매각 전용 계좌</t>
    <phoneticPr fontId="2" type="noConversion"/>
  </si>
  <si>
    <t>기타 무형자산</t>
    <phoneticPr fontId="39" type="noConversion"/>
  </si>
  <si>
    <t>2013.10</t>
    <phoneticPr fontId="2" type="noConversion"/>
  </si>
  <si>
    <t>선산컨트리클럽</t>
  </si>
  <si>
    <t>회원권</t>
  </si>
  <si>
    <t>대명/한화 리조트</t>
    <phoneticPr fontId="2" type="noConversion"/>
  </si>
  <si>
    <t>회원권(각 2구좌)</t>
    <phoneticPr fontId="2" type="noConversion"/>
  </si>
  <si>
    <t>기타 무형자산 명세서</t>
    <phoneticPr fontId="3" type="noConversion"/>
  </si>
  <si>
    <r>
      <t xml:space="preserve">⑵ ⑴의 </t>
    </r>
    <r>
      <rPr>
        <sz val="9"/>
        <color rgb="FFFF0000"/>
        <rFont val="맑은 고딕"/>
        <family val="3"/>
        <charset val="129"/>
        <scheme val="minor"/>
      </rPr>
      <t>배출권</t>
    </r>
    <r>
      <rPr>
        <sz val="9"/>
        <color theme="1"/>
        <rFont val="맑은 고딕"/>
        <family val="3"/>
        <charset val="129"/>
        <scheme val="minor"/>
      </rPr>
      <t xml:space="preserve"> 수량을 초과하는 배출량에 대해 해당 의무를 이행하는 데에 소요되는 지출에 대한 보고기간 말 현재 최선의 추정치</t>
    </r>
  </si>
  <si>
    <t>실33.5</t>
  </si>
  <si>
    <r>
      <t xml:space="preserve">배출부채는 정부에 제출할 해당 이행연도 분으로 할당된 </t>
    </r>
    <r>
      <rPr>
        <sz val="9"/>
        <color rgb="FFFF0000"/>
        <rFont val="맑은 고딕"/>
        <family val="3"/>
        <charset val="129"/>
        <scheme val="minor"/>
      </rPr>
      <t>배출권</t>
    </r>
    <r>
      <rPr>
        <sz val="9"/>
        <color theme="1"/>
        <rFont val="맑은 고딕"/>
        <family val="3"/>
        <charset val="129"/>
        <scheme val="minor"/>
      </rPr>
      <t xml:space="preserve">의 장부금액과 제출하기로 확정한 매입 </t>
    </r>
    <r>
      <rPr>
        <sz val="9"/>
        <color rgb="FFFF0000"/>
        <rFont val="맑은 고딕"/>
        <family val="3"/>
        <charset val="129"/>
        <scheme val="minor"/>
      </rPr>
      <t>배출권</t>
    </r>
    <r>
      <rPr>
        <sz val="9"/>
        <color theme="1"/>
        <rFont val="맑은 고딕"/>
        <family val="3"/>
        <charset val="129"/>
        <scheme val="minor"/>
      </rPr>
      <t xml:space="preserve">의 장부금액을 더하여 측정한다. 그리고 이러한 </t>
    </r>
    <r>
      <rPr>
        <sz val="9"/>
        <color rgb="FFFF0000"/>
        <rFont val="맑은 고딕"/>
        <family val="3"/>
        <charset val="129"/>
        <scheme val="minor"/>
      </rPr>
      <t>배출권</t>
    </r>
    <r>
      <rPr>
        <sz val="9"/>
        <color theme="1"/>
        <rFont val="맑은 고딕"/>
        <family val="3"/>
        <charset val="129"/>
        <scheme val="minor"/>
      </rPr>
      <t xml:space="preserve"> 수량을 초과하는 배출량에 대해서는 의무를 이행하는 데에 소요되는 지출에 대한 보고기간 말 현재 최선의 추정치로 측정해야 한다. 이 경우 그 시점의 </t>
    </r>
    <r>
      <rPr>
        <sz val="9"/>
        <color rgb="FFFF0000"/>
        <rFont val="맑은 고딕"/>
        <family val="3"/>
        <charset val="129"/>
        <scheme val="minor"/>
      </rPr>
      <t>배출권</t>
    </r>
    <r>
      <rPr>
        <sz val="9"/>
        <color theme="1"/>
        <rFont val="맑은 고딕"/>
        <family val="3"/>
        <charset val="129"/>
        <scheme val="minor"/>
      </rPr>
      <t xml:space="preserve"> 시장가격 등을 고려하여 추정치를 산정할 수 있을 것이다.</t>
    </r>
  </si>
  <si>
    <t>결33.10</t>
  </si>
  <si>
    <t>▣ 재고자산 명세서</t>
    <phoneticPr fontId="3" type="noConversion"/>
  </si>
  <si>
    <t>수엑</t>
    <phoneticPr fontId="39" type="noConversion"/>
  </si>
  <si>
    <t>9월</t>
    <phoneticPr fontId="39" type="noConversion"/>
  </si>
  <si>
    <t>10월</t>
    <phoneticPr fontId="39" type="noConversion"/>
  </si>
  <si>
    <t>11월</t>
    <phoneticPr fontId="39" type="noConversion"/>
  </si>
  <si>
    <t>12월</t>
    <phoneticPr fontId="39" type="noConversion"/>
  </si>
  <si>
    <t xml:space="preserve"> - 탄종별 입고량</t>
    <phoneticPr fontId="39" type="noConversion"/>
  </si>
  <si>
    <t>기타재고 명세서</t>
    <phoneticPr fontId="3" type="noConversion"/>
  </si>
  <si>
    <t>2022-01</t>
    <phoneticPr fontId="2" type="noConversion"/>
  </si>
  <si>
    <t>2022-02</t>
  </si>
  <si>
    <t>2022-03</t>
  </si>
  <si>
    <t>2022-04</t>
  </si>
  <si>
    <t>2022-05</t>
  </si>
  <si>
    <t>2022-06</t>
  </si>
  <si>
    <t>2022-07</t>
  </si>
  <si>
    <t>2022-08</t>
  </si>
  <si>
    <t>REC 발생량</t>
    <phoneticPr fontId="2" type="noConversion"/>
  </si>
  <si>
    <t>케이에이에프</t>
  </si>
  <si>
    <t>코스파</t>
  </si>
  <si>
    <t>유한킴벌리</t>
  </si>
  <si>
    <t>솔레니스코리아</t>
  </si>
  <si>
    <t>서우첨단소재</t>
  </si>
  <si>
    <t>려강</t>
  </si>
  <si>
    <t>새빗켐2공장</t>
  </si>
  <si>
    <t>한국전력거래소</t>
    <phoneticPr fontId="2" type="noConversion"/>
  </si>
  <si>
    <t>업무용차량(3056)</t>
    <phoneticPr fontId="2" type="noConversion"/>
  </si>
  <si>
    <t>합  계</t>
    <phoneticPr fontId="2" type="noConversion"/>
  </si>
  <si>
    <t>차입일</t>
    <phoneticPr fontId="2" type="noConversion"/>
  </si>
  <si>
    <t>만기일</t>
    <phoneticPr fontId="2" type="noConversion"/>
  </si>
  <si>
    <t>장기차입금</t>
  </si>
  <si>
    <t>운영자금</t>
    <phoneticPr fontId="2" type="noConversion"/>
  </si>
  <si>
    <t>확정급여채무</t>
  </si>
  <si>
    <t>사외적립자산</t>
  </si>
  <si>
    <t>확정급여채무 명세서</t>
    <phoneticPr fontId="3" type="noConversion"/>
  </si>
  <si>
    <t>2022.08.11</t>
    <phoneticPr fontId="2" type="noConversion"/>
  </si>
  <si>
    <t>퇴직금 지급(노신희)</t>
    <phoneticPr fontId="2" type="noConversion"/>
  </si>
  <si>
    <t>장기리스부채</t>
  </si>
  <si>
    <t>장기선수수익</t>
    <phoneticPr fontId="2" type="noConversion"/>
  </si>
  <si>
    <t>매입채무(미지급금-일반) 명세서</t>
    <phoneticPr fontId="3" type="noConversion"/>
  </si>
  <si>
    <t>매입채무(미지급금-자동이체) 명세서</t>
    <phoneticPr fontId="3" type="noConversion"/>
  </si>
  <si>
    <t>예수금 명세서</t>
    <phoneticPr fontId="3" type="noConversion"/>
  </si>
  <si>
    <t>산업은행</t>
    <phoneticPr fontId="2" type="noConversion"/>
  </si>
  <si>
    <t>미지급금-회계</t>
    <phoneticPr fontId="2" type="noConversion"/>
  </si>
  <si>
    <t>2022-09</t>
    <phoneticPr fontId="2" type="noConversion"/>
  </si>
  <si>
    <t>2022.09.30</t>
    <phoneticPr fontId="2" type="noConversion"/>
  </si>
  <si>
    <t>'22년 3Q 당기근무원가</t>
    <phoneticPr fontId="2" type="noConversion"/>
  </si>
  <si>
    <t>'22년 3Q 이자원가</t>
    <phoneticPr fontId="2" type="noConversion"/>
  </si>
  <si>
    <t>'22년 3Q 보험수리적 이익(재측정요소-할인율 변경)</t>
    <phoneticPr fontId="2" type="noConversion"/>
  </si>
  <si>
    <t>신도리코청호컴넷 황악사무기</t>
  </si>
  <si>
    <t>(사)대한산업안전협회경북북부지회</t>
  </si>
  <si>
    <t>(주)바론엘리베이터</t>
  </si>
  <si>
    <t>일   자</t>
    <phoneticPr fontId="2" type="noConversion"/>
  </si>
  <si>
    <t>거래처</t>
    <phoneticPr fontId="2" type="noConversion"/>
  </si>
  <si>
    <t>적   요</t>
    <phoneticPr fontId="2" type="noConversion"/>
  </si>
  <si>
    <t>2022.09.30</t>
    <phoneticPr fontId="2" type="noConversion"/>
  </si>
  <si>
    <t>2022.09.30</t>
    <phoneticPr fontId="2" type="noConversion"/>
  </si>
  <si>
    <t>(주)새하마노</t>
  </si>
  <si>
    <t>Biomass Ejector</t>
    <phoneticPr fontId="2" type="noConversion"/>
  </si>
  <si>
    <t>4"*6"*6"</t>
  </si>
  <si>
    <t>포장 및 운반비 포함</t>
    <phoneticPr fontId="2" type="noConversion"/>
  </si>
  <si>
    <t>배출원가</t>
  </si>
  <si>
    <t>구매</t>
    <phoneticPr fontId="2" type="noConversion"/>
  </si>
  <si>
    <t>가수금 명세서</t>
    <phoneticPr fontId="3" type="noConversion"/>
  </si>
  <si>
    <t>2022.12.31</t>
    <phoneticPr fontId="2" type="noConversion"/>
  </si>
  <si>
    <t>'22년 4Q 보험수리적 이익(재측정요소-할인율 변경)</t>
    <phoneticPr fontId="2" type="noConversion"/>
  </si>
  <si>
    <t>'22년 4Q 당기근무원가</t>
    <phoneticPr fontId="2" type="noConversion"/>
  </si>
  <si>
    <t>'22년 4Q 이자원가</t>
    <phoneticPr fontId="2" type="noConversion"/>
  </si>
  <si>
    <t>'22년 구매배출권</t>
    <phoneticPr fontId="2" type="noConversion"/>
  </si>
  <si>
    <t>2022년 Generator IED(Intelligent Electronic Device)</t>
  </si>
  <si>
    <t>22년 응축수보수시 사용</t>
    <phoneticPr fontId="2" type="noConversion"/>
  </si>
  <si>
    <t>22년 정기보수시 일부 사용</t>
    <phoneticPr fontId="2" type="noConversion"/>
  </si>
  <si>
    <t>미수금 명세서</t>
    <phoneticPr fontId="3" type="noConversion"/>
  </si>
  <si>
    <t>2022.12.31</t>
    <phoneticPr fontId="2" type="noConversion"/>
  </si>
  <si>
    <t>2022.12.31</t>
    <phoneticPr fontId="2" type="noConversion"/>
  </si>
  <si>
    <t>2022.12.31</t>
    <phoneticPr fontId="2" type="noConversion"/>
  </si>
  <si>
    <t>'22년 3Q 재측정요소 손실</t>
    <phoneticPr fontId="2" type="noConversion"/>
  </si>
  <si>
    <t>'22년 3Q 보험수리적 이익(재측정요소-할인율 변경)</t>
    <phoneticPr fontId="2" type="noConversion"/>
  </si>
  <si>
    <t>'22년 4Q 재측정요소 손실</t>
    <phoneticPr fontId="2" type="noConversion"/>
  </si>
  <si>
    <t>'22년 4Q 보험수리적 이익(재측정요소-할인율 변경)</t>
    <phoneticPr fontId="2" type="noConversion"/>
  </si>
  <si>
    <t>예수보증금</t>
    <phoneticPr fontId="2" type="noConversion"/>
  </si>
  <si>
    <t>순확정급여자산</t>
    <phoneticPr fontId="39" type="noConversion"/>
  </si>
  <si>
    <t>투자자산</t>
    <phoneticPr fontId="39" type="noConversion"/>
  </si>
  <si>
    <t>장기대여금</t>
    <phoneticPr fontId="39" type="noConversion"/>
  </si>
  <si>
    <t>하나파워패키지</t>
    <phoneticPr fontId="2" type="noConversion"/>
  </si>
  <si>
    <t>대여금</t>
    <phoneticPr fontId="2" type="noConversion"/>
  </si>
  <si>
    <t>한일인터내셔널 주식회사</t>
  </si>
  <si>
    <t>유한회사 베올리아워터테크놀로지스앤솔루션스코리아</t>
  </si>
  <si>
    <t>러시아탄</t>
    <phoneticPr fontId="92" type="noConversion"/>
  </si>
  <si>
    <t>러시아탄</t>
    <phoneticPr fontId="92" type="noConversion"/>
  </si>
  <si>
    <t>매입채무(외상매입금) 명세서</t>
    <phoneticPr fontId="3" type="noConversion"/>
  </si>
  <si>
    <t>유한킴벌리</t>
    <phoneticPr fontId="2" type="noConversion"/>
  </si>
  <si>
    <t>2023.03.31</t>
    <phoneticPr fontId="2" type="noConversion"/>
  </si>
  <si>
    <t>'23년 1Q 재측정요소 손실</t>
    <phoneticPr fontId="2" type="noConversion"/>
  </si>
  <si>
    <t>'23년 1Q 보험수리적 이익(재측정요소-할인율 변경)</t>
    <phoneticPr fontId="2" type="noConversion"/>
  </si>
  <si>
    <t>2023.03.31</t>
    <phoneticPr fontId="2" type="noConversion"/>
  </si>
  <si>
    <t>'23년 1Q 당기근무원가</t>
    <phoneticPr fontId="2" type="noConversion"/>
  </si>
  <si>
    <t>'23년 1Q 이자원가</t>
    <phoneticPr fontId="2" type="noConversion"/>
  </si>
  <si>
    <t>수도권매립지관리공사</t>
    <phoneticPr fontId="2" type="noConversion"/>
  </si>
  <si>
    <t>(주)대덕분석기술연구원</t>
  </si>
  <si>
    <t>김천세무서(원천세)</t>
  </si>
  <si>
    <t>수엑</t>
    <phoneticPr fontId="92" type="noConversion"/>
  </si>
  <si>
    <t>한일</t>
    <phoneticPr fontId="39" type="noConversion"/>
  </si>
  <si>
    <t>한일</t>
    <phoneticPr fontId="92" type="noConversion"/>
  </si>
  <si>
    <t>부가세 선납</t>
    <phoneticPr fontId="2" type="noConversion"/>
  </si>
  <si>
    <t>롯데웰푸드</t>
    <phoneticPr fontId="2" type="noConversion"/>
  </si>
  <si>
    <t>단기차입금</t>
    <phoneticPr fontId="2" type="noConversion"/>
  </si>
  <si>
    <t>단기차입금 명세서</t>
    <phoneticPr fontId="3" type="noConversion"/>
  </si>
  <si>
    <t>단기차입금 계</t>
    <phoneticPr fontId="2" type="noConversion"/>
  </si>
  <si>
    <t>업무용차량(8505)</t>
    <phoneticPr fontId="2" type="noConversion"/>
  </si>
  <si>
    <t>2023.06.30</t>
    <phoneticPr fontId="2" type="noConversion"/>
  </si>
  <si>
    <t>2023.06.30</t>
    <phoneticPr fontId="2" type="noConversion"/>
  </si>
  <si>
    <t>'23년 2Q 재측정요소 손실</t>
    <phoneticPr fontId="2" type="noConversion"/>
  </si>
  <si>
    <t>'23년 2Q 보험수리적 이익(재측정요소-할인율 변경)</t>
    <phoneticPr fontId="2" type="noConversion"/>
  </si>
  <si>
    <t>납입액</t>
    <phoneticPr fontId="2" type="noConversion"/>
  </si>
  <si>
    <t>고철매각</t>
    <phoneticPr fontId="2" type="noConversion"/>
  </si>
  <si>
    <t>BFWP ARC Vavle Spare Part</t>
  </si>
  <si>
    <t>두산전자</t>
    <phoneticPr fontId="2" type="noConversion"/>
  </si>
  <si>
    <t>'23년 2Q 당기근무원가</t>
    <phoneticPr fontId="2" type="noConversion"/>
  </si>
  <si>
    <t>'23년 2Q 이자원가</t>
    <phoneticPr fontId="2" type="noConversion"/>
  </si>
  <si>
    <t>'23년 2Q 보험수리적 이익(재측정요소-할인율 변경)</t>
    <phoneticPr fontId="2" type="noConversion"/>
  </si>
  <si>
    <t>2023.06.30</t>
    <phoneticPr fontId="2" type="noConversion"/>
  </si>
  <si>
    <t>DCS Power Supply</t>
  </si>
  <si>
    <t>2024.04.17</t>
    <phoneticPr fontId="2" type="noConversion"/>
  </si>
  <si>
    <t>2023.09.30</t>
    <phoneticPr fontId="2" type="noConversion"/>
  </si>
  <si>
    <t>2023.09.30</t>
    <phoneticPr fontId="2" type="noConversion"/>
  </si>
  <si>
    <t>2023.09.30</t>
    <phoneticPr fontId="2" type="noConversion"/>
  </si>
  <si>
    <t>'23년 3Q 이자원가</t>
    <phoneticPr fontId="2" type="noConversion"/>
  </si>
  <si>
    <t>'23년 3Q 보험수리적 이익(재측정요소-할인율 변경)</t>
    <phoneticPr fontId="2" type="noConversion"/>
  </si>
  <si>
    <t>2023.09.30</t>
    <phoneticPr fontId="2" type="noConversion"/>
  </si>
  <si>
    <t>'23년 3Q 당기근무원가</t>
    <phoneticPr fontId="2" type="noConversion"/>
  </si>
  <si>
    <t>금액</t>
    <phoneticPr fontId="2" type="noConversion"/>
  </si>
  <si>
    <t>미수금</t>
    <phoneticPr fontId="2" type="noConversion"/>
  </si>
  <si>
    <t>이월</t>
    <phoneticPr fontId="2" type="noConversion"/>
  </si>
  <si>
    <t>금액(원)</t>
    <phoneticPr fontId="2" type="noConversion"/>
  </si>
  <si>
    <t>단가(원/톤)</t>
    <phoneticPr fontId="2" type="noConversion"/>
  </si>
  <si>
    <t>매각</t>
    <phoneticPr fontId="2" type="noConversion"/>
  </si>
  <si>
    <t>제출</t>
    <phoneticPr fontId="2" type="noConversion"/>
  </si>
  <si>
    <t>무상</t>
    <phoneticPr fontId="2" type="noConversion"/>
  </si>
  <si>
    <t>유상</t>
    <phoneticPr fontId="2" type="noConversion"/>
  </si>
  <si>
    <t>'21년 구매배출권</t>
    <phoneticPr fontId="2" type="noConversion"/>
  </si>
  <si>
    <t>'23년 구매배출권</t>
    <phoneticPr fontId="2" type="noConversion"/>
  </si>
  <si>
    <t>하나증권</t>
    <phoneticPr fontId="2" type="noConversion"/>
  </si>
  <si>
    <t>선수금</t>
    <phoneticPr fontId="2" type="noConversion"/>
  </si>
  <si>
    <t>Siemens Positioner</t>
    <phoneticPr fontId="2" type="noConversion"/>
  </si>
  <si>
    <t>STG PLC Spare Part(1차)</t>
  </si>
  <si>
    <t>STG PLC Spare Parts(2차)</t>
  </si>
  <si>
    <t>한가람유통</t>
  </si>
  <si>
    <t>순번</t>
    <phoneticPr fontId="2" type="noConversion"/>
  </si>
  <si>
    <t>일자</t>
    <phoneticPr fontId="2" type="noConversion"/>
  </si>
  <si>
    <t>차변</t>
    <phoneticPr fontId="2" type="noConversion"/>
  </si>
  <si>
    <t>대변</t>
    <phoneticPr fontId="2" type="noConversion"/>
  </si>
  <si>
    <t>비고</t>
    <phoneticPr fontId="2" type="noConversion"/>
  </si>
  <si>
    <t>과목</t>
    <phoneticPr fontId="2" type="noConversion"/>
  </si>
  <si>
    <t>금액</t>
    <phoneticPr fontId="2" type="noConversion"/>
  </si>
  <si>
    <t>배출원가</t>
    <phoneticPr fontId="2" type="noConversion"/>
  </si>
  <si>
    <t>배출부채</t>
    <phoneticPr fontId="2" type="noConversion"/>
  </si>
  <si>
    <t>배출권</t>
    <phoneticPr fontId="2" type="noConversion"/>
  </si>
  <si>
    <t>배출권</t>
  </si>
  <si>
    <t>구분</t>
    <phoneticPr fontId="2" type="noConversion"/>
  </si>
  <si>
    <t>배출량</t>
    <phoneticPr fontId="2" type="noConversion"/>
  </si>
  <si>
    <t>단가</t>
    <phoneticPr fontId="2" type="noConversion"/>
  </si>
  <si>
    <t>A</t>
    <phoneticPr fontId="2" type="noConversion"/>
  </si>
  <si>
    <t>B</t>
    <phoneticPr fontId="2" type="noConversion"/>
  </si>
  <si>
    <t>'23년 구매 배출원가</t>
    <phoneticPr fontId="2" type="noConversion"/>
  </si>
  <si>
    <r>
      <t xml:space="preserve">기업이 온실가스를 배출하면 기업은 정부에 </t>
    </r>
    <r>
      <rPr>
        <sz val="9"/>
        <color rgb="FFFF0000"/>
        <rFont val="맑은 고딕"/>
        <family val="3"/>
        <charset val="129"/>
        <scheme val="minor"/>
      </rPr>
      <t>배출권</t>
    </r>
    <r>
      <rPr>
        <sz val="9"/>
        <color theme="1"/>
        <rFont val="맑은 고딕"/>
        <family val="3"/>
        <charset val="129"/>
        <scheme val="minor"/>
      </rPr>
      <t xml:space="preserve">을 제출할 의무가 생기나 배출량을 정부에서 인증하기 전까지는 그 금액이 불확실하다. 제14장 문단 14.3에 따르면 충당부채는 과거사건이나 거래의 결과에 의한 현재의무로서, 지출의 시기 또는 금액이 불확실하지만 그 의무를 이행하기 위하여 자원이 유출될 가능성이 매우 높고 또한 해당 금액을 신뢰성 있게 추정할 수 있는 의무를 말한다. 따라서 정부에서 온실가스 배출량을 인증하지 전까지는 </t>
    </r>
    <r>
      <rPr>
        <sz val="9"/>
        <color rgb="FFFF0000"/>
        <rFont val="맑은 고딕"/>
        <family val="3"/>
        <charset val="129"/>
        <scheme val="minor"/>
      </rPr>
      <t>배출권</t>
    </r>
    <r>
      <rPr>
        <sz val="9"/>
        <color theme="1"/>
        <rFont val="맑은 고딕"/>
        <family val="3"/>
        <charset val="129"/>
        <scheme val="minor"/>
      </rPr>
      <t xml:space="preserve">을 정부에 제출할 의무는 충당부채에 해당한다. 제14장 문단 14.7에 따르면 충당부채로 인식하는 금액은 현재의무의 이행에 소요되는 지출에 대한 보고기간 말 현재 최선의 추정치이어야 한다. 한국채택국제회계기준에서는 그러한 추정치는 보고기간 말에 의무를 이행하거나 제3자에게 이전시키는 경우에 합리적으로 지급하여야 하는 금액으로 규정하고 있다. 철회된 IFRIC 3에서는 보고기간 말에 충당부채로 인식해야 하는 금액은 그 시점의 </t>
    </r>
    <r>
      <rPr>
        <sz val="9"/>
        <color rgb="FFFF0000"/>
        <rFont val="맑은 고딕"/>
        <family val="3"/>
        <charset val="129"/>
        <scheme val="minor"/>
      </rPr>
      <t>배출권</t>
    </r>
    <r>
      <rPr>
        <sz val="9"/>
        <color theme="1"/>
        <rFont val="맑은 고딕"/>
        <family val="3"/>
        <charset val="129"/>
        <scheme val="minor"/>
      </rPr>
      <t xml:space="preserve"> 공정가치로 해석한 사례가 있으나 정부 제출에 사용할 </t>
    </r>
    <r>
      <rPr>
        <sz val="9"/>
        <color rgb="FFFF0000"/>
        <rFont val="맑은 고딕"/>
        <family val="3"/>
        <charset val="129"/>
        <scheme val="minor"/>
      </rPr>
      <t>배출권</t>
    </r>
    <r>
      <rPr>
        <sz val="9"/>
        <color theme="1"/>
        <rFont val="맑은 고딕"/>
        <family val="3"/>
        <charset val="129"/>
        <scheme val="minor"/>
      </rPr>
      <t xml:space="preserve">을 원가로 측정하면서 배출부채만 </t>
    </r>
    <r>
      <rPr>
        <sz val="9"/>
        <color rgb="FFFF0000"/>
        <rFont val="맑은 고딕"/>
        <family val="3"/>
        <charset val="129"/>
        <scheme val="minor"/>
      </rPr>
      <t>배출권</t>
    </r>
    <r>
      <rPr>
        <sz val="9"/>
        <color theme="1"/>
        <rFont val="맑은 고딕"/>
        <family val="3"/>
        <charset val="129"/>
        <scheme val="minor"/>
      </rPr>
      <t xml:space="preserve">의 공정가치로 측정한다면 측정의 불일치가 발생하고 이것이 정보이용자에게 혼란을 줄 수 있다는 우려가 제기되었다. 할당받은 </t>
    </r>
    <r>
      <rPr>
        <sz val="9"/>
        <color rgb="FFFF0000"/>
        <rFont val="맑은 고딕"/>
        <family val="3"/>
        <charset val="129"/>
        <scheme val="minor"/>
      </rPr>
      <t>배출권</t>
    </r>
    <r>
      <rPr>
        <sz val="9"/>
        <color theme="1"/>
        <rFont val="맑은 고딕"/>
        <family val="3"/>
        <charset val="129"/>
        <scheme val="minor"/>
      </rPr>
      <t xml:space="preserve">과 배출부채는 해당 </t>
    </r>
    <r>
      <rPr>
        <sz val="9"/>
        <color rgb="FFFF0000"/>
        <rFont val="맑은 고딕"/>
        <family val="3"/>
        <charset val="129"/>
        <scheme val="minor"/>
      </rPr>
      <t>배출권</t>
    </r>
    <r>
      <rPr>
        <sz val="9"/>
        <color theme="1"/>
        <rFont val="맑은 고딕"/>
        <family val="3"/>
        <charset val="129"/>
        <scheme val="minor"/>
      </rPr>
      <t xml:space="preserve">의 주된 보유 목적을 고려할 때 매우 밀접한 관계가 있으나 배출부채 결제에 이를 사용하도록 법적으로나 계약으로 구속된 것은 아니다. 그러나 배출부채를 보유 </t>
    </r>
    <r>
      <rPr>
        <sz val="9"/>
        <color rgb="FFFF0000"/>
        <rFont val="맑은 고딕"/>
        <family val="3"/>
        <charset val="129"/>
        <scheme val="minor"/>
      </rPr>
      <t>배출권</t>
    </r>
    <r>
      <rPr>
        <sz val="9"/>
        <color theme="1"/>
        <rFont val="맑은 고딕"/>
        <family val="3"/>
        <charset val="129"/>
        <scheme val="minor"/>
      </rPr>
      <t xml:space="preserve">의 장부금액과 연계하여 측정하면 자산과 부채의 측정 방식의 차이로 인한 회계불일치가 해소된다. 따라서 이 장에서는 </t>
    </r>
    <r>
      <rPr>
        <b/>
        <u/>
        <sz val="9"/>
        <color theme="1"/>
        <rFont val="맑은 고딕"/>
        <family val="3"/>
        <charset val="129"/>
        <scheme val="minor"/>
      </rPr>
      <t xml:space="preserve">정부에 제출할 부분에 해당하는 이행연도 분으로 보유한 </t>
    </r>
    <r>
      <rPr>
        <b/>
        <u/>
        <sz val="9"/>
        <color rgb="FFFF0000"/>
        <rFont val="맑은 고딕"/>
        <family val="3"/>
        <charset val="129"/>
        <scheme val="minor"/>
      </rPr>
      <t>배출권</t>
    </r>
    <r>
      <rPr>
        <b/>
        <u/>
        <sz val="9"/>
        <color theme="1"/>
        <rFont val="맑은 고딕"/>
        <family val="3"/>
        <charset val="129"/>
        <scheme val="minor"/>
      </rPr>
      <t xml:space="preserve">까지는 </t>
    </r>
    <r>
      <rPr>
        <b/>
        <u/>
        <sz val="9"/>
        <color rgb="FFFF0000"/>
        <rFont val="맑은 고딕"/>
        <family val="3"/>
        <charset val="129"/>
        <scheme val="minor"/>
      </rPr>
      <t>배출권</t>
    </r>
    <r>
      <rPr>
        <b/>
        <u/>
        <sz val="9"/>
        <color theme="1"/>
        <rFont val="맑은 고딕"/>
        <family val="3"/>
        <charset val="129"/>
        <scheme val="minor"/>
      </rPr>
      <t xml:space="preserve">의 장부금액으로, 이를 초과하는 온실가스 배출량에 대해서는 의무를 이행하는 데에 소요되는 지출에 대한 보고기간 말 현재 최선의 추정치(예를 들어 그 시점의 </t>
    </r>
    <r>
      <rPr>
        <b/>
        <u/>
        <sz val="9"/>
        <color rgb="FFFF0000"/>
        <rFont val="맑은 고딕"/>
        <family val="3"/>
        <charset val="129"/>
        <scheme val="minor"/>
      </rPr>
      <t>배출권</t>
    </r>
    <r>
      <rPr>
        <b/>
        <u/>
        <sz val="9"/>
        <color theme="1"/>
        <rFont val="맑은 고딕"/>
        <family val="3"/>
        <charset val="129"/>
        <scheme val="minor"/>
      </rPr>
      <t>의 시장가격 반영)로 배출부채를 측정하도록 하였다.</t>
    </r>
    <phoneticPr fontId="2" type="noConversion"/>
  </si>
  <si>
    <t>C</t>
    <phoneticPr fontId="2" type="noConversion"/>
  </si>
  <si>
    <t>→ 배출량 부족분</t>
    <phoneticPr fontId="2" type="noConversion"/>
  </si>
  <si>
    <t>'18년 배출권</t>
    <phoneticPr fontId="2" type="noConversion"/>
  </si>
  <si>
    <t>구  분</t>
    <phoneticPr fontId="2" type="noConversion"/>
  </si>
  <si>
    <t>이월</t>
    <phoneticPr fontId="2" type="noConversion"/>
  </si>
  <si>
    <t>양(톤)</t>
    <phoneticPr fontId="2" type="noConversion"/>
  </si>
  <si>
    <t>양(톤)</t>
    <phoneticPr fontId="2" type="noConversion"/>
  </si>
  <si>
    <t>금액(원)</t>
    <phoneticPr fontId="2" type="noConversion"/>
  </si>
  <si>
    <t>'19년 구매배출권</t>
    <phoneticPr fontId="2" type="noConversion"/>
  </si>
  <si>
    <t>구매</t>
    <phoneticPr fontId="2" type="noConversion"/>
  </si>
  <si>
    <t>매각</t>
    <phoneticPr fontId="2" type="noConversion"/>
  </si>
  <si>
    <t>제출</t>
    <phoneticPr fontId="2" type="noConversion"/>
  </si>
  <si>
    <t>이월</t>
    <phoneticPr fontId="2" type="noConversion"/>
  </si>
  <si>
    <t>무상</t>
    <phoneticPr fontId="2" type="noConversion"/>
  </si>
  <si>
    <t>유상</t>
    <phoneticPr fontId="2" type="noConversion"/>
  </si>
  <si>
    <t>단가(원/톤)</t>
    <phoneticPr fontId="2" type="noConversion"/>
  </si>
  <si>
    <t>'20년 구매배출권</t>
    <phoneticPr fontId="2" type="noConversion"/>
  </si>
  <si>
    <t>제출</t>
    <phoneticPr fontId="2" type="noConversion"/>
  </si>
  <si>
    <t>금액(원)</t>
    <phoneticPr fontId="2" type="noConversion"/>
  </si>
  <si>
    <t>매각일자 : 22.03.22</t>
    <phoneticPr fontId="2" type="noConversion"/>
  </si>
  <si>
    <t>Yokogawa Pressure/Temperature Transmitter</t>
  </si>
  <si>
    <t>RMS용 AB PLC Unit</t>
  </si>
  <si>
    <t>STG PLC Spare parts(3차)</t>
  </si>
  <si>
    <t>STG PLC Spare parts(4차)</t>
  </si>
  <si>
    <t>STG Major Overhaul Spare part</t>
    <phoneticPr fontId="2" type="noConversion"/>
  </si>
  <si>
    <t>23년 정기보수시 사용(1EA)</t>
    <phoneticPr fontId="2" type="noConversion"/>
  </si>
  <si>
    <t>23년 정기보수시 사용(56EA)</t>
    <phoneticPr fontId="2" type="noConversion"/>
  </si>
  <si>
    <t>23년 응축수배관 보수공사 사용(1EA)</t>
    <phoneticPr fontId="2" type="noConversion"/>
  </si>
  <si>
    <t>HiPS-300, 입력전원 100~240V AC, 출력전원 24VDC, 10A, 용량 240W</t>
  </si>
  <si>
    <t>6DR5110-0NN01-0AA0</t>
  </si>
  <si>
    <t>2023.12.31</t>
    <phoneticPr fontId="2" type="noConversion"/>
  </si>
  <si>
    <t>2023.12.31</t>
    <phoneticPr fontId="2" type="noConversion"/>
  </si>
  <si>
    <t>'23년 4Q 재측정요소(손실)-이자수익과 실제수익 차이</t>
  </si>
  <si>
    <t>'23년 4Q 재측정요소(이익)-경험조정효과 외</t>
  </si>
  <si>
    <t>'23년 3Q 재측정요소(손실)-이자수익과 실제수익 차이</t>
  </si>
  <si>
    <t>'23년 3Q 재측정요소(이익)-경험조정효과 외</t>
  </si>
  <si>
    <t>보험수리적손익 법인세효과 인식</t>
  </si>
  <si>
    <t>2024.01.15</t>
    <phoneticPr fontId="2" type="noConversion"/>
  </si>
  <si>
    <t>2024.01.17</t>
    <phoneticPr fontId="2" type="noConversion"/>
  </si>
  <si>
    <t>2024.01.25</t>
    <phoneticPr fontId="2" type="noConversion"/>
  </si>
  <si>
    <t>2024.01.31</t>
    <phoneticPr fontId="2" type="noConversion"/>
  </si>
  <si>
    <t>하나파워패키지유한회사</t>
  </si>
  <si>
    <t>'23년 4Q 당기근무원가</t>
    <phoneticPr fontId="2" type="noConversion"/>
  </si>
  <si>
    <t>'23년 4Q 이자원가</t>
    <phoneticPr fontId="2" type="noConversion"/>
  </si>
  <si>
    <t>'23년 4Q 보험수리적 이익(재측정요소-경험조정효과 외)</t>
    <phoneticPr fontId="2" type="noConversion"/>
  </si>
  <si>
    <t>(사)대한산업보건협회 대구지역본부</t>
  </si>
  <si>
    <t>우리은행</t>
    <phoneticPr fontId="2" type="noConversion"/>
  </si>
  <si>
    <t>1020-866-828581</t>
    <phoneticPr fontId="2" type="noConversion"/>
  </si>
  <si>
    <t>2024.02.07</t>
    <phoneticPr fontId="2" type="noConversion"/>
  </si>
  <si>
    <t>2024.02.08</t>
    <phoneticPr fontId="2" type="noConversion"/>
  </si>
  <si>
    <t>2024.02.19</t>
    <phoneticPr fontId="2" type="noConversion"/>
  </si>
  <si>
    <t>2024.02.26</t>
    <phoneticPr fontId="2" type="noConversion"/>
  </si>
  <si>
    <t>2024.02.29</t>
    <phoneticPr fontId="2" type="noConversion"/>
  </si>
  <si>
    <t>'24년분 배출권 구매(22,000톤*9,050원)</t>
  </si>
  <si>
    <t>2024.03.06</t>
    <phoneticPr fontId="2" type="noConversion"/>
  </si>
  <si>
    <t>2024.03.13</t>
    <phoneticPr fontId="2" type="noConversion"/>
  </si>
  <si>
    <t>2024.03.16</t>
    <phoneticPr fontId="2" type="noConversion"/>
  </si>
  <si>
    <t>2024.03.29</t>
    <phoneticPr fontId="2" type="noConversion"/>
  </si>
  <si>
    <t>2024.03.31</t>
    <phoneticPr fontId="2" type="noConversion"/>
  </si>
  <si>
    <t>'24년 1Q 당기근무원가</t>
  </si>
  <si>
    <t>'24년 1Q 이자원가</t>
  </si>
  <si>
    <t>'24년 1Q 재측정요소(이익)-경험조정효과 외</t>
  </si>
  <si>
    <t>퇴직금 지급(임락근)</t>
  </si>
  <si>
    <t>2024.03.31</t>
    <phoneticPr fontId="2" type="noConversion"/>
  </si>
  <si>
    <t>'24년 1Q 재측정요소(손실)-이자수익과 실제수익 차이</t>
  </si>
  <si>
    <t>코오롱이앤피</t>
    <phoneticPr fontId="2" type="noConversion"/>
  </si>
  <si>
    <t>2024.04.01</t>
    <phoneticPr fontId="2" type="noConversion"/>
  </si>
  <si>
    <t>2024.04.04</t>
    <phoneticPr fontId="2" type="noConversion"/>
  </si>
  <si>
    <t>2024.04.12</t>
    <phoneticPr fontId="2" type="noConversion"/>
  </si>
  <si>
    <t>2024.04.17</t>
    <phoneticPr fontId="2" type="noConversion"/>
  </si>
  <si>
    <t>2024.04.25</t>
    <phoneticPr fontId="2" type="noConversion"/>
  </si>
  <si>
    <t>2024.04.30</t>
    <phoneticPr fontId="2" type="noConversion"/>
  </si>
  <si>
    <t>DCS IO Module</t>
  </si>
  <si>
    <t>'24년분 배출권 구매(22,800톤*8,742원)</t>
  </si>
  <si>
    <t>2024.05.31</t>
    <phoneticPr fontId="2" type="noConversion"/>
  </si>
  <si>
    <t>2024.05.08</t>
    <phoneticPr fontId="2" type="noConversion"/>
  </si>
  <si>
    <t>2024.05.31</t>
    <phoneticPr fontId="2" type="noConversion"/>
  </si>
  <si>
    <t>2024.04.09</t>
  </si>
  <si>
    <t>계정과목 정정(04.09, 퇴직금(임락근) 지급)</t>
  </si>
  <si>
    <t>'24.05월 유연탄대금</t>
    <phoneticPr fontId="2" type="noConversion"/>
  </si>
  <si>
    <t>190하7924</t>
    <phoneticPr fontId="2" type="noConversion"/>
  </si>
  <si>
    <t>쿠리타한수 주식회사</t>
  </si>
  <si>
    <t>아숀</t>
    <phoneticPr fontId="2" type="noConversion"/>
  </si>
  <si>
    <t>테라</t>
    <phoneticPr fontId="39" type="noConversion"/>
  </si>
  <si>
    <t>러시아탄</t>
    <phoneticPr fontId="92" type="noConversion"/>
  </si>
  <si>
    <t>러시아탄</t>
    <phoneticPr fontId="92" type="noConversion"/>
  </si>
  <si>
    <t>'24년 예상 배출량</t>
    <phoneticPr fontId="2" type="noConversion"/>
  </si>
  <si>
    <t>'24년 P/L</t>
    <phoneticPr fontId="2" type="noConversion"/>
  </si>
  <si>
    <t>'24년 배출권 이월량</t>
    <phoneticPr fontId="2" type="noConversion"/>
  </si>
  <si>
    <t>'24년 구매 배출량</t>
    <phoneticPr fontId="2" type="noConversion"/>
  </si>
  <si>
    <t>'23년 이월량</t>
    <phoneticPr fontId="2" type="noConversion"/>
  </si>
  <si>
    <t>'23년 이월금액</t>
    <phoneticPr fontId="2" type="noConversion"/>
  </si>
  <si>
    <t>'24년 배출량</t>
    <phoneticPr fontId="2" type="noConversion"/>
  </si>
  <si>
    <t>'24년 무상할당량</t>
    <phoneticPr fontId="2" type="noConversion"/>
  </si>
  <si>
    <t>'24년 유상구매량</t>
    <phoneticPr fontId="2" type="noConversion"/>
  </si>
  <si>
    <t>'24년 구매배출권</t>
    <phoneticPr fontId="2" type="noConversion"/>
  </si>
  <si>
    <t>'23년 반영분-실제 차이</t>
    <phoneticPr fontId="2" type="noConversion"/>
  </si>
  <si>
    <t>'23년 이월 배출권</t>
    <phoneticPr fontId="2" type="noConversion"/>
  </si>
  <si>
    <t>'22년 배출권구매정산 확정 차이</t>
    <phoneticPr fontId="2" type="noConversion"/>
  </si>
  <si>
    <t>'23년 배출권구매정산 예상</t>
    <phoneticPr fontId="2" type="noConversion"/>
  </si>
  <si>
    <t>'24년 B/S</t>
    <phoneticPr fontId="2" type="noConversion"/>
  </si>
  <si>
    <t>2023.12.31</t>
  </si>
  <si>
    <t>배출부채</t>
  </si>
  <si>
    <t>'23년 배출권 계상(유상 110,660*9,680원, 부족분 4,594*9,680원)</t>
  </si>
  <si>
    <t>2024.02.21</t>
  </si>
  <si>
    <t>2024.03.13</t>
  </si>
  <si>
    <t>2024.05.08</t>
  </si>
  <si>
    <t>'23년 배출원가 과소계상분</t>
    <phoneticPr fontId="2" type="noConversion"/>
  </si>
  <si>
    <t>'23년분 배출권 구매(4,646톤*9,070원)</t>
    <phoneticPr fontId="2" type="noConversion"/>
  </si>
  <si>
    <t>2024.06.05</t>
    <phoneticPr fontId="2" type="noConversion"/>
  </si>
  <si>
    <t>24년분 배출권 구매(23,000톤*8,600원)</t>
    <phoneticPr fontId="2" type="noConversion"/>
  </si>
  <si>
    <t>24년분 배출권 구매(23,200톤*8,588원)</t>
    <phoneticPr fontId="2" type="noConversion"/>
  </si>
  <si>
    <t>수용가용 응축수 3-Way Valve and Actuator</t>
  </si>
  <si>
    <t>Fly Ash Silo Bag Filter 용 Filter Bag</t>
  </si>
  <si>
    <t>(주)스타머트리얼 테크</t>
  </si>
  <si>
    <t>2024.06.30</t>
    <phoneticPr fontId="2" type="noConversion"/>
  </si>
  <si>
    <t>'24년 2Q 재측정요소(손실)-이자수익과 실제수익 차이</t>
    <phoneticPr fontId="2" type="noConversion"/>
  </si>
  <si>
    <t>'24년 2Q 재측정요소(이익)-경험조정효과 외</t>
    <phoneticPr fontId="2" type="noConversion"/>
  </si>
  <si>
    <t>아숀코리아유한회사</t>
    <phoneticPr fontId="2" type="noConversion"/>
  </si>
  <si>
    <t>2024.06.03</t>
    <phoneticPr fontId="2" type="noConversion"/>
  </si>
  <si>
    <t>계약아행보증금('24.7~'25.6월)</t>
    <phoneticPr fontId="2" type="noConversion"/>
  </si>
  <si>
    <t>에스케이렌터카주식회사</t>
    <phoneticPr fontId="2" type="noConversion"/>
  </si>
  <si>
    <t>'24.06월 유연탄대금</t>
    <phoneticPr fontId="2" type="noConversion"/>
  </si>
  <si>
    <t>아숀코리아 유한회사</t>
  </si>
  <si>
    <t>테라브라운코리아 유한회사</t>
  </si>
  <si>
    <t>2024.06.30</t>
    <phoneticPr fontId="2" type="noConversion"/>
  </si>
  <si>
    <t>'24년 2Q 당기근무원가</t>
    <phoneticPr fontId="2" type="noConversion"/>
  </si>
  <si>
    <t>'24년 2Q 이자원가</t>
    <phoneticPr fontId="2" type="noConversion"/>
  </si>
  <si>
    <t>2024.06.15</t>
    <phoneticPr fontId="2" type="noConversion"/>
  </si>
  <si>
    <t>2024.06.18</t>
    <phoneticPr fontId="2" type="noConversion"/>
  </si>
  <si>
    <t>2024.06.20</t>
    <phoneticPr fontId="2" type="noConversion"/>
  </si>
  <si>
    <t>2024.06.26</t>
    <phoneticPr fontId="2" type="noConversion"/>
  </si>
  <si>
    <t>2024.06.28</t>
    <phoneticPr fontId="2" type="noConversion"/>
  </si>
  <si>
    <t>킴벌리동도상사</t>
  </si>
  <si>
    <t>주식회사 대화티엔에스</t>
  </si>
  <si>
    <t>구미대리운전</t>
  </si>
  <si>
    <t>장재형</t>
  </si>
  <si>
    <t>아숀</t>
    <phoneticPr fontId="39" type="noConversion"/>
  </si>
  <si>
    <t>2024.07.04</t>
    <phoneticPr fontId="2" type="noConversion"/>
  </si>
  <si>
    <t>24년분 배출권 구매(20,000톤*8,980원)</t>
    <phoneticPr fontId="2" type="noConversion"/>
  </si>
  <si>
    <t>Aux BFWP ARC Valve By-Pas Assembly</t>
  </si>
  <si>
    <t>7월 열요금</t>
    <phoneticPr fontId="2" type="noConversion"/>
  </si>
  <si>
    <t>6월 열요금</t>
    <phoneticPr fontId="2" type="noConversion"/>
  </si>
  <si>
    <t>7월 1~4차분 전력요금</t>
    <phoneticPr fontId="2" type="noConversion"/>
  </si>
  <si>
    <t>7월 1~4차분 지역자원시설세</t>
    <phoneticPr fontId="2" type="noConversion"/>
  </si>
  <si>
    <t>VAT 제외(세금계산서 발행 : 2024.08.01)</t>
    <phoneticPr fontId="2" type="noConversion"/>
  </si>
  <si>
    <t>한일정유(주)</t>
  </si>
  <si>
    <t>2024년 07월 폐유(액상) 판매대금</t>
  </si>
  <si>
    <t>2024년 07월 Ash 판매대금</t>
    <phoneticPr fontId="2" type="noConversion"/>
  </si>
  <si>
    <t>2025.04.17</t>
    <phoneticPr fontId="2" type="noConversion"/>
  </si>
  <si>
    <t>7월 미지급 이자비용 계상</t>
    <phoneticPr fontId="2" type="noConversion"/>
  </si>
  <si>
    <t>2024.07.31</t>
  </si>
  <si>
    <t>2024.07.31</t>
    <phoneticPr fontId="2" type="noConversion"/>
  </si>
  <si>
    <t>'24년 1~7월 IB계상</t>
    <phoneticPr fontId="2" type="noConversion"/>
  </si>
  <si>
    <t>'24년 1~7월 연차수당 계상</t>
    <phoneticPr fontId="2" type="noConversion"/>
  </si>
  <si>
    <t>550억원, 4.62%, 14일(7/14~31)</t>
    <phoneticPr fontId="2" type="noConversion"/>
  </si>
  <si>
    <t>'24년 7월 1~4차분 전력거래수수료</t>
    <phoneticPr fontId="2" type="noConversion"/>
  </si>
  <si>
    <t>7월 수전요금 계상</t>
    <phoneticPr fontId="2" type="noConversion"/>
  </si>
  <si>
    <t>7월 도시가스요금 계상</t>
    <phoneticPr fontId="2" type="noConversion"/>
  </si>
  <si>
    <t>7월 법인카드대금</t>
    <phoneticPr fontId="2" type="noConversion"/>
  </si>
  <si>
    <t>7월 건강보험</t>
  </si>
  <si>
    <t>7월 국민연금</t>
  </si>
  <si>
    <t>7월 고용보험</t>
  </si>
  <si>
    <t>7월 산재보험</t>
  </si>
  <si>
    <t>2024.07.31</t>
    <phoneticPr fontId="2" type="noConversion"/>
  </si>
  <si>
    <t>2024.07.25</t>
    <phoneticPr fontId="2" type="noConversion"/>
  </si>
  <si>
    <t>Digital Overspeed Protection System(DOPS) 50%</t>
  </si>
  <si>
    <t>지멘스(Siemens)</t>
  </si>
  <si>
    <t>2024.07.03</t>
    <phoneticPr fontId="2" type="noConversion"/>
  </si>
  <si>
    <t>'24년 3분기 O&amp;M대금(8월,9월)</t>
  </si>
  <si>
    <t>나래에너지서비스 주식회사</t>
  </si>
  <si>
    <t>2024.07.22</t>
    <phoneticPr fontId="2" type="noConversion"/>
  </si>
  <si>
    <t>2024.07.01</t>
    <phoneticPr fontId="2" type="noConversion"/>
  </si>
  <si>
    <t>2024.07.03</t>
    <phoneticPr fontId="2" type="noConversion"/>
  </si>
  <si>
    <t>2024.07.10</t>
    <phoneticPr fontId="2" type="noConversion"/>
  </si>
  <si>
    <t>2024.07.17</t>
    <phoneticPr fontId="2" type="noConversion"/>
  </si>
  <si>
    <t>2024.07.18</t>
    <phoneticPr fontId="2" type="noConversion"/>
  </si>
  <si>
    <t>2024.07.25</t>
    <phoneticPr fontId="2" type="noConversion"/>
  </si>
  <si>
    <t>2024.07.26</t>
    <phoneticPr fontId="2" type="noConversion"/>
  </si>
  <si>
    <t>2024.07.31</t>
    <phoneticPr fontId="2" type="noConversion"/>
  </si>
  <si>
    <t>우리은행</t>
    <phoneticPr fontId="2" type="noConversion"/>
  </si>
  <si>
    <t>2024.05.31</t>
    <phoneticPr fontId="2" type="noConversion"/>
  </si>
  <si>
    <t>2024.06.30</t>
    <phoneticPr fontId="2" type="noConversion"/>
  </si>
  <si>
    <t>'24.07월 유연탄대금</t>
    <phoneticPr fontId="2" type="noConversion"/>
  </si>
  <si>
    <t>'24.07월 유기성고형연료</t>
    <phoneticPr fontId="2" type="noConversion"/>
  </si>
  <si>
    <t>신진가스텍주식회사</t>
  </si>
  <si>
    <t>하트아이앤씨(HART I&amp;C)</t>
  </si>
  <si>
    <t>주식회사그린종합시스템</t>
  </si>
  <si>
    <t>한일공조플랜트</t>
  </si>
  <si>
    <t>해태,롯데푸드빙과김천점</t>
  </si>
  <si>
    <t>장재수</t>
  </si>
  <si>
    <t>'24년 7월 귀속 원천세 납부(근로소득세)</t>
  </si>
  <si>
    <t>2024.07.31</t>
    <phoneticPr fontId="2" type="noConversion"/>
  </si>
  <si>
    <t>복합기 렌탈료('24.07, 신도리코)</t>
  </si>
  <si>
    <t>롤 티슈 외 구매('24.07, 동도상사)</t>
  </si>
  <si>
    <t>소모품 구매('24.07, 나진상사)</t>
  </si>
  <si>
    <t>2024년 07월 석회석(청주석회)</t>
  </si>
  <si>
    <t>2024년 07월 Ash(동성화물자동차)</t>
  </si>
  <si>
    <t>실험실 분석용 가스</t>
  </si>
  <si>
    <t>용역료 외('24.07. 대선)</t>
  </si>
  <si>
    <t>2024년 07월 수처리 약품(Veolia)</t>
  </si>
  <si>
    <t>24년 7월 보건관리 대행 대금 지급 건</t>
  </si>
  <si>
    <t>24년 7월 안전관리대행 대금 지급</t>
  </si>
  <si>
    <t>소모품 구매('24.07, 한국테크원)</t>
  </si>
  <si>
    <t>2024년 07월 Ash(아세아시멘트)</t>
  </si>
  <si>
    <t>24년 7월 폐기물 수집/운반 및 처리 대금 지급 건</t>
  </si>
  <si>
    <t>소각열수열대금(7월)</t>
  </si>
  <si>
    <t>승강기 유지보수료(7월, 바론엘레베이터)</t>
  </si>
  <si>
    <t>유류대('24.07, 공단주유소)</t>
  </si>
  <si>
    <t>더존 아이큐브 클라우드서비스 이용료(2024년7월)</t>
  </si>
  <si>
    <t>'24년 3분기 O&amp;M대금</t>
  </si>
  <si>
    <t>Furnace Temp 측정용 Thermocouple &amp; Well</t>
  </si>
  <si>
    <t>2024년 07월 슬라임제어제(쿠리타한수)</t>
  </si>
  <si>
    <t>2024.07.19</t>
    <phoneticPr fontId="2" type="noConversion"/>
  </si>
  <si>
    <t>2024.07.29</t>
    <phoneticPr fontId="2" type="noConversion"/>
  </si>
  <si>
    <t>2024.07.26</t>
    <phoneticPr fontId="2" type="noConversion"/>
  </si>
  <si>
    <t>2024.07.31</t>
    <phoneticPr fontId="2" type="noConversion"/>
  </si>
  <si>
    <t>2024.07.22</t>
    <phoneticPr fontId="2" type="noConversion"/>
  </si>
  <si>
    <t>2024.06.28</t>
    <phoneticPr fontId="2" type="noConversion"/>
  </si>
  <si>
    <t>Biomass 연료 저장, 공급시설 증설공사 취득세 및 농특세</t>
    <phoneticPr fontId="2" type="noConversion"/>
  </si>
  <si>
    <t>'24년 7월 지역자원시설세</t>
  </si>
  <si>
    <t>'24년 7월 귀속 원천세 납부(지방소득세)</t>
  </si>
  <si>
    <t>'24년 7월 용수비 계상</t>
  </si>
  <si>
    <t>소내 방역('24.07, 그린종합시스템)</t>
  </si>
  <si>
    <t>소내 냉난방기 유지보수료('24.07, 한일공조플랜트)</t>
  </si>
  <si>
    <t>2024.07.22</t>
    <phoneticPr fontId="2" type="noConversion"/>
  </si>
  <si>
    <t>사업자유형별분류지원서비스(7월)</t>
  </si>
  <si>
    <t>대리운전 수수료 지급('24.07, 구미대리운전)</t>
  </si>
  <si>
    <t>2024.07.26</t>
    <phoneticPr fontId="2" type="noConversion"/>
  </si>
  <si>
    <t>'24년 07월 재 분석비용 지급</t>
  </si>
  <si>
    <t>2024.07.24</t>
    <phoneticPr fontId="2" type="noConversion"/>
  </si>
  <si>
    <t>네트워크 유지보수료(7월, 에버이엔씨)</t>
  </si>
  <si>
    <t>2024년 07월 암모니아수(진영케미칼)</t>
  </si>
  <si>
    <t>07.25~26, 국내출장-여비교통비(효성 굿스프링스 펌프 기술교류회)</t>
  </si>
  <si>
    <t>정수기,비데 렌탈료('24.07, 정수기나라)</t>
  </si>
  <si>
    <t>2024.07.21</t>
    <phoneticPr fontId="2" type="noConversion"/>
  </si>
  <si>
    <t>생수 구매('24.07, 한가람유통)</t>
  </si>
  <si>
    <t>2024.07.30</t>
    <phoneticPr fontId="2" type="noConversion"/>
  </si>
  <si>
    <t>2024년 07월 Ash(새하마노)</t>
  </si>
  <si>
    <t>식대('24.07, 토마토푸드)</t>
  </si>
  <si>
    <t>2024년 07월 발전소 유지보수 업무대행료(한파워)</t>
  </si>
  <si>
    <t>2024년 07월 Ash(남해종합환경)</t>
  </si>
  <si>
    <t>빙과류 구매('24.07, 롯데푸드 김천점)</t>
  </si>
  <si>
    <t>2024.07.29</t>
    <phoneticPr fontId="2" type="noConversion"/>
  </si>
  <si>
    <t>24년 7월 CEMS 유지보수 대금 지급 외</t>
    <phoneticPr fontId="2" type="noConversion"/>
  </si>
  <si>
    <t>2024.07.31</t>
    <phoneticPr fontId="2" type="noConversion"/>
  </si>
  <si>
    <t>2024년 07월 Ash(세양종합물류)</t>
  </si>
  <si>
    <t>2024.07.31</t>
    <phoneticPr fontId="2" type="noConversion"/>
  </si>
  <si>
    <t>24년 7월 폐기물 수집/운반 및 처리 대급 지급 건(한일정유)</t>
  </si>
  <si>
    <t>2024.07.05</t>
    <phoneticPr fontId="2" type="noConversion"/>
  </si>
  <si>
    <t>2024년 07월 Ash(보경INC)</t>
  </si>
  <si>
    <t>2024.07.31</t>
    <phoneticPr fontId="2" type="noConversion"/>
  </si>
  <si>
    <t>출장비정산(유연탄검수, 0730)-출장일당</t>
  </si>
  <si>
    <t xml:space="preserve">*차이분 조정(1,929,838원)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</si>
</sst>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\$#.00"/>
    <numFmt numFmtId="177" formatCode="%#.00"/>
    <numFmt numFmtId="178" formatCode="_-* #,##0_-;[Red]&quot;△&quot;#,##0_-;;"/>
    <numFmt numFmtId="179" formatCode="_ * #,##0.00_ ;_ * \-#,##0.00_ ;_ * &quot;-&quot;??_ ;_ @_ "/>
    <numFmt numFmtId="180" formatCode="#,##0_ "/>
    <numFmt numFmtId="181" formatCode="&quot;USD&quot;\ #,##0.00"/>
    <numFmt numFmtId="182" formatCode="_-* #,##0.00000_-;\-* #,##0.00000_-;_-* &quot;-&quot;_-;_-@_-"/>
    <numFmt numFmtId="183" formatCode="_-* #,##0.0000_-;\-* #,##0.0000_-;_-* &quot;-&quot;_-;_-@_-"/>
    <numFmt numFmtId="184" formatCode="yyyy&quot;년&quot;\ m&quot;월&quot;\ dd&quot;일&quot;"/>
    <numFmt numFmtId="185" formatCode="0_ "/>
    <numFmt numFmtId="186" formatCode="_-* #,##0.00_-;\-* #,##0.00_-;_-* &quot;-&quot;_-;_-@_-"/>
    <numFmt numFmtId="187" formatCode="#,##0_);[Red]\(#,##0\)"/>
    <numFmt numFmtId="188" formatCode="_-* #,##0.000_-;\-* #,##0.000_-;_-* &quot;-&quot;_-;_-@_-"/>
    <numFmt numFmtId="189" formatCode="0.0%"/>
    <numFmt numFmtId="190" formatCode="yy/mm"/>
    <numFmt numFmtId="191" formatCode="yyyy/mm/dd;;"/>
    <numFmt numFmtId="192" formatCode="0_);[Red]\(0\)"/>
    <numFmt numFmtId="193" formatCode="0.000%"/>
    <numFmt numFmtId="194" formatCode="yyyy\.mm\.dd"/>
    <numFmt numFmtId="195" formatCode="yy\.mm\.dd"/>
    <numFmt numFmtId="196" formatCode="_-* #,##0_-;\-* #,##0_-;_-* &quot;-&quot;??_-;_-@_-"/>
    <numFmt numFmtId="197" formatCode="#,##0_);\(#,##0\)"/>
    <numFmt numFmtId="198" formatCode="#&quot;월 2~4차분 전력요금&quot;"/>
    <numFmt numFmtId="199" formatCode="_(* #,##0.00_);_(* \(#,##0.00\);_(* &quot;-&quot;??_);_(@_)"/>
    <numFmt numFmtId="200" formatCode="_(* #,##0_);_(* \(#,##0\);_(* &quot;-&quot;_);_(@_)"/>
  </numFmts>
  <fonts count="155">
    <font>
      <sz val="11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color indexed="8"/>
      <name val="宋体"/>
      <family val="3"/>
      <charset val="129"/>
    </font>
    <font>
      <sz val="12"/>
      <color indexed="9"/>
      <name val="宋体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sz val="12"/>
      <color indexed="9"/>
      <name val="宋体"/>
      <family val="3"/>
      <charset val="129"/>
    </font>
    <font>
      <sz val="12"/>
      <color indexed="10"/>
      <name val="宋体"/>
      <family val="3"/>
      <charset val="129"/>
    </font>
    <font>
      <b/>
      <sz val="12"/>
      <color indexed="52"/>
      <name val="宋体"/>
      <family val="3"/>
      <charset val="129"/>
    </font>
    <font>
      <b/>
      <sz val="1"/>
      <color indexed="8"/>
      <name val="Courier"/>
      <family val="3"/>
    </font>
    <font>
      <sz val="12"/>
      <color indexed="60"/>
      <name val="宋体"/>
      <family val="3"/>
      <charset val="129"/>
    </font>
    <font>
      <sz val="14"/>
      <name val="뼻뮝"/>
      <family val="3"/>
      <charset val="129"/>
    </font>
    <font>
      <sz val="12"/>
      <color indexed="52"/>
      <name val="宋体"/>
      <family val="3"/>
      <charset val="129"/>
    </font>
    <font>
      <sz val="12"/>
      <name val="뼻뮝"/>
      <family val="1"/>
      <charset val="129"/>
    </font>
    <font>
      <sz val="12"/>
      <name val="宋体"/>
      <family val="3"/>
      <charset val="129"/>
    </font>
    <font>
      <sz val="12"/>
      <color indexed="62"/>
      <name val="宋体"/>
      <family val="3"/>
      <charset val="129"/>
    </font>
    <font>
      <b/>
      <sz val="12"/>
      <color indexed="63"/>
      <name val="宋体"/>
      <family val="3"/>
      <charset val="129"/>
    </font>
    <font>
      <b/>
      <sz val="12"/>
      <color indexed="16"/>
      <name val="굴림체"/>
      <family val="3"/>
      <charset val="129"/>
    </font>
    <font>
      <sz val="12"/>
      <color indexed="20"/>
      <name val="宋体"/>
      <family val="3"/>
      <charset val="129"/>
    </font>
    <font>
      <sz val="12"/>
      <color indexed="20"/>
      <name val="宋体"/>
      <family val="3"/>
      <charset val="255"/>
    </font>
    <font>
      <sz val="11"/>
      <name val="바탕"/>
      <family val="1"/>
      <charset val="129"/>
    </font>
    <font>
      <b/>
      <sz val="18"/>
      <color indexed="56"/>
      <name val="宋体"/>
      <family val="3"/>
      <charset val="129"/>
    </font>
    <font>
      <b/>
      <sz val="15"/>
      <color indexed="56"/>
      <name val="宋体"/>
      <family val="3"/>
      <charset val="129"/>
    </font>
    <font>
      <b/>
      <sz val="13"/>
      <color indexed="56"/>
      <name val="宋体"/>
      <family val="3"/>
      <charset val="129"/>
    </font>
    <font>
      <b/>
      <sz val="11"/>
      <color indexed="56"/>
      <name val="宋体"/>
      <family val="3"/>
      <charset val="129"/>
    </font>
    <font>
      <b/>
      <sz val="18"/>
      <color indexed="56"/>
      <name val="宋体"/>
      <family val="3"/>
      <charset val="255"/>
    </font>
    <font>
      <i/>
      <sz val="12"/>
      <color indexed="23"/>
      <name val="宋体"/>
      <family val="3"/>
      <charset val="129"/>
    </font>
    <font>
      <sz val="12"/>
      <color indexed="17"/>
      <name val="宋体"/>
      <family val="3"/>
      <charset val="129"/>
    </font>
    <font>
      <sz val="12"/>
      <color indexed="17"/>
      <name val="宋体"/>
      <family val="3"/>
      <charset val="255"/>
    </font>
    <font>
      <b/>
      <sz val="12"/>
      <color indexed="8"/>
      <name val="宋体"/>
      <family val="3"/>
      <charset val="129"/>
    </font>
    <font>
      <sz val="8"/>
      <name val="돋움"/>
      <family val="3"/>
      <charset val="129"/>
    </font>
    <font>
      <sz val="12"/>
      <color indexed="20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name val="굴림체"/>
      <family val="3"/>
      <charset val="129"/>
    </font>
    <font>
      <sz val="10"/>
      <name val="MS Sans Serif"/>
      <family val="2"/>
    </font>
    <font>
      <sz val="12"/>
      <name val="굴림체"/>
      <family val="3"/>
      <charset val="129"/>
    </font>
    <font>
      <sz val="10"/>
      <name val="PragmaticaCTT"/>
      <family val="2"/>
      <charset val="204"/>
    </font>
    <font>
      <sz val="12"/>
      <color indexed="20"/>
      <name val="宋体"/>
      <family val="3"/>
      <charset val="255"/>
    </font>
    <font>
      <sz val="12"/>
      <color indexed="17"/>
      <name val="宋体"/>
      <family val="3"/>
      <charset val="255"/>
    </font>
    <font>
      <b/>
      <sz val="18"/>
      <color indexed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1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u val="singleAccounting"/>
      <sz val="10"/>
      <color rgb="FFFF000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u val="singleAccounting"/>
      <sz val="1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20"/>
      <color indexed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sz val="20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b/>
      <sz val="16"/>
      <color indexed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8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indexed="8"/>
      <name val="宋体"/>
      <family val="3"/>
      <charset val="255"/>
    </font>
    <font>
      <sz val="12"/>
      <color indexed="9"/>
      <name val="宋体"/>
      <family val="3"/>
      <charset val="255"/>
    </font>
    <font>
      <b/>
      <sz val="12"/>
      <color indexed="9"/>
      <name val="宋体"/>
      <family val="3"/>
      <charset val="255"/>
    </font>
    <font>
      <sz val="12"/>
      <color indexed="10"/>
      <name val="宋体"/>
      <family val="3"/>
      <charset val="255"/>
    </font>
    <font>
      <b/>
      <sz val="12"/>
      <color indexed="52"/>
      <name val="宋体"/>
      <family val="3"/>
      <charset val="255"/>
    </font>
    <font>
      <sz val="12"/>
      <color indexed="60"/>
      <name val="宋体"/>
      <family val="3"/>
      <charset val="255"/>
    </font>
    <font>
      <sz val="12"/>
      <color indexed="52"/>
      <name val="宋体"/>
      <family val="3"/>
      <charset val="255"/>
    </font>
    <font>
      <sz val="12"/>
      <name val="宋体"/>
      <family val="3"/>
      <charset val="255"/>
    </font>
    <font>
      <sz val="12"/>
      <color indexed="62"/>
      <name val="宋体"/>
      <family val="3"/>
      <charset val="255"/>
    </font>
    <font>
      <b/>
      <sz val="12"/>
      <color indexed="63"/>
      <name val="宋体"/>
      <family val="3"/>
      <charset val="255"/>
    </font>
    <font>
      <sz val="12"/>
      <color indexed="20"/>
      <name val="宋体"/>
      <family val="3"/>
      <charset val="255"/>
    </font>
    <font>
      <b/>
      <sz val="18"/>
      <color indexed="56"/>
      <name val="宋体"/>
      <family val="3"/>
      <charset val="255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i/>
      <sz val="12"/>
      <color indexed="23"/>
      <name val="宋体"/>
      <family val="3"/>
      <charset val="255"/>
    </font>
    <font>
      <sz val="12"/>
      <color indexed="17"/>
      <name val="宋体"/>
      <family val="3"/>
      <charset val="255"/>
    </font>
    <font>
      <b/>
      <sz val="12"/>
      <color indexed="8"/>
      <name val="宋体"/>
      <family val="3"/>
      <charset val="255"/>
    </font>
    <font>
      <sz val="9"/>
      <color rgb="FFFF0000"/>
      <name val="맑은 고딕"/>
      <family val="3"/>
      <charset val="129"/>
      <scheme val="minor"/>
    </font>
    <font>
      <sz val="12"/>
      <color indexed="9"/>
      <name val="宋体"/>
      <family val="3"/>
      <charset val="255"/>
    </font>
    <font>
      <b/>
      <sz val="12"/>
      <color indexed="9"/>
      <name val="宋体"/>
      <family val="3"/>
      <charset val="255"/>
    </font>
    <font>
      <sz val="12"/>
      <color indexed="10"/>
      <name val="宋体"/>
      <family val="3"/>
      <charset val="255"/>
    </font>
    <font>
      <b/>
      <sz val="12"/>
      <color indexed="52"/>
      <name val="宋体"/>
      <family val="3"/>
      <charset val="255"/>
    </font>
    <font>
      <sz val="12"/>
      <color indexed="60"/>
      <name val="宋体"/>
      <family val="3"/>
      <charset val="255"/>
    </font>
    <font>
      <sz val="12"/>
      <color indexed="52"/>
      <name val="宋体"/>
      <family val="3"/>
      <charset val="255"/>
    </font>
    <font>
      <sz val="12"/>
      <name val="宋体"/>
      <family val="3"/>
      <charset val="255"/>
    </font>
    <font>
      <sz val="12"/>
      <color indexed="62"/>
      <name val="宋体"/>
      <family val="3"/>
      <charset val="255"/>
    </font>
    <font>
      <b/>
      <sz val="12"/>
      <color indexed="63"/>
      <name val="宋体"/>
      <family val="3"/>
      <charset val="255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i/>
      <sz val="12"/>
      <color indexed="23"/>
      <name val="宋体"/>
      <family val="3"/>
      <charset val="255"/>
    </font>
    <font>
      <b/>
      <sz val="12"/>
      <color indexed="8"/>
      <name val="宋体"/>
      <family val="3"/>
      <charset val="255"/>
    </font>
    <font>
      <b/>
      <u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indexed="8"/>
      <name val="굴림체"/>
      <family val="3"/>
      <charset val="129"/>
    </font>
    <font>
      <b/>
      <sz val="13"/>
      <color theme="1"/>
      <name val="맑은 고딕"/>
      <family val="3"/>
      <charset val="129"/>
      <scheme val="minor"/>
    </font>
    <font>
      <b/>
      <u/>
      <sz val="9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u val="singleAccounting"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u val="singleAccounting"/>
      <sz val="9"/>
      <color theme="1"/>
      <name val="맑은 고딕"/>
      <family val="3"/>
      <charset val="129"/>
      <scheme val="minor"/>
    </font>
    <font>
      <b/>
      <u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rgb="FFFF000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rgb="FFFF0000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</fonts>
  <fills count="7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15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auto="1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hair">
        <color indexed="64"/>
      </bottom>
      <diagonal/>
    </border>
    <border>
      <left/>
      <right style="thin">
        <color indexed="8"/>
      </right>
      <top style="thin">
        <color indexed="8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double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/>
      <top style="double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double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indexed="64"/>
      </bottom>
      <diagonal/>
    </border>
    <border>
      <left style="hair">
        <color auto="1"/>
      </left>
      <right/>
      <top style="double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/>
      <right style="hair">
        <color auto="1"/>
      </right>
      <top style="double">
        <color auto="1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medium">
        <color indexed="64"/>
      </bottom>
      <diagonal/>
    </border>
    <border>
      <left style="hair">
        <color auto="1"/>
      </left>
      <right/>
      <top style="double">
        <color auto="1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medium">
        <color indexed="64"/>
      </bottom>
      <diagonal/>
    </border>
    <border>
      <left/>
      <right style="hair">
        <color auto="1"/>
      </right>
      <top style="double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double">
        <color auto="1"/>
      </top>
      <bottom style="medium">
        <color indexed="64"/>
      </bottom>
      <diagonal/>
    </border>
    <border>
      <left/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8"/>
      </right>
      <top style="thin">
        <color indexed="8"/>
      </top>
      <bottom/>
      <diagonal/>
    </border>
    <border>
      <left style="thin">
        <color indexed="64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64"/>
      </right>
      <top/>
      <bottom style="hair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8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/>
      <bottom style="hair">
        <color indexed="8"/>
      </bottom>
      <diagonal/>
    </border>
    <border>
      <left style="hair">
        <color indexed="64"/>
      </left>
      <right style="thin">
        <color indexed="8"/>
      </right>
      <top/>
      <bottom style="hair">
        <color indexed="8"/>
      </bottom>
      <diagonal/>
    </border>
    <border>
      <left style="hair">
        <color indexed="64"/>
      </left>
      <right style="hair">
        <color indexed="8"/>
      </right>
      <top/>
      <bottom style="hair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64"/>
      </bottom>
      <diagonal/>
    </border>
    <border>
      <left/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64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/>
      <top style="hair">
        <color indexed="64"/>
      </top>
      <bottom style="hair">
        <color indexed="8"/>
      </bottom>
      <diagonal/>
    </border>
    <border>
      <left/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/>
      <diagonal/>
    </border>
    <border>
      <left/>
      <right style="thin">
        <color indexed="8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theme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auto="1"/>
      </bottom>
      <diagonal/>
    </border>
    <border>
      <left/>
      <right style="thin">
        <color auto="1"/>
      </right>
      <top style="hair">
        <color indexed="8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8"/>
      </bottom>
      <diagonal/>
    </border>
    <border>
      <left/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362">
    <xf numFmtId="0" fontId="0" fillId="0" borderId="0">
      <alignment vertical="center"/>
    </xf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3" fontId="1" fillId="0" borderId="0"/>
    <xf numFmtId="0" fontId="5" fillId="0" borderId="0"/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/>
    <xf numFmtId="4" fontId="9" fillId="0" borderId="0">
      <protection locked="0"/>
    </xf>
    <xf numFmtId="4" fontId="9" fillId="0" borderId="0">
      <protection locked="0"/>
    </xf>
    <xf numFmtId="176" fontId="9" fillId="0" borderId="0">
      <protection locked="0"/>
    </xf>
    <xf numFmtId="176" fontId="9" fillId="0" borderId="0">
      <protection locked="0"/>
    </xf>
    <xf numFmtId="38" fontId="11" fillId="16" borderId="0" applyNumberFormat="0" applyBorder="0" applyAlignment="0" applyProtection="0"/>
    <xf numFmtId="0" fontId="12" fillId="0" borderId="0">
      <alignment horizontal="left"/>
    </xf>
    <xf numFmtId="0" fontId="13" fillId="0" borderId="7" applyNumberFormat="0" applyAlignment="0" applyProtection="0">
      <alignment horizontal="left" vertical="center"/>
    </xf>
    <xf numFmtId="0" fontId="13" fillId="0" borderId="8">
      <alignment horizontal="left" vertical="center"/>
    </xf>
    <xf numFmtId="10" fontId="11" fillId="16" borderId="9" applyNumberFormat="0" applyBorder="0" applyAlignment="0" applyProtection="0"/>
    <xf numFmtId="0" fontId="14" fillId="0" borderId="10"/>
    <xf numFmtId="0" fontId="4" fillId="0" borderId="0"/>
    <xf numFmtId="0" fontId="10" fillId="0" borderId="0"/>
    <xf numFmtId="177" fontId="9" fillId="0" borderId="0">
      <protection locked="0"/>
    </xf>
    <xf numFmtId="10" fontId="10" fillId="0" borderId="0" applyFont="0" applyFill="0" applyBorder="0" applyAlignment="0" applyProtection="0"/>
    <xf numFmtId="177" fontId="9" fillId="0" borderId="0">
      <protection locked="0"/>
    </xf>
    <xf numFmtId="0" fontId="14" fillId="0" borderId="0"/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21" borderId="1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12" applyNumberFormat="0" applyAlignment="0" applyProtection="0">
      <alignment vertical="center"/>
    </xf>
    <xf numFmtId="0" fontId="5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9" fillId="23" borderId="0" applyNumberFormat="0" applyBorder="0" applyAlignment="0" applyProtection="0">
      <alignment vertical="center"/>
    </xf>
    <xf numFmtId="178" fontId="1" fillId="24" borderId="13" applyFont="0" applyFill="0" applyBorder="0" applyProtection="0">
      <alignment horizontal="right" vertical="center" shrinkToFit="1"/>
    </xf>
    <xf numFmtId="0" fontId="9" fillId="0" borderId="0">
      <protection locked="0"/>
    </xf>
    <xf numFmtId="0" fontId="9" fillId="0" borderId="0">
      <protection locked="0"/>
    </xf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21" fillId="0" borderId="14" applyNumberFormat="0" applyFill="0" applyAlignment="0" applyProtection="0">
      <alignment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0" borderId="0"/>
    <xf numFmtId="0" fontId="23" fillId="0" borderId="0"/>
    <xf numFmtId="0" fontId="23" fillId="0" borderId="0"/>
    <xf numFmtId="0" fontId="23" fillId="0" borderId="0"/>
    <xf numFmtId="0" fontId="24" fillId="7" borderId="12" applyNumberFormat="0" applyAlignment="0" applyProtection="0">
      <alignment vertical="center"/>
    </xf>
    <xf numFmtId="0" fontId="25" fillId="22" borderId="15" applyNumberFormat="0" applyAlignment="0" applyProtection="0">
      <alignment vertical="center"/>
    </xf>
    <xf numFmtId="0" fontId="26" fillId="0" borderId="0">
      <alignment vertical="center"/>
    </xf>
    <xf numFmtId="41" fontId="4" fillId="0" borderId="0" applyFont="0" applyFill="0" applyBorder="0" applyAlignment="0" applyProtection="0"/>
    <xf numFmtId="4" fontId="9" fillId="0" borderId="0">
      <protection locked="0"/>
    </xf>
    <xf numFmtId="0" fontId="5" fillId="0" borderId="0">
      <protection locked="0"/>
    </xf>
    <xf numFmtId="0" fontId="23" fillId="25" borderId="16" applyNumberFormat="0" applyFont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179" fontId="23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9" fillId="0" borderId="17" applyNumberFormat="0" applyFont="0" applyFill="0" applyAlignment="0" applyProtection="0">
      <alignment vertical="center"/>
    </xf>
    <xf numFmtId="0" fontId="5" fillId="0" borderId="0">
      <protection locked="0"/>
    </xf>
    <xf numFmtId="0" fontId="30" fillId="0" borderId="0" applyNumberForma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0" borderId="0"/>
    <xf numFmtId="0" fontId="9" fillId="0" borderId="21">
      <protection locked="0"/>
    </xf>
    <xf numFmtId="0" fontId="35" fillId="0" borderId="0" applyNumberFormat="0" applyFill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5" fillId="0" borderId="0">
      <protection locked="0"/>
    </xf>
    <xf numFmtId="0" fontId="5" fillId="0" borderId="0">
      <protection locked="0"/>
    </xf>
    <xf numFmtId="0" fontId="38" fillId="0" borderId="22" applyNumberFormat="0" applyFill="0" applyAlignment="0" applyProtection="0">
      <alignment vertical="center"/>
    </xf>
    <xf numFmtId="3" fontId="1" fillId="0" borderId="0"/>
    <xf numFmtId="0" fontId="40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3" fontId="1" fillId="0" borderId="0"/>
    <xf numFmtId="9" fontId="42" fillId="0" borderId="0" applyFont="0" applyFill="0" applyBorder="0" applyAlignment="0" applyProtection="0"/>
    <xf numFmtId="38" fontId="43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45" fillId="0" borderId="0"/>
    <xf numFmtId="0" fontId="27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3" fontId="1" fillId="0" borderId="0"/>
    <xf numFmtId="9" fontId="42" fillId="0" borderId="0" applyFont="0" applyFill="0" applyBorder="0" applyAlignment="0" applyProtection="0"/>
    <xf numFmtId="0" fontId="55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0" fontId="55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05" applyNumberFormat="0" applyFill="0" applyAlignment="0" applyProtection="0">
      <alignment vertical="center"/>
    </xf>
    <xf numFmtId="0" fontId="73" fillId="0" borderId="106" applyNumberFormat="0" applyFill="0" applyAlignment="0" applyProtection="0">
      <alignment vertical="center"/>
    </xf>
    <xf numFmtId="0" fontId="74" fillId="0" borderId="107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78" fillId="31" borderId="108" applyNumberFormat="0" applyAlignment="0" applyProtection="0">
      <alignment vertical="center"/>
    </xf>
    <xf numFmtId="0" fontId="79" fillId="32" borderId="109" applyNumberFormat="0" applyAlignment="0" applyProtection="0">
      <alignment vertical="center"/>
    </xf>
    <xf numFmtId="0" fontId="80" fillId="32" borderId="108" applyNumberFormat="0" applyAlignment="0" applyProtection="0">
      <alignment vertical="center"/>
    </xf>
    <xf numFmtId="0" fontId="81" fillId="0" borderId="110" applyNumberFormat="0" applyFill="0" applyAlignment="0" applyProtection="0">
      <alignment vertical="center"/>
    </xf>
    <xf numFmtId="0" fontId="82" fillId="33" borderId="111" applyNumberForma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55" fillId="34" borderId="112" applyNumberFormat="0" applyFon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13" applyNumberFormat="0" applyFill="0" applyAlignment="0" applyProtection="0">
      <alignment vertical="center"/>
    </xf>
    <xf numFmtId="0" fontId="86" fillId="35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86" fillId="38" borderId="0" applyNumberFormat="0" applyBorder="0" applyAlignment="0" applyProtection="0">
      <alignment vertical="center"/>
    </xf>
    <xf numFmtId="0" fontId="86" fillId="39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86" fillId="42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86" fillId="46" borderId="0" applyNumberFormat="0" applyBorder="0" applyAlignment="0" applyProtection="0">
      <alignment vertical="center"/>
    </xf>
    <xf numFmtId="0" fontId="86" fillId="4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86" fillId="50" borderId="0" applyNumberFormat="0" applyBorder="0" applyAlignment="0" applyProtection="0">
      <alignment vertical="center"/>
    </xf>
    <xf numFmtId="0" fontId="86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86" fillId="54" borderId="0" applyNumberFormat="0" applyBorder="0" applyAlignment="0" applyProtection="0">
      <alignment vertical="center"/>
    </xf>
    <xf numFmtId="0" fontId="86" fillId="55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86" fillId="5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41" fontId="55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" fillId="0" borderId="0"/>
    <xf numFmtId="0" fontId="91" fillId="0" borderId="0">
      <alignment vertical="center"/>
    </xf>
    <xf numFmtId="41" fontId="4" fillId="0" borderId="0" applyFont="0" applyFill="0" applyBorder="0" applyAlignment="0" applyProtection="0"/>
    <xf numFmtId="0" fontId="13" fillId="0" borderId="127">
      <alignment horizontal="left" vertical="center"/>
    </xf>
    <xf numFmtId="10" fontId="11" fillId="16" borderId="226" applyNumberFormat="0" applyBorder="0" applyAlignment="0" applyProtection="0"/>
    <xf numFmtId="0" fontId="14" fillId="0" borderId="81"/>
    <xf numFmtId="0" fontId="15" fillId="21" borderId="236" applyNumberFormat="0" applyAlignment="0" applyProtection="0">
      <alignment vertical="center"/>
    </xf>
    <xf numFmtId="0" fontId="17" fillId="22" borderId="237" applyNumberFormat="0" applyAlignment="0" applyProtection="0">
      <alignment vertical="center"/>
    </xf>
    <xf numFmtId="0" fontId="24" fillId="7" borderId="237" applyNumberFormat="0" applyAlignment="0" applyProtection="0">
      <alignment vertical="center"/>
    </xf>
    <xf numFmtId="0" fontId="25" fillId="22" borderId="238" applyNumberFormat="0" applyAlignment="0" applyProtection="0">
      <alignment vertical="center"/>
    </xf>
    <xf numFmtId="41" fontId="4" fillId="0" borderId="0" applyFont="0" applyFill="0" applyBorder="0" applyAlignment="0" applyProtection="0"/>
    <xf numFmtId="0" fontId="23" fillId="25" borderId="239" applyNumberFormat="0" applyFont="0" applyAlignment="0" applyProtection="0">
      <alignment vertical="center"/>
    </xf>
    <xf numFmtId="0" fontId="29" fillId="0" borderId="217" applyNumberFormat="0" applyFont="0" applyFill="0" applyAlignment="0" applyProtection="0">
      <alignment vertical="center"/>
    </xf>
    <xf numFmtId="0" fontId="9" fillId="0" borderId="240">
      <protection locked="0"/>
    </xf>
    <xf numFmtId="0" fontId="38" fillId="0" borderId="241" applyNumberFormat="0" applyFill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9" fillId="0" borderId="243">
      <protection locked="0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91" fillId="0" borderId="0" applyFont="0" applyFill="0" applyBorder="0" applyAlignment="0" applyProtection="0">
      <alignment vertical="center"/>
    </xf>
    <xf numFmtId="9" fontId="91" fillId="0" borderId="0" applyFont="0" applyFill="0" applyBorder="0" applyAlignment="0" applyProtection="0">
      <alignment vertical="center"/>
    </xf>
    <xf numFmtId="0" fontId="103" fillId="2" borderId="0" applyNumberFormat="0" applyBorder="0" applyAlignment="0" applyProtection="0">
      <alignment vertical="center"/>
    </xf>
    <xf numFmtId="0" fontId="103" fillId="3" borderId="0" applyNumberFormat="0" applyBorder="0" applyAlignment="0" applyProtection="0">
      <alignment vertical="center"/>
    </xf>
    <xf numFmtId="0" fontId="103" fillId="4" borderId="0" applyNumberFormat="0" applyBorder="0" applyAlignment="0" applyProtection="0">
      <alignment vertical="center"/>
    </xf>
    <xf numFmtId="0" fontId="103" fillId="5" borderId="0" applyNumberFormat="0" applyBorder="0" applyAlignment="0" applyProtection="0">
      <alignment vertical="center"/>
    </xf>
    <xf numFmtId="0" fontId="103" fillId="6" borderId="0" applyNumberFormat="0" applyBorder="0" applyAlignment="0" applyProtection="0">
      <alignment vertical="center"/>
    </xf>
    <xf numFmtId="0" fontId="103" fillId="7" borderId="0" applyNumberFormat="0" applyBorder="0" applyAlignment="0" applyProtection="0">
      <alignment vertical="center"/>
    </xf>
    <xf numFmtId="0" fontId="103" fillId="8" borderId="0" applyNumberFormat="0" applyBorder="0" applyAlignment="0" applyProtection="0">
      <alignment vertical="center"/>
    </xf>
    <xf numFmtId="0" fontId="103" fillId="9" borderId="0" applyNumberFormat="0" applyBorder="0" applyAlignment="0" applyProtection="0">
      <alignment vertical="center"/>
    </xf>
    <xf numFmtId="0" fontId="103" fillId="10" borderId="0" applyNumberFormat="0" applyBorder="0" applyAlignment="0" applyProtection="0">
      <alignment vertical="center"/>
    </xf>
    <xf numFmtId="0" fontId="103" fillId="5" borderId="0" applyNumberFormat="0" applyBorder="0" applyAlignment="0" applyProtection="0">
      <alignment vertical="center"/>
    </xf>
    <xf numFmtId="0" fontId="103" fillId="8" borderId="0" applyNumberFormat="0" applyBorder="0" applyAlignment="0" applyProtection="0">
      <alignment vertical="center"/>
    </xf>
    <xf numFmtId="0" fontId="103" fillId="11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20" borderId="0" applyNumberFormat="0" applyBorder="0" applyAlignment="0" applyProtection="0">
      <alignment vertical="center"/>
    </xf>
    <xf numFmtId="0" fontId="105" fillId="21" borderId="236" applyNumberFormat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22" borderId="237" applyNumberFormat="0" applyAlignment="0" applyProtection="0">
      <alignment vertical="center"/>
    </xf>
    <xf numFmtId="0" fontId="108" fillId="23" borderId="0" applyNumberFormat="0" applyBorder="0" applyAlignment="0" applyProtection="0">
      <alignment vertical="center"/>
    </xf>
    <xf numFmtId="0" fontId="109" fillId="0" borderId="14" applyNumberFormat="0" applyFill="0" applyAlignment="0" applyProtection="0">
      <alignment vertical="center"/>
    </xf>
    <xf numFmtId="0" fontId="110" fillId="0" borderId="0"/>
    <xf numFmtId="0" fontId="110" fillId="0" borderId="0"/>
    <xf numFmtId="0" fontId="111" fillId="7" borderId="237" applyNumberFormat="0" applyAlignment="0" applyProtection="0">
      <alignment vertical="center"/>
    </xf>
    <xf numFmtId="0" fontId="112" fillId="22" borderId="238" applyNumberFormat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91" fillId="0" borderId="0" applyFont="0" applyFill="0" applyBorder="0" applyAlignment="0" applyProtection="0">
      <alignment vertical="center"/>
    </xf>
    <xf numFmtId="41" fontId="9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91" fillId="0" borderId="0" applyFont="0" applyFill="0" applyBorder="0" applyAlignment="0" applyProtection="0">
      <alignment vertical="center"/>
    </xf>
    <xf numFmtId="41" fontId="91" fillId="0" borderId="0" applyFont="0" applyFill="0" applyBorder="0" applyAlignment="0" applyProtection="0">
      <alignment vertical="center"/>
    </xf>
    <xf numFmtId="41" fontId="91" fillId="0" borderId="0" applyFont="0" applyFill="0" applyBorder="0" applyAlignment="0" applyProtection="0">
      <alignment vertical="center"/>
    </xf>
    <xf numFmtId="41" fontId="91" fillId="0" borderId="0" applyFont="0" applyFill="0" applyBorder="0" applyAlignment="0" applyProtection="0">
      <alignment vertical="center"/>
    </xf>
    <xf numFmtId="0" fontId="110" fillId="25" borderId="239" applyNumberFormat="0" applyFont="0" applyAlignment="0" applyProtection="0">
      <alignment vertical="center"/>
    </xf>
    <xf numFmtId="0" fontId="113" fillId="3" borderId="0" applyNumberFormat="0" applyBorder="0" applyAlignment="0" applyProtection="0">
      <alignment vertical="center"/>
    </xf>
    <xf numFmtId="0" fontId="113" fillId="3" borderId="0" applyNumberFormat="0" applyBorder="0" applyAlignment="0" applyProtection="0">
      <alignment vertical="center"/>
    </xf>
    <xf numFmtId="0" fontId="113" fillId="3" borderId="0" applyNumberFormat="0" applyBorder="0" applyAlignment="0" applyProtection="0">
      <alignment vertical="center"/>
    </xf>
    <xf numFmtId="0" fontId="113" fillId="3" borderId="0" applyNumberFormat="0" applyBorder="0" applyAlignment="0" applyProtection="0">
      <alignment vertical="center"/>
    </xf>
    <xf numFmtId="0" fontId="113" fillId="3" borderId="0" applyNumberFormat="0" applyBorder="0" applyAlignment="0" applyProtection="0">
      <alignment vertical="center"/>
    </xf>
    <xf numFmtId="0" fontId="113" fillId="3" borderId="0" applyNumberFormat="0" applyBorder="0" applyAlignment="0" applyProtection="0">
      <alignment vertical="center"/>
    </xf>
    <xf numFmtId="0" fontId="113" fillId="3" borderId="0" applyNumberFormat="0" applyBorder="0" applyAlignment="0" applyProtection="0">
      <alignment vertical="center"/>
    </xf>
    <xf numFmtId="0" fontId="113" fillId="3" borderId="0" applyNumberFormat="0" applyBorder="0" applyAlignment="0" applyProtection="0">
      <alignment vertical="center"/>
    </xf>
    <xf numFmtId="0" fontId="113" fillId="3" borderId="0" applyNumberFormat="0" applyBorder="0" applyAlignment="0" applyProtection="0">
      <alignment vertical="center"/>
    </xf>
    <xf numFmtId="0" fontId="113" fillId="3" borderId="0" applyNumberFormat="0" applyBorder="0" applyAlignment="0" applyProtection="0">
      <alignment vertical="center"/>
    </xf>
    <xf numFmtId="179" fontId="110" fillId="0" borderId="0" applyFont="0" applyFill="0" applyBorder="0" applyAlignment="0" applyProtection="0"/>
    <xf numFmtId="0" fontId="29" fillId="0" borderId="353" applyNumberFormat="0" applyFont="0" applyFill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18" applyNumberFormat="0" applyFill="0" applyAlignment="0" applyProtection="0">
      <alignment vertical="center"/>
    </xf>
    <xf numFmtId="0" fontId="116" fillId="0" borderId="19" applyNumberFormat="0" applyFill="0" applyAlignment="0" applyProtection="0">
      <alignment vertical="center"/>
    </xf>
    <xf numFmtId="0" fontId="117" fillId="0" borderId="20" applyNumberFormat="0" applyFill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4" borderId="0" applyNumberFormat="0" applyBorder="0" applyAlignment="0" applyProtection="0">
      <alignment vertical="center"/>
    </xf>
    <xf numFmtId="0" fontId="119" fillId="4" borderId="0" applyNumberFormat="0" applyBorder="0" applyAlignment="0" applyProtection="0">
      <alignment vertical="center"/>
    </xf>
    <xf numFmtId="0" fontId="119" fillId="4" borderId="0" applyNumberFormat="0" applyBorder="0" applyAlignment="0" applyProtection="0">
      <alignment vertical="center"/>
    </xf>
    <xf numFmtId="0" fontId="119" fillId="4" borderId="0" applyNumberFormat="0" applyBorder="0" applyAlignment="0" applyProtection="0">
      <alignment vertical="center"/>
    </xf>
    <xf numFmtId="0" fontId="119" fillId="4" borderId="0" applyNumberFormat="0" applyBorder="0" applyAlignment="0" applyProtection="0">
      <alignment vertical="center"/>
    </xf>
    <xf numFmtId="0" fontId="119" fillId="4" borderId="0" applyNumberFormat="0" applyBorder="0" applyAlignment="0" applyProtection="0">
      <alignment vertical="center"/>
    </xf>
    <xf numFmtId="0" fontId="119" fillId="4" borderId="0" applyNumberFormat="0" applyBorder="0" applyAlignment="0" applyProtection="0">
      <alignment vertical="center"/>
    </xf>
    <xf numFmtId="0" fontId="119" fillId="4" borderId="0" applyNumberFormat="0" applyBorder="0" applyAlignment="0" applyProtection="0">
      <alignment vertical="center"/>
    </xf>
    <xf numFmtId="0" fontId="119" fillId="4" borderId="0" applyNumberFormat="0" applyBorder="0" applyAlignment="0" applyProtection="0">
      <alignment vertical="center"/>
    </xf>
    <xf numFmtId="0" fontId="119" fillId="4" borderId="0" applyNumberFormat="0" applyBorder="0" applyAlignment="0" applyProtection="0">
      <alignment vertical="center"/>
    </xf>
    <xf numFmtId="0" fontId="120" fillId="0" borderId="241" applyNumberFormat="0" applyFill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15" borderId="0" applyNumberFormat="0" applyBorder="0" applyAlignment="0" applyProtection="0">
      <alignment vertical="center"/>
    </xf>
    <xf numFmtId="10" fontId="11" fillId="16" borderId="388" applyNumberFormat="0" applyBorder="0" applyAlignment="0" applyProtection="0"/>
    <xf numFmtId="0" fontId="122" fillId="17" borderId="0" applyNumberFormat="0" applyBorder="0" applyAlignment="0" applyProtection="0">
      <alignment vertical="center"/>
    </xf>
    <xf numFmtId="0" fontId="122" fillId="18" borderId="0" applyNumberFormat="0" applyBorder="0" applyAlignment="0" applyProtection="0">
      <alignment vertical="center"/>
    </xf>
    <xf numFmtId="0" fontId="122" fillId="19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2" fillId="14" borderId="0" applyNumberFormat="0" applyBorder="0" applyAlignment="0" applyProtection="0">
      <alignment vertical="center"/>
    </xf>
    <xf numFmtId="0" fontId="122" fillId="20" borderId="0" applyNumberFormat="0" applyBorder="0" applyAlignment="0" applyProtection="0">
      <alignment vertical="center"/>
    </xf>
    <xf numFmtId="0" fontId="123" fillId="21" borderId="236" applyNumberFormat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22" borderId="237" applyNumberFormat="0" applyAlignment="0" applyProtection="0">
      <alignment vertical="center"/>
    </xf>
    <xf numFmtId="0" fontId="126" fillId="23" borderId="0" applyNumberFormat="0" applyBorder="0" applyAlignment="0" applyProtection="0">
      <alignment vertical="center"/>
    </xf>
    <xf numFmtId="0" fontId="127" fillId="0" borderId="14" applyNumberFormat="0" applyFill="0" applyAlignment="0" applyProtection="0">
      <alignment vertical="center"/>
    </xf>
    <xf numFmtId="9" fontId="91" fillId="0" borderId="0" applyFont="0" applyFill="0" applyBorder="0" applyAlignment="0" applyProtection="0">
      <alignment vertical="center"/>
    </xf>
    <xf numFmtId="0" fontId="128" fillId="0" borderId="0"/>
    <xf numFmtId="0" fontId="128" fillId="0" borderId="0"/>
    <xf numFmtId="0" fontId="129" fillId="7" borderId="237" applyNumberFormat="0" applyAlignment="0" applyProtection="0">
      <alignment vertical="center"/>
    </xf>
    <xf numFmtId="0" fontId="130" fillId="22" borderId="238" applyNumberFormat="0" applyAlignment="0" applyProtection="0">
      <alignment vertical="center"/>
    </xf>
    <xf numFmtId="41" fontId="9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91" fillId="0" borderId="0" applyFont="0" applyFill="0" applyBorder="0" applyAlignment="0" applyProtection="0">
      <alignment vertical="center"/>
    </xf>
    <xf numFmtId="41" fontId="9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0" fontId="128" fillId="25" borderId="239" applyNumberFormat="0" applyFon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179" fontId="128" fillId="0" borderId="0" applyFont="0" applyFill="0" applyBorder="0" applyAlignment="0" applyProtection="0"/>
    <xf numFmtId="0" fontId="29" fillId="0" borderId="377" applyNumberFormat="0" applyFon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1" fillId="0" borderId="18" applyNumberFormat="0" applyFill="0" applyAlignment="0" applyProtection="0">
      <alignment vertical="center"/>
    </xf>
    <xf numFmtId="0" fontId="132" fillId="0" borderId="19" applyNumberFormat="0" applyFill="0" applyAlignment="0" applyProtection="0">
      <alignment vertical="center"/>
    </xf>
    <xf numFmtId="0" fontId="133" fillId="0" borderId="20" applyNumberFormat="0" applyFill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91" fillId="0" borderId="0">
      <alignment vertical="center"/>
    </xf>
    <xf numFmtId="0" fontId="134" fillId="0" borderId="0" applyNumberFormat="0" applyFill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35" fillId="0" borderId="241" applyNumberFormat="0" applyFill="0" applyAlignment="0" applyProtection="0">
      <alignment vertical="center"/>
    </xf>
    <xf numFmtId="9" fontId="91" fillId="0" borderId="0" applyFon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40" fillId="0" borderId="0"/>
    <xf numFmtId="0" fontId="13" fillId="0" borderId="474">
      <alignment horizontal="left" vertical="center"/>
    </xf>
    <xf numFmtId="10" fontId="11" fillId="16" borderId="463" applyNumberFormat="0" applyBorder="0" applyAlignment="0" applyProtection="0"/>
    <xf numFmtId="0" fontId="110" fillId="25" borderId="490" applyNumberFormat="0" applyFont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91" fillId="0" borderId="0" applyFont="0" applyFill="0" applyBorder="0" applyAlignment="0" applyProtection="0">
      <alignment vertical="center"/>
    </xf>
    <xf numFmtId="41" fontId="9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91" fillId="0" borderId="0" applyFont="0" applyFill="0" applyBorder="0" applyAlignment="0" applyProtection="0">
      <alignment vertical="center"/>
    </xf>
    <xf numFmtId="41" fontId="91" fillId="0" borderId="0" applyFont="0" applyFill="0" applyBorder="0" applyAlignment="0" applyProtection="0">
      <alignment vertical="center"/>
    </xf>
    <xf numFmtId="41" fontId="91" fillId="0" borderId="0" applyFont="0" applyFill="0" applyBorder="0" applyAlignment="0" applyProtection="0">
      <alignment vertical="center"/>
    </xf>
    <xf numFmtId="41" fontId="91" fillId="0" borderId="0" applyFont="0" applyFill="0" applyBorder="0" applyAlignment="0" applyProtection="0">
      <alignment vertical="center"/>
    </xf>
    <xf numFmtId="0" fontId="29" fillId="0" borderId="465" applyNumberFormat="0" applyFont="0" applyFill="0" applyAlignment="0" applyProtection="0">
      <alignment vertical="center"/>
    </xf>
    <xf numFmtId="10" fontId="11" fillId="16" borderId="431" applyNumberFormat="0" applyBorder="0" applyAlignment="0" applyProtection="0"/>
    <xf numFmtId="0" fontId="13" fillId="0" borderId="433">
      <alignment horizontal="left" vertical="center"/>
    </xf>
    <xf numFmtId="43" fontId="55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41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199" fontId="55" fillId="0" borderId="0" applyFont="0" applyFill="0" applyBorder="0" applyAlignment="0" applyProtection="0">
      <alignment vertical="center"/>
    </xf>
    <xf numFmtId="200" fontId="4" fillId="0" borderId="0" applyFont="0" applyFill="0" applyBorder="0" applyAlignment="0" applyProtection="0"/>
    <xf numFmtId="0" fontId="10" fillId="0" borderId="0"/>
    <xf numFmtId="41" fontId="55" fillId="0" borderId="0" applyFont="0" applyFill="0" applyBorder="0" applyAlignment="0" applyProtection="0">
      <alignment vertical="center"/>
    </xf>
  </cellStyleXfs>
  <cellXfs count="2245">
    <xf numFmtId="0" fontId="0" fillId="0" borderId="0" xfId="0">
      <alignment vertical="center"/>
    </xf>
    <xf numFmtId="184" fontId="50" fillId="0" borderId="0" xfId="1" applyNumberFormat="1" applyFont="1" applyFill="1" applyAlignment="1">
      <alignment horizontal="left" vertical="center"/>
    </xf>
    <xf numFmtId="41" fontId="50" fillId="0" borderId="0" xfId="1" applyFont="1" applyFill="1" applyAlignment="1">
      <alignment vertical="center"/>
    </xf>
    <xf numFmtId="41" fontId="48" fillId="0" borderId="0" xfId="3" applyNumberFormat="1" applyFont="1" applyFill="1" applyAlignment="1">
      <alignment vertical="center"/>
    </xf>
    <xf numFmtId="41" fontId="49" fillId="0" borderId="0" xfId="3" applyNumberFormat="1" applyFont="1" applyFill="1" applyAlignment="1" applyProtection="1">
      <alignment vertical="center"/>
      <protection locked="0"/>
    </xf>
    <xf numFmtId="41" fontId="49" fillId="0" borderId="0" xfId="3" applyNumberFormat="1" applyFont="1" applyFill="1" applyAlignment="1" applyProtection="1">
      <alignment horizontal="center" vertical="center"/>
      <protection locked="0"/>
    </xf>
    <xf numFmtId="41" fontId="49" fillId="0" borderId="0" xfId="1" applyFont="1" applyFill="1" applyAlignment="1" applyProtection="1">
      <alignment vertical="center"/>
      <protection locked="0"/>
    </xf>
    <xf numFmtId="41" fontId="49" fillId="0" borderId="0" xfId="1" applyFont="1" applyFill="1" applyAlignment="1" applyProtection="1">
      <alignment horizontal="center" vertical="center"/>
      <protection locked="0"/>
    </xf>
    <xf numFmtId="41" fontId="50" fillId="0" borderId="0" xfId="3" applyNumberFormat="1" applyFont="1" applyFill="1" applyAlignment="1">
      <alignment vertical="center"/>
    </xf>
    <xf numFmtId="10" fontId="50" fillId="0" borderId="0" xfId="2" applyNumberFormat="1" applyFont="1" applyFill="1" applyAlignment="1" applyProtection="1">
      <alignment vertical="center"/>
      <protection locked="0"/>
    </xf>
    <xf numFmtId="10" fontId="50" fillId="0" borderId="0" xfId="2" applyNumberFormat="1" applyFont="1" applyFill="1" applyAlignment="1" applyProtection="1">
      <alignment horizontal="center" vertical="center"/>
      <protection locked="0"/>
    </xf>
    <xf numFmtId="41" fontId="50" fillId="0" borderId="0" xfId="3" applyNumberFormat="1" applyFont="1" applyFill="1" applyAlignment="1" applyProtection="1">
      <alignment vertical="center"/>
      <protection locked="0"/>
    </xf>
    <xf numFmtId="41" fontId="50" fillId="0" borderId="0" xfId="3" applyNumberFormat="1" applyFont="1" applyFill="1" applyAlignment="1">
      <alignment horizontal="right" vertical="center"/>
    </xf>
    <xf numFmtId="41" fontId="50" fillId="0" borderId="1" xfId="3" applyNumberFormat="1" applyFont="1" applyFill="1" applyBorder="1" applyAlignment="1">
      <alignment horizontal="center" vertical="center"/>
    </xf>
    <xf numFmtId="41" fontId="50" fillId="0" borderId="2" xfId="3" applyNumberFormat="1" applyFont="1" applyFill="1" applyBorder="1" applyAlignment="1">
      <alignment horizontal="center" vertical="center"/>
    </xf>
    <xf numFmtId="41" fontId="50" fillId="0" borderId="3" xfId="3" applyNumberFormat="1" applyFont="1" applyFill="1" applyBorder="1" applyAlignment="1">
      <alignment horizontal="center" vertical="center"/>
    </xf>
    <xf numFmtId="41" fontId="49" fillId="0" borderId="4" xfId="3" applyNumberFormat="1" applyFont="1" applyFill="1" applyBorder="1" applyAlignment="1">
      <alignment horizontal="left" vertical="center"/>
    </xf>
    <xf numFmtId="41" fontId="49" fillId="0" borderId="4" xfId="3" applyNumberFormat="1" applyFont="1" applyFill="1" applyBorder="1" applyAlignment="1">
      <alignment vertical="center"/>
    </xf>
    <xf numFmtId="41" fontId="49" fillId="0" borderId="4" xfId="3" applyNumberFormat="1" applyFont="1" applyFill="1" applyBorder="1" applyAlignment="1">
      <alignment horizontal="center" vertical="center"/>
    </xf>
    <xf numFmtId="41" fontId="49" fillId="0" borderId="5" xfId="3" applyNumberFormat="1" applyFont="1" applyFill="1" applyBorder="1" applyAlignment="1">
      <alignment vertical="center"/>
    </xf>
    <xf numFmtId="41" fontId="49" fillId="0" borderId="6" xfId="3" applyNumberFormat="1" applyFont="1" applyFill="1" applyBorder="1" applyAlignment="1">
      <alignment horizontal="left" vertical="center"/>
    </xf>
    <xf numFmtId="41" fontId="49" fillId="0" borderId="6" xfId="3" applyNumberFormat="1" applyFont="1" applyFill="1" applyBorder="1" applyAlignment="1">
      <alignment horizontal="right" vertical="center"/>
    </xf>
    <xf numFmtId="41" fontId="49" fillId="0" borderId="5" xfId="3" applyNumberFormat="1" applyFont="1" applyFill="1" applyBorder="1" applyAlignment="1">
      <alignment horizontal="right" vertical="center"/>
    </xf>
    <xf numFmtId="41" fontId="49" fillId="0" borderId="5" xfId="3" applyNumberFormat="1" applyFont="1" applyFill="1" applyBorder="1" applyAlignment="1">
      <alignment horizontal="center" vertical="center"/>
    </xf>
    <xf numFmtId="41" fontId="50" fillId="0" borderId="1" xfId="3" applyNumberFormat="1" applyFont="1" applyFill="1" applyBorder="1" applyAlignment="1">
      <alignment vertical="center"/>
    </xf>
    <xf numFmtId="41" fontId="50" fillId="0" borderId="2" xfId="3" applyNumberFormat="1" applyFont="1" applyFill="1" applyBorder="1" applyAlignment="1">
      <alignment horizontal="right" vertical="center"/>
    </xf>
    <xf numFmtId="41" fontId="50" fillId="0" borderId="2" xfId="3" applyNumberFormat="1" applyFont="1" applyFill="1" applyBorder="1" applyAlignment="1">
      <alignment vertical="center"/>
    </xf>
    <xf numFmtId="41" fontId="48" fillId="0" borderId="0" xfId="97" applyNumberFormat="1" applyFont="1" applyFill="1" applyAlignment="1">
      <alignment vertical="center"/>
    </xf>
    <xf numFmtId="41" fontId="51" fillId="0" borderId="0" xfId="97" applyNumberFormat="1" applyFont="1" applyFill="1" applyAlignment="1" applyProtection="1">
      <alignment vertical="center"/>
      <protection locked="0"/>
    </xf>
    <xf numFmtId="41" fontId="49" fillId="0" borderId="0" xfId="97" applyNumberFormat="1" applyFont="1" applyFill="1" applyAlignment="1" applyProtection="1">
      <alignment vertical="center"/>
      <protection locked="0"/>
    </xf>
    <xf numFmtId="41" fontId="50" fillId="0" borderId="0" xfId="97" applyNumberFormat="1" applyFont="1" applyFill="1" applyAlignment="1" applyProtection="1">
      <alignment vertical="center"/>
      <protection locked="0"/>
    </xf>
    <xf numFmtId="41" fontId="50" fillId="0" borderId="0" xfId="97" applyNumberFormat="1" applyFont="1" applyFill="1" applyAlignment="1">
      <alignment horizontal="right" vertical="center"/>
    </xf>
    <xf numFmtId="41" fontId="50" fillId="0" borderId="52" xfId="97" applyNumberFormat="1" applyFont="1" applyFill="1" applyBorder="1" applyAlignment="1">
      <alignment horizontal="center" vertical="center"/>
    </xf>
    <xf numFmtId="41" fontId="50" fillId="0" borderId="53" xfId="97" applyNumberFormat="1" applyFont="1" applyFill="1" applyBorder="1" applyAlignment="1">
      <alignment horizontal="center" vertical="center"/>
    </xf>
    <xf numFmtId="41" fontId="50" fillId="0" borderId="46" xfId="97" applyNumberFormat="1" applyFont="1" applyFill="1" applyBorder="1" applyAlignment="1">
      <alignment horizontal="center" vertical="center"/>
    </xf>
    <xf numFmtId="41" fontId="49" fillId="0" borderId="45" xfId="97" applyNumberFormat="1" applyFont="1" applyFill="1" applyBorder="1" applyAlignment="1">
      <alignment horizontal="center" vertical="center"/>
    </xf>
    <xf numFmtId="41" fontId="49" fillId="0" borderId="6" xfId="97" applyNumberFormat="1" applyFont="1" applyFill="1" applyBorder="1" applyAlignment="1">
      <alignment horizontal="right" vertical="center"/>
    </xf>
    <xf numFmtId="41" fontId="49" fillId="0" borderId="50" xfId="97" applyNumberFormat="1" applyFont="1" applyFill="1" applyBorder="1" applyAlignment="1">
      <alignment vertical="center"/>
    </xf>
    <xf numFmtId="41" fontId="49" fillId="0" borderId="55" xfId="97" applyNumberFormat="1" applyFont="1" applyFill="1" applyBorder="1" applyAlignment="1">
      <alignment vertical="center"/>
    </xf>
    <xf numFmtId="41" fontId="49" fillId="0" borderId="48" xfId="97" applyNumberFormat="1" applyFont="1" applyFill="1" applyBorder="1" applyAlignment="1">
      <alignment horizontal="center" vertical="center"/>
    </xf>
    <xf numFmtId="41" fontId="49" fillId="0" borderId="56" xfId="97" applyNumberFormat="1" applyFont="1" applyFill="1" applyBorder="1" applyAlignment="1">
      <alignment horizontal="center" vertical="center"/>
    </xf>
    <xf numFmtId="41" fontId="49" fillId="0" borderId="57" xfId="97" applyNumberFormat="1" applyFont="1" applyFill="1" applyBorder="1" applyAlignment="1">
      <alignment horizontal="right" vertical="center"/>
    </xf>
    <xf numFmtId="41" fontId="50" fillId="0" borderId="34" xfId="97" applyNumberFormat="1" applyFont="1" applyFill="1" applyBorder="1" applyAlignment="1">
      <alignment horizontal="center" vertical="center"/>
    </xf>
    <xf numFmtId="41" fontId="50" fillId="0" borderId="58" xfId="97" applyNumberFormat="1" applyFont="1" applyFill="1" applyBorder="1" applyAlignment="1">
      <alignment vertical="center"/>
    </xf>
    <xf numFmtId="41" fontId="50" fillId="0" borderId="59" xfId="97" applyNumberFormat="1" applyFont="1" applyFill="1" applyBorder="1" applyAlignment="1">
      <alignment vertical="center"/>
    </xf>
    <xf numFmtId="41" fontId="50" fillId="0" borderId="35" xfId="97" applyNumberFormat="1" applyFont="1" applyFill="1" applyBorder="1" applyAlignment="1">
      <alignment horizontal="center" vertical="center"/>
    </xf>
    <xf numFmtId="41" fontId="50" fillId="0" borderId="3" xfId="97" applyNumberFormat="1" applyFont="1" applyFill="1" applyBorder="1" applyAlignment="1">
      <alignment horizontal="right" vertical="center"/>
    </xf>
    <xf numFmtId="182" fontId="49" fillId="0" borderId="0" xfId="97" applyNumberFormat="1" applyFont="1" applyFill="1" applyAlignment="1" applyProtection="1">
      <alignment vertical="center"/>
      <protection locked="0"/>
    </xf>
    <xf numFmtId="41" fontId="49" fillId="0" borderId="0" xfId="97" applyNumberFormat="1" applyFont="1" applyFill="1" applyBorder="1" applyAlignment="1" applyProtection="1">
      <alignment vertical="center"/>
      <protection locked="0"/>
    </xf>
    <xf numFmtId="183" fontId="49" fillId="0" borderId="0" xfId="97" applyNumberFormat="1" applyFont="1" applyFill="1" applyAlignment="1" applyProtection="1">
      <alignment vertical="center"/>
      <protection locked="0"/>
    </xf>
    <xf numFmtId="41" fontId="49" fillId="0" borderId="0" xfId="97" applyNumberFormat="1" applyFont="1" applyFill="1" applyAlignment="1">
      <alignment vertical="center"/>
    </xf>
    <xf numFmtId="41" fontId="50" fillId="0" borderId="1" xfId="97" applyNumberFormat="1" applyFont="1" applyFill="1" applyBorder="1" applyAlignment="1">
      <alignment horizontal="center" vertical="center"/>
    </xf>
    <xf numFmtId="41" fontId="50" fillId="0" borderId="36" xfId="97" applyNumberFormat="1" applyFont="1" applyFill="1" applyBorder="1" applyAlignment="1">
      <alignment horizontal="center" vertical="center"/>
    </xf>
    <xf numFmtId="41" fontId="50" fillId="0" borderId="44" xfId="97" applyNumberFormat="1" applyFont="1" applyFill="1" applyBorder="1" applyAlignment="1">
      <alignment horizontal="center" vertical="center"/>
    </xf>
    <xf numFmtId="41" fontId="49" fillId="0" borderId="38" xfId="97" applyNumberFormat="1" applyFont="1" applyFill="1" applyBorder="1" applyAlignment="1">
      <alignment horizontal="center" vertical="center"/>
    </xf>
    <xf numFmtId="41" fontId="49" fillId="0" borderId="51" xfId="97" applyNumberFormat="1" applyFont="1" applyFill="1" applyBorder="1" applyAlignment="1">
      <alignment vertical="center"/>
    </xf>
    <xf numFmtId="41" fontId="49" fillId="0" borderId="51" xfId="97" applyNumberFormat="1" applyFont="1" applyFill="1" applyBorder="1" applyAlignment="1">
      <alignment horizontal="right" vertical="center"/>
    </xf>
    <xf numFmtId="41" fontId="49" fillId="0" borderId="62" xfId="97" applyNumberFormat="1" applyFont="1" applyFill="1" applyBorder="1" applyAlignment="1">
      <alignment horizontal="right" vertical="center"/>
    </xf>
    <xf numFmtId="41" fontId="50" fillId="0" borderId="0" xfId="97" applyNumberFormat="1" applyFont="1" applyFill="1" applyAlignment="1">
      <alignment vertical="center"/>
    </xf>
    <xf numFmtId="41" fontId="49" fillId="0" borderId="4" xfId="97" applyNumberFormat="1" applyFont="1" applyFill="1" applyBorder="1" applyAlignment="1">
      <alignment vertical="center"/>
    </xf>
    <xf numFmtId="41" fontId="50" fillId="0" borderId="3" xfId="97" applyNumberFormat="1" applyFont="1" applyFill="1" applyBorder="1" applyAlignment="1">
      <alignment vertical="center"/>
    </xf>
    <xf numFmtId="41" fontId="50" fillId="0" borderId="2" xfId="97" applyNumberFormat="1" applyFont="1" applyFill="1" applyBorder="1" applyAlignment="1">
      <alignment horizontal="center" vertical="center"/>
    </xf>
    <xf numFmtId="41" fontId="50" fillId="0" borderId="3" xfId="97" applyNumberFormat="1" applyFont="1" applyFill="1" applyBorder="1" applyAlignment="1">
      <alignment horizontal="center" vertical="center"/>
    </xf>
    <xf numFmtId="41" fontId="49" fillId="0" borderId="4" xfId="97" applyNumberFormat="1" applyFont="1" applyFill="1" applyBorder="1" applyAlignment="1">
      <alignment horizontal="left" vertical="center"/>
    </xf>
    <xf numFmtId="41" fontId="49" fillId="0" borderId="5" xfId="97" applyNumberFormat="1" applyFont="1" applyFill="1" applyBorder="1" applyAlignment="1">
      <alignment vertical="center"/>
    </xf>
    <xf numFmtId="41" fontId="49" fillId="0" borderId="6" xfId="97" applyNumberFormat="1" applyFont="1" applyFill="1" applyBorder="1" applyAlignment="1">
      <alignment horizontal="left" vertical="center"/>
    </xf>
    <xf numFmtId="41" fontId="49" fillId="0" borderId="64" xfId="97" applyNumberFormat="1" applyFont="1" applyFill="1" applyBorder="1" applyAlignment="1">
      <alignment horizontal="left" vertical="center"/>
    </xf>
    <xf numFmtId="41" fontId="49" fillId="0" borderId="57" xfId="97" applyNumberFormat="1" applyFont="1" applyFill="1" applyBorder="1" applyAlignment="1">
      <alignment horizontal="left" vertical="center"/>
    </xf>
    <xf numFmtId="41" fontId="49" fillId="0" borderId="4" xfId="97" applyNumberFormat="1" applyFont="1" applyFill="1" applyBorder="1" applyAlignment="1">
      <alignment horizontal="left" vertical="center" wrapText="1"/>
    </xf>
    <xf numFmtId="41" fontId="49" fillId="0" borderId="64" xfId="97" applyNumberFormat="1" applyFont="1" applyFill="1" applyBorder="1" applyAlignment="1">
      <alignment vertical="center"/>
    </xf>
    <xf numFmtId="41" fontId="49" fillId="0" borderId="56" xfId="97" applyNumberFormat="1" applyFont="1" applyFill="1" applyBorder="1" applyAlignment="1">
      <alignment vertical="center"/>
    </xf>
    <xf numFmtId="41" fontId="49" fillId="0" borderId="57" xfId="97" applyNumberFormat="1" applyFont="1" applyFill="1" applyBorder="1" applyAlignment="1">
      <alignment vertical="center"/>
    </xf>
    <xf numFmtId="41" fontId="50" fillId="0" borderId="1" xfId="97" applyNumberFormat="1" applyFont="1" applyFill="1" applyBorder="1" applyAlignment="1">
      <alignment vertical="center"/>
    </xf>
    <xf numFmtId="41" fontId="50" fillId="0" borderId="2" xfId="97" applyNumberFormat="1" applyFont="1" applyFill="1" applyBorder="1" applyAlignment="1">
      <alignment horizontal="right" vertical="center"/>
    </xf>
    <xf numFmtId="41" fontId="49" fillId="0" borderId="0" xfId="94" applyNumberFormat="1" applyFont="1" applyFill="1" applyAlignment="1" applyProtection="1">
      <alignment vertical="center"/>
      <protection locked="0"/>
    </xf>
    <xf numFmtId="41" fontId="50" fillId="0" borderId="0" xfId="97" applyNumberFormat="1" applyFont="1" applyFill="1" applyBorder="1" applyAlignment="1">
      <alignment horizontal="right" vertical="center"/>
    </xf>
    <xf numFmtId="41" fontId="50" fillId="0" borderId="1" xfId="97" applyNumberFormat="1" applyFont="1" applyFill="1" applyBorder="1" applyAlignment="1">
      <alignment horizontal="center" vertical="center"/>
    </xf>
    <xf numFmtId="41" fontId="49" fillId="0" borderId="49" xfId="3" applyNumberFormat="1" applyFont="1" applyFill="1" applyBorder="1" applyAlignment="1">
      <alignment horizontal="center" vertical="center"/>
    </xf>
    <xf numFmtId="41" fontId="50" fillId="0" borderId="73" xfId="97" applyNumberFormat="1" applyFont="1" applyFill="1" applyBorder="1" applyAlignment="1">
      <alignment horizontal="right" vertical="center"/>
    </xf>
    <xf numFmtId="41" fontId="54" fillId="0" borderId="0" xfId="97" applyNumberFormat="1" applyFont="1" applyFill="1" applyAlignment="1" applyProtection="1">
      <alignment vertical="center"/>
      <protection locked="0"/>
    </xf>
    <xf numFmtId="41" fontId="49" fillId="0" borderId="0" xfId="3" applyNumberFormat="1" applyFont="1" applyFill="1" applyAlignment="1" applyProtection="1">
      <alignment horizontal="center" vertical="center"/>
      <protection locked="0"/>
    </xf>
    <xf numFmtId="41" fontId="49" fillId="0" borderId="55" xfId="97" applyNumberFormat="1" applyFont="1" applyFill="1" applyBorder="1" applyAlignment="1">
      <alignment horizontal="center" vertical="center"/>
    </xf>
    <xf numFmtId="41" fontId="50" fillId="0" borderId="75" xfId="97" applyNumberFormat="1" applyFont="1" applyFill="1" applyBorder="1" applyAlignment="1">
      <alignment horizontal="center" vertical="center"/>
    </xf>
    <xf numFmtId="41" fontId="49" fillId="0" borderId="64" xfId="97" applyNumberFormat="1" applyFont="1" applyFill="1" applyBorder="1" applyAlignment="1">
      <alignment horizontal="right" vertical="center"/>
    </xf>
    <xf numFmtId="41" fontId="49" fillId="0" borderId="62" xfId="3" applyNumberFormat="1" applyFont="1" applyFill="1" applyBorder="1" applyAlignment="1">
      <alignment vertical="center"/>
    </xf>
    <xf numFmtId="41" fontId="49" fillId="0" borderId="4" xfId="97" quotePrefix="1" applyNumberFormat="1" applyFont="1" applyFill="1" applyBorder="1" applyAlignment="1">
      <alignment vertical="center"/>
    </xf>
    <xf numFmtId="41" fontId="49" fillId="0" borderId="5" xfId="3" applyNumberFormat="1" applyFont="1" applyFill="1" applyBorder="1" applyAlignment="1">
      <alignment horizontal="center" vertical="center"/>
    </xf>
    <xf numFmtId="41" fontId="49" fillId="0" borderId="4" xfId="97" applyNumberFormat="1" applyFont="1" applyFill="1" applyBorder="1" applyAlignment="1">
      <alignment horizontal="center" vertical="center"/>
    </xf>
    <xf numFmtId="41" fontId="49" fillId="0" borderId="6" xfId="97" applyNumberFormat="1" applyFont="1" applyFill="1" applyBorder="1" applyAlignment="1">
      <alignment vertical="center"/>
    </xf>
    <xf numFmtId="41" fontId="50" fillId="0" borderId="0" xfId="94" applyNumberFormat="1" applyFont="1" applyFill="1" applyAlignment="1" applyProtection="1">
      <alignment vertical="center"/>
      <protection locked="0"/>
    </xf>
    <xf numFmtId="41" fontId="49" fillId="0" borderId="54" xfId="97" applyNumberFormat="1" applyFont="1" applyFill="1" applyBorder="1" applyAlignment="1">
      <alignment horizontal="center" vertical="center"/>
    </xf>
    <xf numFmtId="41" fontId="49" fillId="0" borderId="82" xfId="97" applyNumberFormat="1" applyFont="1" applyFill="1" applyBorder="1" applyAlignment="1">
      <alignment horizontal="center" vertical="center"/>
    </xf>
    <xf numFmtId="41" fontId="56" fillId="0" borderId="0" xfId="1" applyFont="1" applyFill="1" applyAlignment="1">
      <alignment vertical="center"/>
    </xf>
    <xf numFmtId="41" fontId="63" fillId="0" borderId="0" xfId="1" applyFont="1" applyFill="1" applyAlignment="1">
      <alignment vertical="center"/>
    </xf>
    <xf numFmtId="41" fontId="57" fillId="0" borderId="0" xfId="1" applyFont="1" applyFill="1" applyAlignment="1">
      <alignment vertical="center"/>
    </xf>
    <xf numFmtId="41" fontId="57" fillId="0" borderId="0" xfId="1" applyFont="1" applyFill="1" applyAlignment="1">
      <alignment horizontal="right" vertical="center"/>
    </xf>
    <xf numFmtId="41" fontId="57" fillId="0" borderId="24" xfId="1" applyFont="1" applyFill="1" applyBorder="1" applyAlignment="1">
      <alignment horizontal="center" vertical="center"/>
    </xf>
    <xf numFmtId="41" fontId="57" fillId="0" borderId="70" xfId="1" applyFont="1" applyFill="1" applyBorder="1" applyAlignment="1">
      <alignment vertical="center"/>
    </xf>
    <xf numFmtId="41" fontId="56" fillId="0" borderId="0" xfId="1" applyFont="1" applyFill="1" applyBorder="1" applyAlignment="1">
      <alignment vertical="center"/>
    </xf>
    <xf numFmtId="41" fontId="57" fillId="0" borderId="77" xfId="1" applyFont="1" applyFill="1" applyBorder="1" applyAlignment="1">
      <alignment vertical="center"/>
    </xf>
    <xf numFmtId="41" fontId="56" fillId="0" borderId="68" xfId="1" applyFont="1" applyFill="1" applyBorder="1" applyAlignment="1">
      <alignment vertical="center"/>
    </xf>
    <xf numFmtId="41" fontId="56" fillId="0" borderId="28" xfId="1" applyFont="1" applyFill="1" applyBorder="1" applyAlignment="1">
      <alignment vertical="center"/>
    </xf>
    <xf numFmtId="41" fontId="56" fillId="0" borderId="85" xfId="1" applyFont="1" applyFill="1" applyBorder="1" applyAlignment="1">
      <alignment vertical="center"/>
    </xf>
    <xf numFmtId="41" fontId="56" fillId="0" borderId="25" xfId="1" applyFont="1" applyFill="1" applyBorder="1" applyAlignment="1">
      <alignment vertical="center"/>
    </xf>
    <xf numFmtId="41" fontId="56" fillId="0" borderId="70" xfId="1" applyFont="1" applyFill="1" applyBorder="1" applyAlignment="1">
      <alignment vertical="center"/>
    </xf>
    <xf numFmtId="41" fontId="56" fillId="0" borderId="86" xfId="1" applyFont="1" applyFill="1" applyBorder="1" applyAlignment="1">
      <alignment vertical="center"/>
    </xf>
    <xf numFmtId="41" fontId="56" fillId="0" borderId="79" xfId="1" applyFont="1" applyFill="1" applyBorder="1" applyAlignment="1">
      <alignment vertical="center"/>
    </xf>
    <xf numFmtId="187" fontId="56" fillId="0" borderId="79" xfId="1" applyNumberFormat="1" applyFont="1" applyFill="1" applyBorder="1" applyAlignment="1">
      <alignment vertical="center"/>
    </xf>
    <xf numFmtId="41" fontId="56" fillId="0" borderId="78" xfId="1" applyFont="1" applyFill="1" applyBorder="1" applyAlignment="1">
      <alignment vertical="center"/>
    </xf>
    <xf numFmtId="41" fontId="57" fillId="0" borderId="31" xfId="1" applyFont="1" applyFill="1" applyBorder="1" applyAlignment="1">
      <alignment vertical="center"/>
    </xf>
    <xf numFmtId="41" fontId="56" fillId="0" borderId="32" xfId="1" applyFont="1" applyFill="1" applyBorder="1" applyAlignment="1">
      <alignment vertical="center"/>
    </xf>
    <xf numFmtId="41" fontId="57" fillId="0" borderId="79" xfId="1" applyFont="1" applyFill="1" applyBorder="1" applyAlignment="1">
      <alignment vertical="center"/>
    </xf>
    <xf numFmtId="41" fontId="56" fillId="0" borderId="30" xfId="1" applyFont="1" applyFill="1" applyBorder="1" applyAlignment="1">
      <alignment vertical="center"/>
    </xf>
    <xf numFmtId="41" fontId="56" fillId="0" borderId="66" xfId="1" applyFont="1" applyFill="1" applyBorder="1" applyAlignment="1">
      <alignment vertical="center"/>
    </xf>
    <xf numFmtId="41" fontId="57" fillId="0" borderId="33" xfId="1" applyFont="1" applyFill="1" applyBorder="1" applyAlignment="1">
      <alignment vertical="center"/>
    </xf>
    <xf numFmtId="41" fontId="56" fillId="0" borderId="13" xfId="1" applyFont="1" applyFill="1" applyBorder="1" applyAlignment="1">
      <alignment vertical="center"/>
    </xf>
    <xf numFmtId="188" fontId="56" fillId="0" borderId="0" xfId="1" applyNumberFormat="1" applyFont="1" applyFill="1" applyAlignment="1">
      <alignment vertical="center"/>
    </xf>
    <xf numFmtId="41" fontId="64" fillId="0" borderId="71" xfId="1" applyFont="1" applyFill="1" applyBorder="1" applyAlignment="1">
      <alignment vertical="center"/>
    </xf>
    <xf numFmtId="41" fontId="65" fillId="0" borderId="84" xfId="1" applyFont="1" applyFill="1" applyBorder="1" applyAlignment="1">
      <alignment vertical="center"/>
    </xf>
    <xf numFmtId="41" fontId="65" fillId="0" borderId="83" xfId="1" applyFont="1" applyFill="1" applyBorder="1" applyAlignment="1">
      <alignment vertical="center"/>
    </xf>
    <xf numFmtId="41" fontId="64" fillId="0" borderId="24" xfId="1" applyFont="1" applyFill="1" applyBorder="1" applyAlignment="1">
      <alignment vertical="center"/>
    </xf>
    <xf numFmtId="41" fontId="57" fillId="0" borderId="76" xfId="1" applyFont="1" applyFill="1" applyBorder="1" applyAlignment="1">
      <alignment vertical="center"/>
    </xf>
    <xf numFmtId="41" fontId="64" fillId="0" borderId="9" xfId="1" applyFont="1" applyFill="1" applyBorder="1" applyAlignment="1">
      <alignment vertical="center"/>
    </xf>
    <xf numFmtId="41" fontId="56" fillId="0" borderId="27" xfId="1" applyFont="1" applyFill="1" applyBorder="1" applyAlignment="1">
      <alignment vertical="center"/>
    </xf>
    <xf numFmtId="41" fontId="56" fillId="0" borderId="67" xfId="1" applyFont="1" applyFill="1" applyBorder="1" applyAlignment="1">
      <alignment vertical="center"/>
    </xf>
    <xf numFmtId="41" fontId="57" fillId="0" borderId="71" xfId="1" applyFont="1" applyFill="1" applyBorder="1" applyAlignment="1">
      <alignment vertical="center"/>
    </xf>
    <xf numFmtId="41" fontId="56" fillId="0" borderId="84" xfId="1" applyFont="1" applyFill="1" applyBorder="1" applyAlignment="1">
      <alignment vertical="center"/>
    </xf>
    <xf numFmtId="41" fontId="56" fillId="0" borderId="83" xfId="1" applyFont="1" applyFill="1" applyBorder="1" applyAlignment="1">
      <alignment vertical="center"/>
    </xf>
    <xf numFmtId="41" fontId="57" fillId="0" borderId="9" xfId="1" applyFont="1" applyFill="1" applyBorder="1" applyAlignment="1">
      <alignment vertical="center"/>
    </xf>
    <xf numFmtId="41" fontId="49" fillId="0" borderId="62" xfId="3" applyNumberFormat="1" applyFont="1" applyFill="1" applyBorder="1" applyAlignment="1">
      <alignment horizontal="right" vertical="center"/>
    </xf>
    <xf numFmtId="41" fontId="49" fillId="0" borderId="49" xfId="3" applyNumberFormat="1" applyFont="1" applyFill="1" applyBorder="1" applyAlignment="1">
      <alignment horizontal="left" vertical="center"/>
    </xf>
    <xf numFmtId="41" fontId="49" fillId="0" borderId="37" xfId="97" applyNumberFormat="1" applyFont="1" applyFill="1" applyBorder="1" applyAlignment="1">
      <alignment vertical="center"/>
    </xf>
    <xf numFmtId="41" fontId="49" fillId="0" borderId="92" xfId="97" applyNumberFormat="1" applyFont="1" applyFill="1" applyBorder="1" applyAlignment="1">
      <alignment vertical="center"/>
    </xf>
    <xf numFmtId="41" fontId="49" fillId="0" borderId="92" xfId="97" applyNumberFormat="1" applyFont="1" applyFill="1" applyBorder="1" applyAlignment="1">
      <alignment horizontal="center" vertical="center"/>
    </xf>
    <xf numFmtId="41" fontId="49" fillId="0" borderId="93" xfId="97" applyNumberFormat="1" applyFont="1" applyFill="1" applyBorder="1" applyAlignment="1">
      <alignment horizontal="right" vertical="center"/>
    </xf>
    <xf numFmtId="41" fontId="50" fillId="0" borderId="94" xfId="97" applyNumberFormat="1" applyFont="1" applyFill="1" applyBorder="1" applyAlignment="1">
      <alignment horizontal="center" vertical="center"/>
    </xf>
    <xf numFmtId="41" fontId="50" fillId="0" borderId="61" xfId="97" applyNumberFormat="1" applyFont="1" applyFill="1" applyBorder="1" applyAlignment="1">
      <alignment horizontal="center" vertical="center"/>
    </xf>
    <xf numFmtId="41" fontId="69" fillId="0" borderId="0" xfId="119" applyNumberFormat="1" applyFont="1" applyFill="1" applyAlignment="1" applyProtection="1">
      <alignment vertical="center"/>
      <protection locked="0"/>
    </xf>
    <xf numFmtId="41" fontId="49" fillId="0" borderId="0" xfId="119" applyNumberFormat="1" applyFont="1" applyFill="1" applyAlignment="1" applyProtection="1">
      <alignment vertical="center"/>
      <protection locked="0"/>
    </xf>
    <xf numFmtId="41" fontId="50" fillId="0" borderId="94" xfId="119" applyNumberFormat="1" applyFont="1" applyFill="1" applyBorder="1" applyAlignment="1">
      <alignment horizontal="center" vertical="center"/>
    </xf>
    <xf numFmtId="41" fontId="50" fillId="0" borderId="97" xfId="119" applyNumberFormat="1" applyFont="1" applyFill="1" applyBorder="1" applyAlignment="1">
      <alignment horizontal="center" vertical="center"/>
    </xf>
    <xf numFmtId="41" fontId="50" fillId="0" borderId="98" xfId="119" applyNumberFormat="1" applyFont="1" applyFill="1" applyBorder="1" applyAlignment="1">
      <alignment horizontal="center" vertical="center"/>
    </xf>
    <xf numFmtId="41" fontId="50" fillId="0" borderId="101" xfId="97" applyNumberFormat="1" applyFont="1" applyFill="1" applyBorder="1" applyAlignment="1">
      <alignment horizontal="center" vertical="center"/>
    </xf>
    <xf numFmtId="41" fontId="49" fillId="0" borderId="0" xfId="97" applyNumberFormat="1" applyFont="1" applyFill="1" applyAlignment="1" applyProtection="1">
      <alignment horizontal="center" vertical="center"/>
      <protection locked="0"/>
    </xf>
    <xf numFmtId="41" fontId="50" fillId="0" borderId="116" xfId="97" applyNumberFormat="1" applyFont="1" applyFill="1" applyBorder="1" applyAlignment="1">
      <alignment horizontal="center" vertical="center"/>
    </xf>
    <xf numFmtId="41" fontId="49" fillId="0" borderId="62" xfId="3" applyNumberFormat="1" applyFont="1" applyFill="1" applyBorder="1" applyAlignment="1">
      <alignment horizontal="center" vertical="center"/>
    </xf>
    <xf numFmtId="41" fontId="49" fillId="0" borderId="5" xfId="3" applyNumberFormat="1" applyFont="1" applyFill="1" applyBorder="1" applyAlignment="1">
      <alignment horizontal="center" vertical="center"/>
    </xf>
    <xf numFmtId="14" fontId="49" fillId="0" borderId="72" xfId="97" applyNumberFormat="1" applyFont="1" applyFill="1" applyBorder="1" applyAlignment="1" applyProtection="1">
      <alignment vertical="center"/>
      <protection locked="0"/>
    </xf>
    <xf numFmtId="41" fontId="56" fillId="0" borderId="26" xfId="1" applyFont="1" applyFill="1" applyBorder="1" applyAlignment="1">
      <alignment vertical="center"/>
    </xf>
    <xf numFmtId="41" fontId="50" fillId="0" borderId="120" xfId="3" applyNumberFormat="1" applyFont="1" applyFill="1" applyBorder="1" applyAlignment="1">
      <alignment horizontal="center" vertical="center"/>
    </xf>
    <xf numFmtId="41" fontId="49" fillId="0" borderId="117" xfId="3" applyNumberFormat="1" applyFont="1" applyFill="1" applyBorder="1" applyAlignment="1">
      <alignment horizontal="center" vertical="center"/>
    </xf>
    <xf numFmtId="41" fontId="49" fillId="0" borderId="121" xfId="97" applyNumberFormat="1" applyFont="1" applyFill="1" applyBorder="1" applyAlignment="1">
      <alignment horizontal="center" vertical="center"/>
    </xf>
    <xf numFmtId="41" fontId="50" fillId="0" borderId="100" xfId="97" applyNumberFormat="1" applyFont="1" applyFill="1" applyBorder="1" applyAlignment="1">
      <alignment horizontal="center" vertical="center"/>
    </xf>
    <xf numFmtId="41" fontId="50" fillId="0" borderId="122" xfId="97" applyNumberFormat="1" applyFont="1" applyFill="1" applyBorder="1" applyAlignment="1">
      <alignment horizontal="center" vertical="center"/>
    </xf>
    <xf numFmtId="41" fontId="50" fillId="0" borderId="102" xfId="97" applyNumberFormat="1" applyFont="1" applyFill="1" applyBorder="1" applyAlignment="1">
      <alignment horizontal="center" vertical="center"/>
    </xf>
    <xf numFmtId="41" fontId="50" fillId="0" borderId="120" xfId="97" applyNumberFormat="1" applyFont="1" applyFill="1" applyBorder="1" applyAlignment="1">
      <alignment horizontal="center" vertical="center"/>
    </xf>
    <xf numFmtId="41" fontId="53" fillId="0" borderId="0" xfId="97" applyNumberFormat="1" applyFont="1" applyFill="1" applyAlignment="1" applyProtection="1">
      <alignment horizontal="center" vertical="center"/>
      <protection locked="0"/>
    </xf>
    <xf numFmtId="41" fontId="49" fillId="0" borderId="61" xfId="97" applyNumberFormat="1" applyFont="1" applyFill="1" applyBorder="1" applyAlignment="1">
      <alignment horizontal="right" vertical="center"/>
    </xf>
    <xf numFmtId="41" fontId="49" fillId="0" borderId="124" xfId="97" applyNumberFormat="1" applyFont="1" applyFill="1" applyBorder="1" applyAlignment="1">
      <alignment horizontal="center" vertical="center"/>
    </xf>
    <xf numFmtId="41" fontId="49" fillId="0" borderId="125" xfId="97" applyNumberFormat="1" applyFont="1" applyFill="1" applyBorder="1" applyAlignment="1">
      <alignment horizontal="center" vertical="center"/>
    </xf>
    <xf numFmtId="41" fontId="49" fillId="0" borderId="119" xfId="97" applyNumberFormat="1" applyFont="1" applyFill="1" applyBorder="1" applyAlignment="1">
      <alignment vertical="center"/>
    </xf>
    <xf numFmtId="184" fontId="50" fillId="0" borderId="126" xfId="1" applyNumberFormat="1" applyFont="1" applyFill="1" applyBorder="1" applyAlignment="1">
      <alignment vertical="center"/>
    </xf>
    <xf numFmtId="14" fontId="49" fillId="0" borderId="72" xfId="94" applyNumberFormat="1" applyFont="1" applyFill="1" applyBorder="1" applyAlignment="1" applyProtection="1">
      <alignment vertical="center"/>
      <protection locked="0"/>
    </xf>
    <xf numFmtId="10" fontId="49" fillId="0" borderId="0" xfId="94" applyNumberFormat="1" applyFont="1" applyFill="1" applyAlignment="1" applyProtection="1">
      <alignment vertical="center"/>
      <protection locked="0"/>
    </xf>
    <xf numFmtId="10" fontId="49" fillId="0" borderId="0" xfId="97" applyNumberFormat="1" applyFont="1" applyFill="1" applyAlignment="1" applyProtection="1">
      <alignment vertical="center"/>
      <protection locked="0"/>
    </xf>
    <xf numFmtId="10" fontId="49" fillId="0" borderId="0" xfId="2" applyNumberFormat="1" applyFont="1" applyFill="1" applyAlignment="1" applyProtection="1">
      <alignment vertical="center"/>
      <protection locked="0"/>
    </xf>
    <xf numFmtId="184" fontId="50" fillId="0" borderId="126" xfId="1" applyNumberFormat="1" applyFont="1" applyFill="1" applyBorder="1" applyAlignment="1">
      <alignment horizontal="left" vertical="center"/>
    </xf>
    <xf numFmtId="41" fontId="50" fillId="26" borderId="99" xfId="97" applyNumberFormat="1" applyFont="1" applyFill="1" applyBorder="1" applyAlignment="1">
      <alignment horizontal="center" vertical="center"/>
    </xf>
    <xf numFmtId="41" fontId="50" fillId="26" borderId="2" xfId="97" applyNumberFormat="1" applyFont="1" applyFill="1" applyBorder="1" applyAlignment="1">
      <alignment horizontal="right" vertical="center"/>
    </xf>
    <xf numFmtId="41" fontId="50" fillId="26" borderId="3" xfId="97" applyNumberFormat="1" applyFont="1" applyFill="1" applyBorder="1" applyAlignment="1">
      <alignment vertical="center"/>
    </xf>
    <xf numFmtId="41" fontId="49" fillId="0" borderId="135" xfId="3" applyNumberFormat="1" applyFont="1" applyFill="1" applyBorder="1" applyAlignment="1">
      <alignment horizontal="center" vertical="center"/>
    </xf>
    <xf numFmtId="41" fontId="49" fillId="0" borderId="136" xfId="3" applyNumberFormat="1" applyFont="1" applyFill="1" applyBorder="1" applyAlignment="1">
      <alignment horizontal="left" vertical="center"/>
    </xf>
    <xf numFmtId="41" fontId="50" fillId="0" borderId="74" xfId="97" applyNumberFormat="1" applyFont="1" applyFill="1" applyBorder="1" applyAlignment="1">
      <alignment horizontal="center" vertical="center"/>
    </xf>
    <xf numFmtId="41" fontId="49" fillId="0" borderId="47" xfId="97" applyNumberFormat="1" applyFont="1" applyFill="1" applyBorder="1" applyAlignment="1">
      <alignment horizontal="center" vertical="center"/>
    </xf>
    <xf numFmtId="41" fontId="49" fillId="0" borderId="60" xfId="97" applyNumberFormat="1" applyFont="1" applyFill="1" applyBorder="1" applyAlignment="1">
      <alignment horizontal="center" vertical="center"/>
    </xf>
    <xf numFmtId="41" fontId="53" fillId="0" borderId="60" xfId="97" applyNumberFormat="1" applyFont="1" applyFill="1" applyBorder="1" applyAlignment="1">
      <alignment horizontal="center" vertical="center"/>
    </xf>
    <xf numFmtId="185" fontId="49" fillId="0" borderId="95" xfId="97" applyNumberFormat="1" applyFont="1" applyFill="1" applyBorder="1" applyAlignment="1">
      <alignment horizontal="center" vertical="center"/>
    </xf>
    <xf numFmtId="41" fontId="49" fillId="0" borderId="96" xfId="97" applyNumberFormat="1" applyFont="1" applyFill="1" applyBorder="1" applyAlignment="1">
      <alignment vertical="center"/>
    </xf>
    <xf numFmtId="41" fontId="49" fillId="0" borderId="95" xfId="97" applyNumberFormat="1" applyFont="1" applyFill="1" applyBorder="1" applyAlignment="1">
      <alignment horizontal="center" vertical="center"/>
    </xf>
    <xf numFmtId="185" fontId="49" fillId="0" borderId="45" xfId="97" applyNumberFormat="1" applyFont="1" applyFill="1" applyBorder="1" applyAlignment="1">
      <alignment horizontal="center" vertical="center"/>
    </xf>
    <xf numFmtId="41" fontId="49" fillId="0" borderId="63" xfId="97" applyNumberFormat="1" applyFont="1" applyFill="1" applyBorder="1" applyAlignment="1">
      <alignment vertical="center"/>
    </xf>
    <xf numFmtId="185" fontId="49" fillId="0" borderId="124" xfId="97" applyNumberFormat="1" applyFont="1" applyFill="1" applyBorder="1" applyAlignment="1">
      <alignment horizontal="center" vertical="center"/>
    </xf>
    <xf numFmtId="41" fontId="49" fillId="0" borderId="123" xfId="97" applyNumberFormat="1" applyFont="1" applyFill="1" applyBorder="1" applyAlignment="1">
      <alignment vertical="center"/>
    </xf>
    <xf numFmtId="41" fontId="50" fillId="0" borderId="43" xfId="97" applyNumberFormat="1" applyFont="1" applyFill="1" applyBorder="1" applyAlignment="1">
      <alignment vertical="center"/>
    </xf>
    <xf numFmtId="185" fontId="49" fillId="0" borderId="38" xfId="97" applyNumberFormat="1" applyFont="1" applyFill="1" applyBorder="1" applyAlignment="1">
      <alignment horizontal="center" vertical="center"/>
    </xf>
    <xf numFmtId="41" fontId="49" fillId="0" borderId="39" xfId="97" applyNumberFormat="1" applyFont="1" applyFill="1" applyBorder="1" applyAlignment="1">
      <alignment vertical="center"/>
    </xf>
    <xf numFmtId="41" fontId="50" fillId="0" borderId="34" xfId="97" applyNumberFormat="1" applyFont="1" applyFill="1" applyBorder="1" applyAlignment="1">
      <alignment vertical="center"/>
    </xf>
    <xf numFmtId="41" fontId="50" fillId="0" borderId="35" xfId="97" applyNumberFormat="1" applyFont="1" applyFill="1" applyBorder="1" applyAlignment="1">
      <alignment vertical="center"/>
    </xf>
    <xf numFmtId="180" fontId="50" fillId="0" borderId="36" xfId="97" applyNumberFormat="1" applyFont="1" applyFill="1" applyBorder="1" applyAlignment="1">
      <alignment vertical="center"/>
    </xf>
    <xf numFmtId="41" fontId="49" fillId="0" borderId="62" xfId="3" applyNumberFormat="1" applyFont="1" applyFill="1" applyBorder="1" applyAlignment="1">
      <alignment horizontal="center" vertical="center"/>
    </xf>
    <xf numFmtId="41" fontId="49" fillId="0" borderId="134" xfId="3" applyNumberFormat="1" applyFont="1" applyFill="1" applyBorder="1" applyAlignment="1">
      <alignment horizontal="center" vertical="center"/>
    </xf>
    <xf numFmtId="41" fontId="49" fillId="0" borderId="138" xfId="3" applyNumberFormat="1" applyFont="1" applyFill="1" applyBorder="1" applyAlignment="1">
      <alignment horizontal="center" vertical="center"/>
    </xf>
    <xf numFmtId="0" fontId="70" fillId="0" borderId="0" xfId="86" applyFont="1" applyFill="1" applyAlignment="1">
      <alignment vertical="center"/>
    </xf>
    <xf numFmtId="41" fontId="49" fillId="0" borderId="103" xfId="97" applyNumberFormat="1" applyFont="1" applyFill="1" applyBorder="1" applyAlignment="1" applyProtection="1">
      <alignment vertical="center"/>
      <protection locked="0"/>
    </xf>
    <xf numFmtId="3" fontId="49" fillId="0" borderId="0" xfId="110" applyNumberFormat="1" applyFont="1" applyFill="1">
      <alignment vertical="center"/>
    </xf>
    <xf numFmtId="14" fontId="52" fillId="0" borderId="0" xfId="110" applyNumberFormat="1" applyFont="1" applyFill="1">
      <alignment vertical="center"/>
    </xf>
    <xf numFmtId="0" fontId="52" fillId="0" borderId="0" xfId="110" applyFont="1" applyFill="1">
      <alignment vertical="center"/>
    </xf>
    <xf numFmtId="41" fontId="57" fillId="0" borderId="131" xfId="1" applyFont="1" applyFill="1" applyBorder="1" applyAlignment="1">
      <alignment vertical="center"/>
    </xf>
    <xf numFmtId="41" fontId="56" fillId="0" borderId="130" xfId="1" applyFont="1" applyFill="1" applyBorder="1" applyAlignment="1">
      <alignment vertical="center"/>
    </xf>
    <xf numFmtId="41" fontId="57" fillId="0" borderId="140" xfId="1" applyFont="1" applyFill="1" applyBorder="1" applyAlignment="1">
      <alignment vertical="center"/>
    </xf>
    <xf numFmtId="41" fontId="56" fillId="0" borderId="141" xfId="1" applyFont="1" applyFill="1" applyBorder="1" applyAlignment="1">
      <alignment vertical="center"/>
    </xf>
    <xf numFmtId="41" fontId="56" fillId="0" borderId="139" xfId="1" applyFont="1" applyFill="1" applyBorder="1" applyAlignment="1">
      <alignment vertical="center"/>
    </xf>
    <xf numFmtId="41" fontId="57" fillId="0" borderId="0" xfId="1" applyFont="1" applyFill="1" applyBorder="1" applyAlignment="1">
      <alignment vertical="center"/>
    </xf>
    <xf numFmtId="41" fontId="57" fillId="0" borderId="84" xfId="1" applyFont="1" applyFill="1" applyBorder="1" applyAlignment="1">
      <alignment vertical="center"/>
    </xf>
    <xf numFmtId="41" fontId="56" fillId="0" borderId="137" xfId="1" applyFont="1" applyFill="1" applyBorder="1" applyAlignment="1">
      <alignment vertical="center"/>
    </xf>
    <xf numFmtId="41" fontId="57" fillId="0" borderId="137" xfId="1" applyFont="1" applyFill="1" applyBorder="1" applyAlignment="1">
      <alignment vertical="center"/>
    </xf>
    <xf numFmtId="41" fontId="56" fillId="0" borderId="132" xfId="1" applyFont="1" applyFill="1" applyBorder="1" applyAlignment="1">
      <alignment vertical="center"/>
    </xf>
    <xf numFmtId="41" fontId="56" fillId="0" borderId="133" xfId="1" applyFont="1" applyFill="1" applyBorder="1" applyAlignment="1">
      <alignment vertical="center"/>
    </xf>
    <xf numFmtId="41" fontId="50" fillId="0" borderId="142" xfId="97" applyNumberFormat="1" applyFont="1" applyFill="1" applyBorder="1" applyAlignment="1">
      <alignment horizontal="center" vertical="center"/>
    </xf>
    <xf numFmtId="41" fontId="87" fillId="0" borderId="0" xfId="97" applyNumberFormat="1" applyFont="1" applyFill="1" applyAlignment="1" applyProtection="1">
      <alignment horizontal="left" vertical="center"/>
      <protection locked="0"/>
    </xf>
    <xf numFmtId="41" fontId="88" fillId="0" borderId="0" xfId="97" applyNumberFormat="1" applyFont="1" applyFill="1" applyAlignment="1">
      <alignment horizontal="center" vertical="center"/>
    </xf>
    <xf numFmtId="41" fontId="58" fillId="0" borderId="0" xfId="97" applyNumberFormat="1" applyFont="1" applyFill="1" applyAlignment="1" applyProtection="1">
      <alignment vertical="center"/>
      <protection locked="0"/>
    </xf>
    <xf numFmtId="41" fontId="58" fillId="0" borderId="0" xfId="97" applyNumberFormat="1" applyFont="1" applyFill="1" applyBorder="1" applyAlignment="1" applyProtection="1">
      <alignment vertical="center"/>
      <protection locked="0"/>
    </xf>
    <xf numFmtId="41" fontId="56" fillId="0" borderId="0" xfId="97" applyNumberFormat="1" applyFont="1" applyFill="1" applyAlignment="1" applyProtection="1">
      <alignment horizontal="center" vertical="center"/>
      <protection locked="0"/>
    </xf>
    <xf numFmtId="41" fontId="56" fillId="0" borderId="0" xfId="97" applyNumberFormat="1" applyFont="1" applyFill="1" applyAlignment="1" applyProtection="1">
      <alignment vertical="center"/>
      <protection locked="0"/>
    </xf>
    <xf numFmtId="41" fontId="56" fillId="0" borderId="0" xfId="97" applyNumberFormat="1" applyFont="1" applyFill="1" applyBorder="1" applyAlignment="1" applyProtection="1">
      <alignment vertical="center"/>
      <protection locked="0"/>
    </xf>
    <xf numFmtId="184" fontId="57" fillId="0" borderId="0" xfId="1" applyNumberFormat="1" applyFont="1" applyFill="1" applyBorder="1" applyAlignment="1">
      <alignment horizontal="center" vertical="center"/>
    </xf>
    <xf numFmtId="41" fontId="57" fillId="0" borderId="0" xfId="97" applyNumberFormat="1" applyFont="1" applyFill="1" applyAlignment="1" applyProtection="1">
      <alignment vertical="center"/>
      <protection locked="0"/>
    </xf>
    <xf numFmtId="41" fontId="57" fillId="0" borderId="0" xfId="97" applyNumberFormat="1" applyFont="1" applyFill="1" applyAlignment="1">
      <alignment horizontal="right" vertical="center"/>
    </xf>
    <xf numFmtId="41" fontId="57" fillId="0" borderId="103" xfId="97" applyNumberFormat="1" applyFont="1" applyFill="1" applyBorder="1" applyAlignment="1">
      <alignment horizontal="center" vertical="center"/>
    </xf>
    <xf numFmtId="41" fontId="57" fillId="0" borderId="0" xfId="97" applyNumberFormat="1" applyFont="1" applyFill="1" applyAlignment="1" applyProtection="1">
      <alignment horizontal="center" vertical="center"/>
      <protection locked="0"/>
    </xf>
    <xf numFmtId="41" fontId="57" fillId="0" borderId="0" xfId="1" applyFont="1" applyFill="1" applyAlignment="1">
      <alignment horizontal="center" vertical="center"/>
    </xf>
    <xf numFmtId="41" fontId="57" fillId="0" borderId="0" xfId="97" applyNumberFormat="1" applyFont="1" applyFill="1" applyBorder="1" applyAlignment="1">
      <alignment vertical="center"/>
    </xf>
    <xf numFmtId="41" fontId="56" fillId="0" borderId="0" xfId="97" applyNumberFormat="1" applyFont="1" applyFill="1" applyBorder="1" applyAlignment="1" applyProtection="1">
      <alignment horizontal="center" vertical="center"/>
      <protection locked="0"/>
    </xf>
    <xf numFmtId="41" fontId="57" fillId="0" borderId="0" xfId="97" applyNumberFormat="1" applyFont="1" applyFill="1" applyBorder="1" applyAlignment="1">
      <alignment horizontal="center" vertical="center"/>
    </xf>
    <xf numFmtId="41" fontId="57" fillId="0" borderId="0" xfId="97" quotePrefix="1" applyNumberFormat="1" applyFont="1" applyFill="1" applyBorder="1" applyAlignment="1">
      <alignment horizontal="center" vertical="center"/>
    </xf>
    <xf numFmtId="41" fontId="57" fillId="0" borderId="0" xfId="97" applyNumberFormat="1" applyFont="1" applyFill="1" applyBorder="1" applyAlignment="1" applyProtection="1">
      <alignment vertical="center"/>
      <protection locked="0"/>
    </xf>
    <xf numFmtId="41" fontId="56" fillId="0" borderId="0" xfId="97" applyNumberFormat="1" applyFont="1" applyFill="1" applyBorder="1" applyAlignment="1">
      <alignment horizontal="center" vertical="center"/>
    </xf>
    <xf numFmtId="41" fontId="56" fillId="0" borderId="0" xfId="97" applyNumberFormat="1" applyFont="1" applyFill="1" applyBorder="1" applyAlignment="1">
      <alignment horizontal="left" vertical="center"/>
    </xf>
    <xf numFmtId="41" fontId="56" fillId="0" borderId="0" xfId="97" applyNumberFormat="1" applyFont="1" applyFill="1" applyBorder="1" applyAlignment="1">
      <alignment vertical="center"/>
    </xf>
    <xf numFmtId="41" fontId="56" fillId="0" borderId="0" xfId="97" quotePrefix="1" applyNumberFormat="1" applyFont="1" applyFill="1" applyBorder="1" applyAlignment="1">
      <alignment horizontal="left" vertical="center"/>
    </xf>
    <xf numFmtId="41" fontId="58" fillId="0" borderId="0" xfId="97" applyNumberFormat="1" applyFont="1" applyFill="1" applyAlignment="1" applyProtection="1">
      <alignment horizontal="center" vertical="center"/>
      <protection locked="0"/>
    </xf>
    <xf numFmtId="41" fontId="57" fillId="0" borderId="0" xfId="97" applyNumberFormat="1" applyFont="1" applyFill="1" applyBorder="1" applyAlignment="1" applyProtection="1">
      <alignment horizontal="center" vertical="center"/>
      <protection locked="0"/>
    </xf>
    <xf numFmtId="41" fontId="56" fillId="0" borderId="0" xfId="97" quotePrefix="1" applyNumberFormat="1" applyFont="1" applyFill="1" applyBorder="1" applyAlignment="1">
      <alignment horizontal="center" vertical="center"/>
    </xf>
    <xf numFmtId="41" fontId="49" fillId="0" borderId="37" xfId="97" applyNumberFormat="1" applyFont="1" applyFill="1" applyBorder="1" applyAlignment="1">
      <alignment horizontal="center" vertical="center"/>
    </xf>
    <xf numFmtId="41" fontId="49" fillId="0" borderId="115" xfId="97" applyNumberFormat="1" applyFont="1" applyFill="1" applyBorder="1" applyAlignment="1">
      <alignment horizontal="center" vertical="center"/>
    </xf>
    <xf numFmtId="41" fontId="50" fillId="0" borderId="103" xfId="97" applyNumberFormat="1" applyFont="1" applyFill="1" applyBorder="1" applyAlignment="1">
      <alignment horizontal="center" vertical="center"/>
    </xf>
    <xf numFmtId="41" fontId="50" fillId="0" borderId="40" xfId="97" applyNumberFormat="1" applyFont="1" applyFill="1" applyBorder="1" applyAlignment="1">
      <alignment horizontal="center" vertical="center"/>
    </xf>
    <xf numFmtId="41" fontId="50" fillId="0" borderId="41" xfId="97" applyNumberFormat="1" applyFont="1" applyFill="1" applyBorder="1" applyAlignment="1">
      <alignment horizontal="center" vertical="center"/>
    </xf>
    <xf numFmtId="41" fontId="50" fillId="0" borderId="42" xfId="97" applyNumberFormat="1" applyFont="1" applyFill="1" applyBorder="1" applyAlignment="1">
      <alignment horizontal="center" vertical="center"/>
    </xf>
    <xf numFmtId="41" fontId="50" fillId="0" borderId="42" xfId="97" applyNumberFormat="1" applyFont="1" applyFill="1" applyBorder="1" applyAlignment="1">
      <alignment vertical="center"/>
    </xf>
    <xf numFmtId="41" fontId="50" fillId="0" borderId="154" xfId="3" applyNumberFormat="1" applyFont="1" applyFill="1" applyBorder="1" applyAlignment="1">
      <alignment horizontal="center" vertical="center"/>
    </xf>
    <xf numFmtId="0" fontId="56" fillId="0" borderId="155" xfId="176" applyFont="1" applyFill="1" applyBorder="1" applyAlignment="1">
      <alignment horizontal="center" vertical="center"/>
    </xf>
    <xf numFmtId="41" fontId="49" fillId="0" borderId="156" xfId="3" applyNumberFormat="1" applyFont="1" applyFill="1" applyBorder="1" applyAlignment="1">
      <alignment horizontal="left" vertical="center"/>
    </xf>
    <xf numFmtId="41" fontId="50" fillId="0" borderId="157" xfId="3" applyNumberFormat="1" applyFont="1" applyFill="1" applyBorder="1" applyAlignment="1">
      <alignment horizontal="center" vertical="center"/>
    </xf>
    <xf numFmtId="10" fontId="49" fillId="0" borderId="152" xfId="2" applyNumberFormat="1" applyFont="1" applyFill="1" applyBorder="1" applyAlignment="1">
      <alignment horizontal="center" vertical="center"/>
    </xf>
    <xf numFmtId="41" fontId="49" fillId="0" borderId="39" xfId="3" applyNumberFormat="1" applyFont="1" applyFill="1" applyBorder="1" applyAlignment="1">
      <alignment vertical="center"/>
    </xf>
    <xf numFmtId="41" fontId="49" fillId="0" borderId="158" xfId="3" applyNumberFormat="1" applyFont="1" applyFill="1" applyBorder="1" applyAlignment="1">
      <alignment vertical="center"/>
    </xf>
    <xf numFmtId="41" fontId="50" fillId="0" borderId="157" xfId="3" applyNumberFormat="1" applyFont="1" applyFill="1" applyBorder="1" applyAlignment="1">
      <alignment vertical="center"/>
    </xf>
    <xf numFmtId="41" fontId="50" fillId="0" borderId="153" xfId="3" applyNumberFormat="1" applyFont="1" applyFill="1" applyBorder="1" applyAlignment="1">
      <alignment horizontal="center" vertical="center"/>
    </xf>
    <xf numFmtId="41" fontId="49" fillId="0" borderId="159" xfId="3" applyNumberFormat="1" applyFont="1" applyFill="1" applyBorder="1" applyAlignment="1">
      <alignment horizontal="center" vertical="center"/>
    </xf>
    <xf numFmtId="41" fontId="49" fillId="0" borderId="160" xfId="3" applyNumberFormat="1" applyFont="1" applyFill="1" applyBorder="1" applyAlignment="1">
      <alignment horizontal="center" vertical="center"/>
    </xf>
    <xf numFmtId="41" fontId="49" fillId="0" borderId="160" xfId="1" applyFont="1" applyFill="1" applyBorder="1" applyAlignment="1">
      <alignment horizontal="center" vertical="center"/>
    </xf>
    <xf numFmtId="41" fontId="49" fillId="0" borderId="82" xfId="3" applyNumberFormat="1" applyFont="1" applyFill="1" applyBorder="1" applyAlignment="1">
      <alignment vertical="center"/>
    </xf>
    <xf numFmtId="41" fontId="49" fillId="0" borderId="161" xfId="3" applyNumberFormat="1" applyFont="1" applyFill="1" applyBorder="1" applyAlignment="1">
      <alignment vertical="center"/>
    </xf>
    <xf numFmtId="41" fontId="50" fillId="0" borderId="153" xfId="3" applyNumberFormat="1" applyFont="1" applyFill="1" applyBorder="1" applyAlignment="1">
      <alignment vertical="center"/>
    </xf>
    <xf numFmtId="41" fontId="50" fillId="0" borderId="165" xfId="3" applyNumberFormat="1" applyFont="1" applyFill="1" applyBorder="1" applyAlignment="1">
      <alignment horizontal="center" vertical="center"/>
    </xf>
    <xf numFmtId="41" fontId="50" fillId="0" borderId="0" xfId="1" applyFont="1" applyFill="1" applyAlignment="1" applyProtection="1">
      <alignment vertical="center"/>
      <protection locked="0"/>
    </xf>
    <xf numFmtId="41" fontId="50" fillId="0" borderId="157" xfId="1" applyFont="1" applyFill="1" applyBorder="1" applyAlignment="1">
      <alignment horizontal="center" vertical="center"/>
    </xf>
    <xf numFmtId="41" fontId="49" fillId="0" borderId="161" xfId="3" applyNumberFormat="1" applyFont="1" applyFill="1" applyBorder="1" applyAlignment="1">
      <alignment horizontal="center" vertical="center"/>
    </xf>
    <xf numFmtId="184" fontId="50" fillId="0" borderId="143" xfId="1" applyNumberFormat="1" applyFont="1" applyFill="1" applyBorder="1" applyAlignment="1">
      <alignment vertical="center"/>
    </xf>
    <xf numFmtId="41" fontId="49" fillId="0" borderId="163" xfId="97" applyNumberFormat="1" applyFont="1" applyFill="1" applyBorder="1" applyAlignment="1">
      <alignment horizontal="center" vertical="center"/>
    </xf>
    <xf numFmtId="41" fontId="49" fillId="0" borderId="171" xfId="97" applyNumberFormat="1" applyFont="1" applyFill="1" applyBorder="1" applyAlignment="1">
      <alignment vertical="center"/>
    </xf>
    <xf numFmtId="41" fontId="49" fillId="0" borderId="175" xfId="94" applyNumberFormat="1" applyFont="1" applyFill="1" applyBorder="1" applyAlignment="1">
      <alignment horizontal="center" vertical="center"/>
    </xf>
    <xf numFmtId="180" fontId="49" fillId="0" borderId="174" xfId="94" applyNumberFormat="1" applyFont="1" applyFill="1" applyBorder="1" applyAlignment="1">
      <alignment horizontal="center" vertical="center"/>
    </xf>
    <xf numFmtId="41" fontId="49" fillId="0" borderId="176" xfId="94" applyNumberFormat="1" applyFont="1" applyFill="1" applyBorder="1" applyAlignment="1">
      <alignment vertical="center" wrapText="1"/>
    </xf>
    <xf numFmtId="41" fontId="49" fillId="0" borderId="168" xfId="94" applyNumberFormat="1" applyFont="1" applyFill="1" applyBorder="1" applyAlignment="1">
      <alignment horizontal="center" vertical="center"/>
    </xf>
    <xf numFmtId="41" fontId="49" fillId="0" borderId="164" xfId="94" applyNumberFormat="1" applyFont="1" applyFill="1" applyBorder="1" applyAlignment="1">
      <alignment horizontal="center" vertical="center"/>
    </xf>
    <xf numFmtId="180" fontId="49" fillId="0" borderId="168" xfId="94" applyNumberFormat="1" applyFont="1" applyFill="1" applyBorder="1" applyAlignment="1">
      <alignment horizontal="center" vertical="center"/>
    </xf>
    <xf numFmtId="10" fontId="49" fillId="0" borderId="167" xfId="120" applyNumberFormat="1" applyFont="1" applyFill="1" applyBorder="1" applyAlignment="1">
      <alignment horizontal="center" vertical="center"/>
    </xf>
    <xf numFmtId="41" fontId="49" fillId="0" borderId="164" xfId="94" applyNumberFormat="1" applyFont="1" applyFill="1" applyBorder="1" applyAlignment="1">
      <alignment vertical="center" wrapText="1"/>
    </xf>
    <xf numFmtId="41" fontId="49" fillId="0" borderId="166" xfId="94" applyNumberFormat="1" applyFont="1" applyFill="1" applyBorder="1" applyAlignment="1">
      <alignment horizontal="center" vertical="center"/>
    </xf>
    <xf numFmtId="41" fontId="50" fillId="0" borderId="168" xfId="94" applyNumberFormat="1" applyFont="1" applyFill="1" applyBorder="1" applyAlignment="1">
      <alignment horizontal="center" vertical="center"/>
    </xf>
    <xf numFmtId="41" fontId="50" fillId="0" borderId="166" xfId="94" applyNumberFormat="1" applyFont="1" applyFill="1" applyBorder="1" applyAlignment="1">
      <alignment horizontal="center" vertical="center"/>
    </xf>
    <xf numFmtId="180" fontId="49" fillId="0" borderId="170" xfId="94" applyNumberFormat="1" applyFont="1" applyFill="1" applyBorder="1" applyAlignment="1">
      <alignment horizontal="center" vertical="center"/>
    </xf>
    <xf numFmtId="10" fontId="49" fillId="0" borderId="166" xfId="120" applyNumberFormat="1" applyFont="1" applyFill="1" applyBorder="1" applyAlignment="1">
      <alignment horizontal="center" vertical="center"/>
    </xf>
    <xf numFmtId="41" fontId="50" fillId="0" borderId="163" xfId="97" applyNumberFormat="1" applyFont="1" applyFill="1" applyBorder="1" applyAlignment="1" applyProtection="1">
      <alignment vertical="center"/>
      <protection locked="0"/>
    </xf>
    <xf numFmtId="41" fontId="50" fillId="0" borderId="161" xfId="97" applyNumberFormat="1" applyFont="1" applyFill="1" applyBorder="1" applyAlignment="1" applyProtection="1">
      <alignment vertical="center"/>
      <protection locked="0"/>
    </xf>
    <xf numFmtId="41" fontId="50" fillId="0" borderId="164" xfId="94" applyNumberFormat="1" applyFont="1" applyFill="1" applyBorder="1" applyAlignment="1">
      <alignment horizontal="center" vertical="center"/>
    </xf>
    <xf numFmtId="41" fontId="49" fillId="0" borderId="163" xfId="97" applyNumberFormat="1" applyFont="1" applyFill="1" applyBorder="1" applyAlignment="1" applyProtection="1">
      <alignment vertical="center"/>
      <protection locked="0"/>
    </xf>
    <xf numFmtId="41" fontId="49" fillId="0" borderId="161" xfId="97" applyNumberFormat="1" applyFont="1" applyFill="1" applyBorder="1" applyAlignment="1" applyProtection="1">
      <alignment vertical="center"/>
      <protection locked="0"/>
    </xf>
    <xf numFmtId="41" fontId="49" fillId="0" borderId="177" xfId="97" applyNumberFormat="1" applyFont="1" applyFill="1" applyBorder="1" applyAlignment="1">
      <alignment horizontal="center" vertical="center"/>
    </xf>
    <xf numFmtId="41" fontId="49" fillId="0" borderId="178" xfId="97" applyNumberFormat="1" applyFont="1" applyFill="1" applyBorder="1" applyAlignment="1">
      <alignment vertical="center"/>
    </xf>
    <xf numFmtId="41" fontId="49" fillId="0" borderId="179" xfId="94" applyNumberFormat="1" applyFont="1" applyFill="1" applyBorder="1" applyAlignment="1">
      <alignment horizontal="center" vertical="center"/>
    </xf>
    <xf numFmtId="180" fontId="49" fillId="0" borderId="180" xfId="94" applyNumberFormat="1" applyFont="1" applyFill="1" applyBorder="1" applyAlignment="1">
      <alignment horizontal="center" vertical="center"/>
    </xf>
    <xf numFmtId="10" fontId="49" fillId="0" borderId="181" xfId="120" applyNumberFormat="1" applyFont="1" applyFill="1" applyBorder="1" applyAlignment="1">
      <alignment horizontal="center" vertical="center"/>
    </xf>
    <xf numFmtId="41" fontId="49" fillId="0" borderId="179" xfId="94" applyNumberFormat="1" applyFont="1" applyFill="1" applyBorder="1" applyAlignment="1">
      <alignment vertical="center" wrapText="1"/>
    </xf>
    <xf numFmtId="41" fontId="50" fillId="0" borderId="183" xfId="119" applyNumberFormat="1" applyFont="1" applyFill="1" applyBorder="1" applyAlignment="1">
      <alignment horizontal="center" vertical="center"/>
    </xf>
    <xf numFmtId="41" fontId="49" fillId="0" borderId="163" xfId="94" applyNumberFormat="1" applyFont="1" applyFill="1" applyBorder="1" applyAlignment="1">
      <alignment horizontal="right" vertical="center"/>
    </xf>
    <xf numFmtId="41" fontId="49" fillId="0" borderId="177" xfId="94" applyNumberFormat="1" applyFont="1" applyFill="1" applyBorder="1" applyAlignment="1">
      <alignment horizontal="right" vertical="center"/>
    </xf>
    <xf numFmtId="41" fontId="50" fillId="0" borderId="172" xfId="119" applyNumberFormat="1" applyFont="1" applyFill="1" applyBorder="1" applyAlignment="1">
      <alignment horizontal="center" vertical="center"/>
    </xf>
    <xf numFmtId="41" fontId="49" fillId="0" borderId="164" xfId="94" applyNumberFormat="1" applyFont="1" applyFill="1" applyBorder="1" applyAlignment="1">
      <alignment horizontal="right" vertical="center"/>
    </xf>
    <xf numFmtId="41" fontId="49" fillId="0" borderId="179" xfId="94" applyNumberFormat="1" applyFont="1" applyFill="1" applyBorder="1" applyAlignment="1">
      <alignment horizontal="right" vertical="center"/>
    </xf>
    <xf numFmtId="41" fontId="50" fillId="26" borderId="142" xfId="119" applyNumberFormat="1" applyFont="1" applyFill="1" applyBorder="1" applyAlignment="1" applyProtection="1">
      <alignment vertical="center"/>
      <protection locked="0"/>
    </xf>
    <xf numFmtId="41" fontId="57" fillId="0" borderId="185" xfId="97" applyNumberFormat="1" applyFont="1" applyFill="1" applyBorder="1" applyAlignment="1">
      <alignment horizontal="center" vertical="center"/>
    </xf>
    <xf numFmtId="0" fontId="67" fillId="0" borderId="0" xfId="177" applyFont="1" applyAlignment="1">
      <alignment horizontal="center" vertical="center"/>
    </xf>
    <xf numFmtId="0" fontId="67" fillId="0" borderId="0" xfId="177" applyFont="1" applyFill="1" applyAlignment="1">
      <alignment horizontal="center" vertical="center"/>
    </xf>
    <xf numFmtId="0" fontId="66" fillId="0" borderId="0" xfId="177" applyFont="1" applyAlignment="1">
      <alignment horizontal="center" vertical="center"/>
    </xf>
    <xf numFmtId="41" fontId="49" fillId="0" borderId="200" xfId="97" applyNumberFormat="1" applyFont="1" applyFill="1" applyBorder="1" applyAlignment="1">
      <alignment horizontal="right" vertical="center"/>
    </xf>
    <xf numFmtId="41" fontId="50" fillId="0" borderId="204" xfId="97" applyNumberFormat="1" applyFont="1" applyFill="1" applyBorder="1" applyAlignment="1">
      <alignment horizontal="center" vertical="center"/>
    </xf>
    <xf numFmtId="41" fontId="50" fillId="0" borderId="203" xfId="97" applyNumberFormat="1" applyFont="1" applyFill="1" applyBorder="1" applyAlignment="1">
      <alignment horizontal="center" vertical="center"/>
    </xf>
    <xf numFmtId="14" fontId="49" fillId="0" borderId="205" xfId="97" applyNumberFormat="1" applyFont="1" applyFill="1" applyBorder="1" applyAlignment="1">
      <alignment horizontal="center" vertical="center"/>
    </xf>
    <xf numFmtId="41" fontId="49" fillId="0" borderId="205" xfId="97" applyNumberFormat="1" applyFont="1" applyFill="1" applyBorder="1" applyAlignment="1">
      <alignment horizontal="center" vertical="center"/>
    </xf>
    <xf numFmtId="41" fontId="49" fillId="0" borderId="205" xfId="97" applyNumberFormat="1" applyFont="1" applyFill="1" applyBorder="1" applyAlignment="1">
      <alignment horizontal="right" vertical="center"/>
    </xf>
    <xf numFmtId="41" fontId="49" fillId="0" borderId="169" xfId="97" applyNumberFormat="1" applyFont="1" applyFill="1" applyBorder="1" applyAlignment="1">
      <alignment vertical="center"/>
    </xf>
    <xf numFmtId="41" fontId="49" fillId="0" borderId="164" xfId="97" applyNumberFormat="1" applyFont="1" applyFill="1" applyBorder="1" applyAlignment="1">
      <alignment vertical="center"/>
    </xf>
    <xf numFmtId="41" fontId="49" fillId="0" borderId="173" xfId="97" applyNumberFormat="1" applyFont="1" applyFill="1" applyBorder="1" applyAlignment="1">
      <alignment vertical="center"/>
    </xf>
    <xf numFmtId="41" fontId="49" fillId="0" borderId="164" xfId="97" quotePrefix="1" applyNumberFormat="1" applyFont="1" applyFill="1" applyBorder="1" applyAlignment="1">
      <alignment vertical="center"/>
    </xf>
    <xf numFmtId="41" fontId="49" fillId="0" borderId="183" xfId="97" applyNumberFormat="1" applyFont="1" applyFill="1" applyBorder="1" applyAlignment="1">
      <alignment horizontal="center" vertical="center"/>
    </xf>
    <xf numFmtId="41" fontId="49" fillId="0" borderId="172" xfId="97" applyNumberFormat="1" applyFont="1" applyFill="1" applyBorder="1" applyAlignment="1">
      <alignment vertical="center"/>
    </xf>
    <xf numFmtId="187" fontId="49" fillId="0" borderId="118" xfId="97" applyNumberFormat="1" applyFont="1" applyFill="1" applyBorder="1" applyAlignment="1">
      <alignment vertical="center"/>
    </xf>
    <xf numFmtId="41" fontId="49" fillId="0" borderId="61" xfId="97" applyNumberFormat="1" applyFont="1" applyFill="1" applyBorder="1" applyAlignment="1">
      <alignment vertical="center"/>
    </xf>
    <xf numFmtId="187" fontId="49" fillId="0" borderId="164" xfId="97" applyNumberFormat="1" applyFont="1" applyFill="1" applyBorder="1" applyAlignment="1">
      <alignment vertical="center"/>
    </xf>
    <xf numFmtId="41" fontId="49" fillId="0" borderId="164" xfId="97" applyNumberFormat="1" applyFont="1" applyFill="1" applyBorder="1" applyAlignment="1">
      <alignment horizontal="center" vertical="center"/>
    </xf>
    <xf numFmtId="41" fontId="50" fillId="0" borderId="154" xfId="97" applyNumberFormat="1" applyFont="1" applyFill="1" applyBorder="1" applyAlignment="1">
      <alignment horizontal="center" vertical="center"/>
    </xf>
    <xf numFmtId="41" fontId="49" fillId="0" borderId="163" xfId="97" applyNumberFormat="1" applyFont="1" applyFill="1" applyBorder="1" applyAlignment="1">
      <alignment vertical="center"/>
    </xf>
    <xf numFmtId="13" fontId="49" fillId="0" borderId="163" xfId="97" applyNumberFormat="1" applyFont="1" applyFill="1" applyBorder="1" applyAlignment="1">
      <alignment horizontal="center" vertical="center"/>
    </xf>
    <xf numFmtId="41" fontId="49" fillId="0" borderId="163" xfId="97" quotePrefix="1" applyNumberFormat="1" applyFont="1" applyFill="1" applyBorder="1" applyAlignment="1">
      <alignment vertical="center"/>
    </xf>
    <xf numFmtId="41" fontId="49" fillId="0" borderId="171" xfId="97" applyNumberFormat="1" applyFont="1" applyFill="1" applyBorder="1" applyAlignment="1">
      <alignment horizontal="center" vertical="center"/>
    </xf>
    <xf numFmtId="41" fontId="49" fillId="0" borderId="37" xfId="97" applyNumberFormat="1" applyFont="1" applyFill="1" applyBorder="1" applyAlignment="1">
      <alignment horizontal="center" vertical="center"/>
    </xf>
    <xf numFmtId="41" fontId="49" fillId="62" borderId="0" xfId="97" applyNumberFormat="1" applyFont="1" applyFill="1" applyAlignment="1" applyProtection="1">
      <alignment vertical="center"/>
      <protection locked="0"/>
    </xf>
    <xf numFmtId="41" fontId="49" fillId="60" borderId="0" xfId="97" applyNumberFormat="1" applyFont="1" applyFill="1" applyAlignment="1" applyProtection="1">
      <alignment vertical="center"/>
      <protection locked="0"/>
    </xf>
    <xf numFmtId="41" fontId="49" fillId="63" borderId="0" xfId="97" applyNumberFormat="1" applyFont="1" applyFill="1" applyAlignment="1" applyProtection="1">
      <alignment vertical="center"/>
      <protection locked="0"/>
    </xf>
    <xf numFmtId="41" fontId="49" fillId="0" borderId="170" xfId="1" applyFont="1" applyFill="1" applyBorder="1" applyAlignment="1">
      <alignment vertical="center"/>
    </xf>
    <xf numFmtId="41" fontId="49" fillId="0" borderId="206" xfId="97" applyNumberFormat="1" applyFont="1" applyFill="1" applyBorder="1" applyAlignment="1">
      <alignment horizontal="center" vertical="center"/>
    </xf>
    <xf numFmtId="41" fontId="49" fillId="0" borderId="207" xfId="97" applyNumberFormat="1" applyFont="1" applyFill="1" applyBorder="1" applyAlignment="1">
      <alignment vertical="center"/>
    </xf>
    <xf numFmtId="41" fontId="49" fillId="0" borderId="209" xfId="97" applyNumberFormat="1" applyFont="1" applyFill="1" applyBorder="1" applyAlignment="1">
      <alignment vertical="center"/>
    </xf>
    <xf numFmtId="41" fontId="49" fillId="0" borderId="208" xfId="97" applyNumberFormat="1" applyFont="1" applyFill="1" applyBorder="1" applyAlignment="1">
      <alignment vertical="center"/>
    </xf>
    <xf numFmtId="41" fontId="49" fillId="0" borderId="206" xfId="97" applyNumberFormat="1" applyFont="1" applyFill="1" applyBorder="1" applyAlignment="1">
      <alignment vertical="center"/>
    </xf>
    <xf numFmtId="41" fontId="49" fillId="0" borderId="211" xfId="97" applyNumberFormat="1" applyFont="1" applyFill="1" applyBorder="1" applyAlignment="1">
      <alignment horizontal="right" vertical="center"/>
    </xf>
    <xf numFmtId="189" fontId="67" fillId="0" borderId="0" xfId="2" applyNumberFormat="1" applyFont="1" applyAlignment="1">
      <alignment horizontal="center" vertical="center"/>
    </xf>
    <xf numFmtId="41" fontId="57" fillId="0" borderId="221" xfId="97" applyNumberFormat="1" applyFont="1" applyFill="1" applyBorder="1" applyAlignment="1">
      <alignment horizontal="center" vertical="center"/>
    </xf>
    <xf numFmtId="41" fontId="57" fillId="0" borderId="222" xfId="97" applyNumberFormat="1" applyFont="1" applyFill="1" applyBorder="1" applyAlignment="1">
      <alignment horizontal="right" vertical="center"/>
    </xf>
    <xf numFmtId="41" fontId="57" fillId="0" borderId="221" xfId="97" applyNumberFormat="1" applyFont="1" applyFill="1" applyBorder="1" applyAlignment="1">
      <alignment vertical="center"/>
    </xf>
    <xf numFmtId="41" fontId="57" fillId="0" borderId="223" xfId="97" applyNumberFormat="1" applyFont="1" applyFill="1" applyBorder="1" applyAlignment="1">
      <alignment horizontal="center" vertical="center"/>
    </xf>
    <xf numFmtId="14" fontId="49" fillId="0" borderId="4" xfId="3" applyNumberFormat="1" applyFont="1" applyFill="1" applyBorder="1" applyAlignment="1">
      <alignment horizontal="center" vertical="center"/>
    </xf>
    <xf numFmtId="41" fontId="49" fillId="0" borderId="210" xfId="3" applyNumberFormat="1" applyFont="1" applyFill="1" applyBorder="1" applyAlignment="1">
      <alignment horizontal="center" vertical="center"/>
    </xf>
    <xf numFmtId="41" fontId="57" fillId="0" borderId="228" xfId="97" applyNumberFormat="1" applyFont="1" applyFill="1" applyBorder="1" applyAlignment="1">
      <alignment horizontal="center" vertical="center"/>
    </xf>
    <xf numFmtId="41" fontId="49" fillId="0" borderId="172" xfId="94" applyNumberFormat="1" applyFont="1" applyFill="1" applyBorder="1" applyAlignment="1">
      <alignment vertical="center"/>
    </xf>
    <xf numFmtId="41" fontId="50" fillId="26" borderId="154" xfId="97" applyNumberFormat="1" applyFont="1" applyFill="1" applyBorder="1" applyAlignment="1">
      <alignment horizontal="center" vertical="center"/>
    </xf>
    <xf numFmtId="41" fontId="50" fillId="26" borderId="1" xfId="97" applyNumberFormat="1" applyFont="1" applyFill="1" applyBorder="1" applyAlignment="1">
      <alignment horizontal="center" vertical="center"/>
    </xf>
    <xf numFmtId="41" fontId="50" fillId="0" borderId="230" xfId="97" applyNumberFormat="1" applyFont="1" applyFill="1" applyBorder="1" applyAlignment="1">
      <alignment horizontal="center" vertical="center"/>
    </xf>
    <xf numFmtId="41" fontId="50" fillId="0" borderId="231" xfId="97" applyNumberFormat="1" applyFont="1" applyFill="1" applyBorder="1" applyAlignment="1">
      <alignment horizontal="center" vertical="center"/>
    </xf>
    <xf numFmtId="41" fontId="50" fillId="0" borderId="232" xfId="97" applyNumberFormat="1" applyFont="1" applyFill="1" applyBorder="1" applyAlignment="1">
      <alignment horizontal="center" vertical="center"/>
    </xf>
    <xf numFmtId="41" fontId="50" fillId="0" borderId="225" xfId="97" applyNumberFormat="1" applyFont="1" applyFill="1" applyBorder="1" applyAlignment="1">
      <alignment horizontal="center" vertical="center"/>
    </xf>
    <xf numFmtId="41" fontId="50" fillId="0" borderId="233" xfId="97" applyNumberFormat="1" applyFont="1" applyFill="1" applyBorder="1" applyAlignment="1">
      <alignment vertical="center"/>
    </xf>
    <xf numFmtId="41" fontId="49" fillId="0" borderId="210" xfId="97" applyNumberFormat="1" applyFont="1" applyFill="1" applyBorder="1" applyAlignment="1">
      <alignment vertical="center"/>
    </xf>
    <xf numFmtId="41" fontId="49" fillId="0" borderId="211" xfId="97" applyNumberFormat="1" applyFont="1" applyFill="1" applyBorder="1" applyAlignment="1">
      <alignment vertical="center"/>
    </xf>
    <xf numFmtId="41" fontId="49" fillId="0" borderId="206" xfId="97" applyNumberFormat="1" applyFont="1" applyFill="1" applyBorder="1" applyAlignment="1">
      <alignment horizontal="left" vertical="center"/>
    </xf>
    <xf numFmtId="41" fontId="49" fillId="0" borderId="206" xfId="97" applyNumberFormat="1" applyFont="1" applyFill="1" applyBorder="1" applyAlignment="1">
      <alignment horizontal="left" vertical="center" wrapText="1"/>
    </xf>
    <xf numFmtId="41" fontId="57" fillId="60" borderId="162" xfId="109" applyNumberFormat="1" applyFont="1" applyFill="1" applyBorder="1" applyAlignment="1">
      <alignment vertical="center"/>
    </xf>
    <xf numFmtId="41" fontId="50" fillId="0" borderId="229" xfId="97" applyNumberFormat="1" applyFont="1" applyFill="1" applyBorder="1" applyAlignment="1">
      <alignment vertical="center"/>
    </xf>
    <xf numFmtId="41" fontId="57" fillId="60" borderId="210" xfId="167" applyNumberFormat="1" applyFont="1" applyFill="1" applyBorder="1" applyAlignment="1">
      <alignment vertical="center"/>
    </xf>
    <xf numFmtId="41" fontId="49" fillId="0" borderId="167" xfId="97" applyNumberFormat="1" applyFont="1" applyFill="1" applyBorder="1" applyAlignment="1">
      <alignment vertical="center"/>
    </xf>
    <xf numFmtId="41" fontId="49" fillId="0" borderId="199" xfId="97" applyNumberFormat="1" applyFont="1" applyFill="1" applyBorder="1" applyAlignment="1">
      <alignment vertical="center"/>
    </xf>
    <xf numFmtId="41" fontId="50" fillId="0" borderId="235" xfId="97" applyNumberFormat="1" applyFont="1" applyFill="1" applyBorder="1" applyAlignment="1">
      <alignment vertical="center"/>
    </xf>
    <xf numFmtId="41" fontId="50" fillId="0" borderId="234" xfId="97" applyNumberFormat="1" applyFont="1" applyFill="1" applyBorder="1" applyAlignment="1">
      <alignment vertical="center"/>
    </xf>
    <xf numFmtId="41" fontId="93" fillId="0" borderId="114" xfId="97" applyNumberFormat="1" applyFont="1" applyFill="1" applyBorder="1" applyAlignment="1">
      <alignment vertical="center"/>
    </xf>
    <xf numFmtId="41" fontId="93" fillId="0" borderId="147" xfId="109" applyNumberFormat="1" applyFont="1" applyFill="1" applyBorder="1" applyAlignment="1">
      <alignment vertical="center"/>
    </xf>
    <xf numFmtId="41" fontId="49" fillId="0" borderId="245" xfId="3" applyNumberFormat="1" applyFont="1" applyFill="1" applyBorder="1" applyAlignment="1">
      <alignment horizontal="center" vertical="center"/>
    </xf>
    <xf numFmtId="41" fontId="49" fillId="0" borderId="246" xfId="3" applyNumberFormat="1" applyFont="1" applyFill="1" applyBorder="1" applyAlignment="1" applyProtection="1">
      <alignment vertical="center"/>
      <protection locked="0"/>
    </xf>
    <xf numFmtId="190" fontId="49" fillId="0" borderId="247" xfId="3" applyNumberFormat="1" applyFont="1" applyFill="1" applyBorder="1" applyAlignment="1">
      <alignment horizontal="center" vertical="center"/>
    </xf>
    <xf numFmtId="41" fontId="50" fillId="0" borderId="248" xfId="3" applyNumberFormat="1" applyFont="1" applyFill="1" applyBorder="1" applyAlignment="1">
      <alignment horizontal="center" vertical="center"/>
    </xf>
    <xf numFmtId="41" fontId="50" fillId="0" borderId="249" xfId="3" applyNumberFormat="1" applyFont="1" applyFill="1" applyBorder="1" applyAlignment="1">
      <alignment vertical="center"/>
    </xf>
    <xf numFmtId="41" fontId="50" fillId="0" borderId="249" xfId="3" applyNumberFormat="1" applyFont="1" applyFill="1" applyBorder="1" applyAlignment="1">
      <alignment horizontal="center" vertical="center"/>
    </xf>
    <xf numFmtId="41" fontId="50" fillId="0" borderId="250" xfId="3" applyNumberFormat="1" applyFont="1" applyFill="1" applyBorder="1" applyAlignment="1">
      <alignment horizontal="center" vertical="center"/>
    </xf>
    <xf numFmtId="41" fontId="50" fillId="0" borderId="251" xfId="3" applyNumberFormat="1" applyFont="1" applyFill="1" applyBorder="1" applyAlignment="1">
      <alignment horizontal="center" vertical="center"/>
    </xf>
    <xf numFmtId="41" fontId="50" fillId="0" borderId="252" xfId="3" applyNumberFormat="1" applyFont="1" applyFill="1" applyBorder="1" applyAlignment="1">
      <alignment vertical="center"/>
    </xf>
    <xf numFmtId="41" fontId="50" fillId="0" borderId="252" xfId="3" applyNumberFormat="1" applyFont="1" applyFill="1" applyBorder="1" applyAlignment="1">
      <alignment horizontal="center" vertical="center"/>
    </xf>
    <xf numFmtId="41" fontId="50" fillId="0" borderId="253" xfId="3" applyNumberFormat="1" applyFont="1" applyFill="1" applyBorder="1" applyAlignment="1">
      <alignment horizontal="center" vertical="center"/>
    </xf>
    <xf numFmtId="41" fontId="93" fillId="0" borderId="255" xfId="109" applyNumberFormat="1" applyFont="1" applyFill="1" applyBorder="1" applyAlignment="1">
      <alignment vertical="center"/>
    </xf>
    <xf numFmtId="41" fontId="49" fillId="0" borderId="118" xfId="97" applyNumberFormat="1" applyFont="1" applyFill="1" applyBorder="1" applyAlignment="1">
      <alignment vertical="center"/>
    </xf>
    <xf numFmtId="41" fontId="49" fillId="0" borderId="256" xfId="97" applyNumberFormat="1" applyFont="1" applyFill="1" applyBorder="1" applyAlignment="1">
      <alignment vertical="center"/>
    </xf>
    <xf numFmtId="38" fontId="56" fillId="0" borderId="184" xfId="200" applyNumberFormat="1" applyFont="1" applyFill="1" applyBorder="1" applyAlignment="1">
      <alignment vertical="center"/>
    </xf>
    <xf numFmtId="41" fontId="56" fillId="0" borderId="258" xfId="1" applyFont="1" applyFill="1" applyBorder="1" applyAlignment="1">
      <alignment vertical="center"/>
    </xf>
    <xf numFmtId="38" fontId="56" fillId="0" borderId="254" xfId="200" applyNumberFormat="1" applyFont="1" applyFill="1" applyBorder="1" applyAlignment="1">
      <alignment vertical="center"/>
    </xf>
    <xf numFmtId="41" fontId="50" fillId="0" borderId="259" xfId="97" applyNumberFormat="1" applyFont="1" applyFill="1" applyBorder="1" applyAlignment="1">
      <alignment horizontal="center" vertical="center"/>
    </xf>
    <xf numFmtId="41" fontId="49" fillId="0" borderId="260" xfId="97" applyNumberFormat="1" applyFont="1" applyFill="1" applyBorder="1" applyAlignment="1">
      <alignment horizontal="center" vertical="center"/>
    </xf>
    <xf numFmtId="187" fontId="49" fillId="0" borderId="256" xfId="97" applyNumberFormat="1" applyFont="1" applyFill="1" applyBorder="1" applyAlignment="1">
      <alignment vertical="center"/>
    </xf>
    <xf numFmtId="41" fontId="49" fillId="0" borderId="261" xfId="97" applyNumberFormat="1" applyFont="1" applyFill="1" applyBorder="1" applyAlignment="1">
      <alignment vertical="center"/>
    </xf>
    <xf numFmtId="41" fontId="49" fillId="0" borderId="260" xfId="3" applyNumberFormat="1" applyFont="1" applyFill="1" applyBorder="1" applyAlignment="1">
      <alignment horizontal="left" vertical="center"/>
    </xf>
    <xf numFmtId="41" fontId="49" fillId="0" borderId="260" xfId="3" applyNumberFormat="1" applyFont="1" applyFill="1" applyBorder="1" applyAlignment="1">
      <alignment vertical="center"/>
    </xf>
    <xf numFmtId="41" fontId="49" fillId="0" borderId="260" xfId="3" applyNumberFormat="1" applyFont="1" applyFill="1" applyBorder="1" applyAlignment="1">
      <alignment horizontal="center" vertical="center"/>
    </xf>
    <xf numFmtId="41" fontId="49" fillId="0" borderId="256" xfId="3" applyNumberFormat="1" applyFont="1" applyFill="1" applyBorder="1" applyAlignment="1">
      <alignment vertical="center"/>
    </xf>
    <xf numFmtId="41" fontId="49" fillId="0" borderId="261" xfId="3" applyNumberFormat="1" applyFont="1" applyFill="1" applyBorder="1" applyAlignment="1">
      <alignment horizontal="left" vertical="center"/>
    </xf>
    <xf numFmtId="41" fontId="49" fillId="0" borderId="256" xfId="3" applyNumberFormat="1" applyFont="1" applyFill="1" applyBorder="1" applyAlignment="1">
      <alignment horizontal="right" vertical="center"/>
    </xf>
    <xf numFmtId="41" fontId="49" fillId="0" borderId="262" xfId="94" applyNumberFormat="1" applyFont="1" applyFill="1" applyBorder="1" applyAlignment="1">
      <alignment horizontal="center" vertical="center"/>
    </xf>
    <xf numFmtId="41" fontId="49" fillId="0" borderId="263" xfId="94" applyNumberFormat="1" applyFont="1" applyFill="1" applyBorder="1" applyAlignment="1">
      <alignment horizontal="center" vertical="center"/>
    </xf>
    <xf numFmtId="41" fontId="49" fillId="0" borderId="256" xfId="94" applyNumberFormat="1" applyFont="1" applyFill="1" applyBorder="1" applyAlignment="1">
      <alignment horizontal="center" vertical="center"/>
    </xf>
    <xf numFmtId="180" fontId="49" fillId="0" borderId="262" xfId="94" applyNumberFormat="1" applyFont="1" applyFill="1" applyBorder="1" applyAlignment="1">
      <alignment horizontal="center" vertical="center"/>
    </xf>
    <xf numFmtId="10" fontId="49" fillId="0" borderId="264" xfId="120" applyNumberFormat="1" applyFont="1" applyFill="1" applyBorder="1" applyAlignment="1">
      <alignment horizontal="center" vertical="center"/>
    </xf>
    <xf numFmtId="41" fontId="49" fillId="0" borderId="260" xfId="94" applyNumberFormat="1" applyFont="1" applyFill="1" applyBorder="1" applyAlignment="1">
      <alignment horizontal="right" vertical="center"/>
    </xf>
    <xf numFmtId="41" fontId="49" fillId="0" borderId="256" xfId="94" applyNumberFormat="1" applyFont="1" applyFill="1" applyBorder="1" applyAlignment="1">
      <alignment horizontal="right" vertical="center"/>
    </xf>
    <xf numFmtId="41" fontId="49" fillId="0" borderId="256" xfId="94" applyNumberFormat="1" applyFont="1" applyFill="1" applyBorder="1" applyAlignment="1">
      <alignment vertical="center" wrapText="1"/>
    </xf>
    <xf numFmtId="14" fontId="49" fillId="0" borderId="82" xfId="97" applyNumberFormat="1" applyFont="1" applyFill="1" applyBorder="1" applyAlignment="1">
      <alignment horizontal="center" vertical="center"/>
    </xf>
    <xf numFmtId="14" fontId="49" fillId="0" borderId="38" xfId="97" applyNumberFormat="1" applyFont="1" applyFill="1" applyBorder="1" applyAlignment="1">
      <alignment horizontal="center" vertical="center"/>
    </xf>
    <xf numFmtId="14" fontId="50" fillId="0" borderId="0" xfId="97" applyNumberFormat="1" applyFont="1" applyFill="1" applyAlignment="1" applyProtection="1">
      <alignment vertical="center"/>
      <protection locked="0"/>
    </xf>
    <xf numFmtId="41" fontId="49" fillId="0" borderId="266" xfId="97" applyNumberFormat="1" applyFont="1" applyFill="1" applyBorder="1" applyAlignment="1">
      <alignment horizontal="right" vertical="center"/>
    </xf>
    <xf numFmtId="41" fontId="50" fillId="0" borderId="267" xfId="97" applyNumberFormat="1" applyFont="1" applyFill="1" applyBorder="1" applyAlignment="1" applyProtection="1">
      <alignment vertical="center"/>
      <protection locked="0"/>
    </xf>
    <xf numFmtId="41" fontId="49" fillId="0" borderId="268" xfId="97" applyNumberFormat="1" applyFont="1" applyFill="1" applyBorder="1" applyAlignment="1">
      <alignment horizontal="right" vertical="center"/>
    </xf>
    <xf numFmtId="41" fontId="49" fillId="0" borderId="269" xfId="97" applyNumberFormat="1" applyFont="1" applyFill="1" applyBorder="1" applyAlignment="1">
      <alignment vertical="center"/>
    </xf>
    <xf numFmtId="41" fontId="49" fillId="0" borderId="270" xfId="97" applyNumberFormat="1" applyFont="1" applyFill="1" applyBorder="1" applyAlignment="1">
      <alignment horizontal="center" vertical="center"/>
    </xf>
    <xf numFmtId="14" fontId="49" fillId="0" borderId="271" xfId="97" applyNumberFormat="1" applyFont="1" applyFill="1" applyBorder="1" applyAlignment="1">
      <alignment horizontal="center" vertical="center"/>
    </xf>
    <xf numFmtId="14" fontId="49" fillId="0" borderId="272" xfId="97" applyNumberFormat="1" applyFont="1" applyFill="1" applyBorder="1" applyAlignment="1">
      <alignment horizontal="center" vertical="center"/>
    </xf>
    <xf numFmtId="41" fontId="49" fillId="0" borderId="269" xfId="97" applyNumberFormat="1" applyFont="1" applyFill="1" applyBorder="1" applyAlignment="1">
      <alignment horizontal="center" vertical="center"/>
    </xf>
    <xf numFmtId="41" fontId="49" fillId="0" borderId="273" xfId="97" applyNumberFormat="1" applyFont="1" applyFill="1" applyBorder="1" applyAlignment="1">
      <alignment horizontal="right" vertical="center"/>
    </xf>
    <xf numFmtId="41" fontId="49" fillId="0" borderId="0" xfId="1" applyFont="1" applyFill="1" applyBorder="1" applyAlignment="1" applyProtection="1">
      <alignment vertical="center"/>
      <protection locked="0"/>
    </xf>
    <xf numFmtId="41" fontId="49" fillId="0" borderId="260" xfId="97" quotePrefix="1" applyNumberFormat="1" applyFont="1" applyFill="1" applyBorder="1" applyAlignment="1">
      <alignment vertical="center"/>
    </xf>
    <xf numFmtId="41" fontId="57" fillId="60" borderId="275" xfId="97" applyNumberFormat="1" applyFont="1" applyFill="1" applyBorder="1" applyAlignment="1" applyProtection="1">
      <alignment vertical="center"/>
      <protection locked="0"/>
    </xf>
    <xf numFmtId="41" fontId="93" fillId="0" borderId="242" xfId="109" applyNumberFormat="1" applyFont="1" applyFill="1" applyBorder="1" applyAlignment="1">
      <alignment vertical="center"/>
    </xf>
    <xf numFmtId="0" fontId="60" fillId="0" borderId="0" xfId="177" applyFont="1">
      <alignment vertical="center"/>
    </xf>
    <xf numFmtId="41" fontId="60" fillId="62" borderId="291" xfId="210" applyFont="1" applyFill="1" applyBorder="1" applyAlignment="1">
      <alignment horizontal="center" vertical="center"/>
    </xf>
    <xf numFmtId="41" fontId="60" fillId="62" borderId="291" xfId="210" applyFont="1" applyFill="1" applyBorder="1" applyAlignment="1">
      <alignment horizontal="center" vertical="center" wrapText="1"/>
    </xf>
    <xf numFmtId="0" fontId="60" fillId="0" borderId="0" xfId="177" applyFont="1" applyFill="1">
      <alignment vertical="center"/>
    </xf>
    <xf numFmtId="41" fontId="60" fillId="0" borderId="291" xfId="210" applyFont="1" applyFill="1" applyBorder="1" applyAlignment="1">
      <alignment horizontal="center" vertical="center"/>
    </xf>
    <xf numFmtId="14" fontId="60" fillId="0" borderId="291" xfId="210" applyNumberFormat="1" applyFont="1" applyFill="1" applyBorder="1" applyAlignment="1">
      <alignment horizontal="center" vertical="center"/>
    </xf>
    <xf numFmtId="10" fontId="60" fillId="0" borderId="291" xfId="210" applyNumberFormat="1" applyFont="1" applyFill="1" applyBorder="1" applyAlignment="1">
      <alignment horizontal="center" vertical="center"/>
    </xf>
    <xf numFmtId="0" fontId="61" fillId="0" borderId="0" xfId="177" applyFont="1">
      <alignment vertical="center"/>
    </xf>
    <xf numFmtId="10" fontId="60" fillId="0" borderId="292" xfId="211" applyNumberFormat="1" applyFont="1" applyBorder="1" applyAlignment="1">
      <alignment horizontal="center" vertical="center"/>
    </xf>
    <xf numFmtId="10" fontId="60" fillId="0" borderId="293" xfId="211" applyNumberFormat="1" applyFont="1" applyBorder="1" applyAlignment="1">
      <alignment horizontal="center" vertical="center"/>
    </xf>
    <xf numFmtId="14" fontId="60" fillId="62" borderId="291" xfId="177" applyNumberFormat="1" applyFont="1" applyFill="1" applyBorder="1" applyAlignment="1">
      <alignment horizontal="center" vertical="center"/>
    </xf>
    <xf numFmtId="0" fontId="61" fillId="0" borderId="0" xfId="177" applyFont="1" applyFill="1">
      <alignment vertical="center"/>
    </xf>
    <xf numFmtId="191" fontId="61" fillId="0" borderId="291" xfId="177" applyNumberFormat="1" applyFont="1" applyFill="1" applyBorder="1" applyAlignment="1">
      <alignment horizontal="center" vertical="center"/>
    </xf>
    <xf numFmtId="41" fontId="61" fillId="0" borderId="291" xfId="210" applyFont="1" applyFill="1" applyBorder="1">
      <alignment vertical="center"/>
    </xf>
    <xf numFmtId="41" fontId="61" fillId="27" borderId="291" xfId="210" applyFont="1" applyFill="1" applyBorder="1">
      <alignment vertical="center"/>
    </xf>
    <xf numFmtId="0" fontId="61" fillId="0" borderId="0" xfId="177" quotePrefix="1" applyFont="1" applyFill="1">
      <alignment vertical="center"/>
    </xf>
    <xf numFmtId="41" fontId="60" fillId="0" borderId="0" xfId="210" applyFont="1" applyFill="1">
      <alignment vertical="center"/>
    </xf>
    <xf numFmtId="41" fontId="61" fillId="0" borderId="0" xfId="177" applyNumberFormat="1" applyFont="1" applyFill="1">
      <alignment vertical="center"/>
    </xf>
    <xf numFmtId="41" fontId="61" fillId="0" borderId="0" xfId="210" applyFont="1" applyFill="1">
      <alignment vertical="center"/>
    </xf>
    <xf numFmtId="191" fontId="60" fillId="0" borderId="291" xfId="177" applyNumberFormat="1" applyFont="1" applyFill="1" applyBorder="1" applyAlignment="1">
      <alignment horizontal="center" vertical="center"/>
    </xf>
    <xf numFmtId="41" fontId="60" fillId="0" borderId="291" xfId="210" applyFont="1" applyFill="1" applyBorder="1">
      <alignment vertical="center"/>
    </xf>
    <xf numFmtId="41" fontId="60" fillId="27" borderId="291" xfId="210" applyFont="1" applyFill="1" applyBorder="1">
      <alignment vertical="center"/>
    </xf>
    <xf numFmtId="0" fontId="91" fillId="0" borderId="0" xfId="177">
      <alignment vertical="center"/>
    </xf>
    <xf numFmtId="41" fontId="96" fillId="0" borderId="0" xfId="210" applyFont="1" applyFill="1" applyAlignment="1">
      <alignment horizontal="center" vertical="center"/>
    </xf>
    <xf numFmtId="41" fontId="96" fillId="0" borderId="219" xfId="210" applyFont="1" applyFill="1" applyBorder="1" applyAlignment="1">
      <alignment horizontal="center" vertical="center"/>
    </xf>
    <xf numFmtId="10" fontId="96" fillId="0" borderId="219" xfId="210" applyNumberFormat="1" applyFont="1" applyFill="1" applyBorder="1" applyAlignment="1">
      <alignment horizontal="center" vertical="center"/>
    </xf>
    <xf numFmtId="41" fontId="96" fillId="0" borderId="66" xfId="210" applyFont="1" applyFill="1" applyBorder="1" applyAlignment="1">
      <alignment horizontal="center" vertical="center"/>
    </xf>
    <xf numFmtId="10" fontId="96" fillId="0" borderId="66" xfId="210" applyNumberFormat="1" applyFont="1" applyFill="1" applyBorder="1" applyAlignment="1">
      <alignment horizontal="center" vertical="center"/>
    </xf>
    <xf numFmtId="41" fontId="96" fillId="0" borderId="196" xfId="210" applyFont="1" applyFill="1" applyBorder="1" applyAlignment="1">
      <alignment horizontal="center" vertical="center"/>
    </xf>
    <xf numFmtId="10" fontId="96" fillId="0" borderId="0" xfId="210" applyNumberFormat="1" applyFont="1" applyFill="1" applyAlignment="1">
      <alignment horizontal="center" vertical="center"/>
    </xf>
    <xf numFmtId="41" fontId="96" fillId="0" borderId="0" xfId="210" applyFont="1" applyFill="1">
      <alignment vertical="center"/>
    </xf>
    <xf numFmtId="41" fontId="97" fillId="0" borderId="0" xfId="97" applyNumberFormat="1" applyFont="1" applyFill="1" applyAlignment="1">
      <alignment horizontal="left" vertical="center"/>
    </xf>
    <xf numFmtId="41" fontId="97" fillId="0" borderId="0" xfId="97" applyNumberFormat="1" applyFont="1" applyFill="1" applyAlignment="1">
      <alignment vertical="center"/>
    </xf>
    <xf numFmtId="41" fontId="98" fillId="0" borderId="0" xfId="97" applyNumberFormat="1" applyFont="1" applyFill="1" applyAlignment="1" applyProtection="1">
      <alignment horizontal="center" vertical="center"/>
      <protection locked="0"/>
    </xf>
    <xf numFmtId="41" fontId="98" fillId="0" borderId="0" xfId="97" applyNumberFormat="1" applyFont="1" applyFill="1" applyAlignment="1" applyProtection="1">
      <alignment vertical="center"/>
      <protection locked="0"/>
    </xf>
    <xf numFmtId="184" fontId="50" fillId="0" borderId="0" xfId="1" applyNumberFormat="1" applyFont="1" applyFill="1" applyBorder="1" applyAlignment="1">
      <alignment horizontal="left" vertical="center"/>
    </xf>
    <xf numFmtId="14" fontId="50" fillId="0" borderId="0" xfId="97" applyNumberFormat="1" applyFont="1" applyFill="1" applyBorder="1" applyAlignment="1">
      <alignment horizontal="center" vertical="center" wrapText="1"/>
    </xf>
    <xf numFmtId="41" fontId="50" fillId="59" borderId="305" xfId="97" applyNumberFormat="1" applyFont="1" applyFill="1" applyBorder="1" applyAlignment="1" applyProtection="1">
      <alignment horizontal="center" vertical="center"/>
      <protection locked="0"/>
    </xf>
    <xf numFmtId="41" fontId="50" fillId="59" borderId="285" xfId="97" applyNumberFormat="1" applyFont="1" applyFill="1" applyBorder="1" applyAlignment="1" applyProtection="1">
      <alignment horizontal="center" vertical="center"/>
      <protection locked="0"/>
    </xf>
    <xf numFmtId="41" fontId="50" fillId="59" borderId="286" xfId="97" applyNumberFormat="1" applyFont="1" applyFill="1" applyBorder="1" applyAlignment="1" applyProtection="1">
      <alignment horizontal="center" vertical="center"/>
      <protection locked="0"/>
    </xf>
    <xf numFmtId="41" fontId="50" fillId="59" borderId="287" xfId="97" applyNumberFormat="1" applyFont="1" applyFill="1" applyBorder="1" applyAlignment="1" applyProtection="1">
      <alignment horizontal="center" vertical="center"/>
      <protection locked="0"/>
    </xf>
    <xf numFmtId="41" fontId="50" fillId="59" borderId="307" xfId="97" applyNumberFormat="1" applyFont="1" applyFill="1" applyBorder="1" applyAlignment="1" applyProtection="1">
      <alignment horizontal="center" vertical="center"/>
      <protection locked="0"/>
    </xf>
    <xf numFmtId="14" fontId="50" fillId="0" borderId="308" xfId="97" applyNumberFormat="1" applyFont="1" applyFill="1" applyBorder="1" applyAlignment="1">
      <alignment horizontal="left" vertical="center"/>
    </xf>
    <xf numFmtId="14" fontId="50" fillId="0" borderId="309" xfId="97" applyNumberFormat="1" applyFont="1" applyFill="1" applyBorder="1" applyAlignment="1">
      <alignment horizontal="left" vertical="center"/>
    </xf>
    <xf numFmtId="41" fontId="50" fillId="0" borderId="310" xfId="97" applyNumberFormat="1" applyFont="1" applyFill="1" applyBorder="1" applyAlignment="1">
      <alignment horizontal="center" vertical="center"/>
    </xf>
    <xf numFmtId="41" fontId="50" fillId="0" borderId="310" xfId="97" applyNumberFormat="1" applyFont="1" applyFill="1" applyBorder="1" applyAlignment="1" applyProtection="1">
      <alignment horizontal="center" vertical="center"/>
      <protection locked="0"/>
    </xf>
    <xf numFmtId="41" fontId="50" fillId="0" borderId="299" xfId="97" applyNumberFormat="1" applyFont="1" applyFill="1" applyBorder="1" applyAlignment="1" applyProtection="1">
      <alignment horizontal="center" vertical="center"/>
      <protection locked="0"/>
    </xf>
    <xf numFmtId="41" fontId="50" fillId="0" borderId="219" xfId="97" applyNumberFormat="1" applyFont="1" applyFill="1" applyBorder="1" applyAlignment="1" applyProtection="1">
      <alignment horizontal="center" vertical="center"/>
      <protection locked="0"/>
    </xf>
    <xf numFmtId="14" fontId="49" fillId="0" borderId="312" xfId="97" applyNumberFormat="1" applyFont="1" applyFill="1" applyBorder="1" applyAlignment="1">
      <alignment horizontal="left" vertical="center"/>
    </xf>
    <xf numFmtId="41" fontId="50" fillId="0" borderId="66" xfId="97" applyNumberFormat="1" applyFont="1" applyFill="1" applyBorder="1" applyAlignment="1" applyProtection="1">
      <alignment horizontal="center" vertical="center"/>
      <protection locked="0"/>
    </xf>
    <xf numFmtId="41" fontId="50" fillId="0" borderId="274" xfId="97" applyNumberFormat="1" applyFont="1" applyFill="1" applyBorder="1" applyAlignment="1" applyProtection="1">
      <alignment horizontal="center" vertical="center"/>
      <protection locked="0"/>
    </xf>
    <xf numFmtId="41" fontId="50" fillId="61" borderId="66" xfId="97" applyNumberFormat="1" applyFont="1" applyFill="1" applyBorder="1" applyAlignment="1" applyProtection="1">
      <alignment horizontal="center" vertical="center"/>
      <protection locked="0"/>
    </xf>
    <xf numFmtId="41" fontId="50" fillId="61" borderId="219" xfId="97" applyNumberFormat="1" applyFont="1" applyFill="1" applyBorder="1" applyAlignment="1" applyProtection="1">
      <alignment horizontal="center" vertical="center"/>
      <protection locked="0"/>
    </xf>
    <xf numFmtId="41" fontId="50" fillId="0" borderId="310" xfId="97" applyNumberFormat="1" applyFont="1" applyFill="1" applyBorder="1" applyAlignment="1">
      <alignment horizontal="center" vertical="center" wrapText="1"/>
    </xf>
    <xf numFmtId="14" fontId="49" fillId="0" borderId="314" xfId="97" applyNumberFormat="1" applyFont="1" applyFill="1" applyBorder="1" applyAlignment="1">
      <alignment horizontal="left" vertical="center"/>
    </xf>
    <xf numFmtId="41" fontId="50" fillId="60" borderId="316" xfId="97" applyNumberFormat="1" applyFont="1" applyFill="1" applyBorder="1" applyAlignment="1">
      <alignment horizontal="center" vertical="center"/>
    </xf>
    <xf numFmtId="41" fontId="50" fillId="60" borderId="317" xfId="97" applyNumberFormat="1" applyFont="1" applyFill="1" applyBorder="1" applyAlignment="1">
      <alignment horizontal="center" vertical="center"/>
    </xf>
    <xf numFmtId="41" fontId="50" fillId="60" borderId="318" xfId="97" applyNumberFormat="1" applyFont="1" applyFill="1" applyBorder="1" applyAlignment="1" applyProtection="1">
      <alignment horizontal="center" vertical="center"/>
      <protection locked="0"/>
    </xf>
    <xf numFmtId="41" fontId="50" fillId="60" borderId="319" xfId="97" applyNumberFormat="1" applyFont="1" applyFill="1" applyBorder="1" applyAlignment="1" applyProtection="1">
      <alignment horizontal="center" vertical="center"/>
      <protection locked="0"/>
    </xf>
    <xf numFmtId="41" fontId="50" fillId="60" borderId="320" xfId="97" applyNumberFormat="1" applyFont="1" applyFill="1" applyBorder="1" applyAlignment="1" applyProtection="1">
      <alignment horizontal="center" vertical="center"/>
      <protection locked="0"/>
    </xf>
    <xf numFmtId="41" fontId="50" fillId="60" borderId="317" xfId="97" applyNumberFormat="1" applyFont="1" applyFill="1" applyBorder="1" applyAlignment="1" applyProtection="1">
      <alignment horizontal="center" vertical="center"/>
      <protection locked="0"/>
    </xf>
    <xf numFmtId="41" fontId="50" fillId="60" borderId="321" xfId="97" applyNumberFormat="1" applyFont="1" applyFill="1" applyBorder="1" applyAlignment="1" applyProtection="1">
      <alignment horizontal="center" vertical="center"/>
      <protection locked="0"/>
    </xf>
    <xf numFmtId="41" fontId="50" fillId="60" borderId="0" xfId="97" applyNumberFormat="1" applyFont="1" applyFill="1" applyAlignment="1" applyProtection="1">
      <alignment vertical="center"/>
      <protection locked="0"/>
    </xf>
    <xf numFmtId="14" fontId="50" fillId="60" borderId="278" xfId="97" applyNumberFormat="1" applyFont="1" applyFill="1" applyBorder="1" applyAlignment="1">
      <alignment horizontal="left" vertical="center"/>
    </xf>
    <xf numFmtId="41" fontId="50" fillId="60" borderId="311" xfId="97" applyNumberFormat="1" applyFont="1" applyFill="1" applyBorder="1" applyAlignment="1">
      <alignment horizontal="center" vertical="center"/>
    </xf>
    <xf numFmtId="41" fontId="50" fillId="60" borderId="216" xfId="97" applyNumberFormat="1" applyFont="1" applyFill="1" applyBorder="1" applyAlignment="1" applyProtection="1">
      <alignment horizontal="center" vertical="center"/>
      <protection locked="0"/>
    </xf>
    <xf numFmtId="41" fontId="50" fillId="60" borderId="277" xfId="97" applyNumberFormat="1" applyFont="1" applyFill="1" applyBorder="1" applyAlignment="1" applyProtection="1">
      <alignment horizontal="center" vertical="center"/>
      <protection locked="0"/>
    </xf>
    <xf numFmtId="41" fontId="50" fillId="60" borderId="278" xfId="97" applyNumberFormat="1" applyFont="1" applyFill="1" applyBorder="1" applyAlignment="1" applyProtection="1">
      <alignment horizontal="center" vertical="center"/>
      <protection locked="0"/>
    </xf>
    <xf numFmtId="41" fontId="50" fillId="60" borderId="311" xfId="97" applyNumberFormat="1" applyFont="1" applyFill="1" applyBorder="1" applyAlignment="1" applyProtection="1">
      <alignment horizontal="center" vertical="center"/>
      <protection locked="0"/>
    </xf>
    <xf numFmtId="41" fontId="50" fillId="60" borderId="298" xfId="97" applyNumberFormat="1" applyFont="1" applyFill="1" applyBorder="1" applyAlignment="1" applyProtection="1">
      <alignment horizontal="center" vertical="center"/>
      <protection locked="0"/>
    </xf>
    <xf numFmtId="14" fontId="49" fillId="60" borderId="278" xfId="97" applyNumberFormat="1" applyFont="1" applyFill="1" applyBorder="1" applyAlignment="1">
      <alignment horizontal="left" vertical="center"/>
    </xf>
    <xf numFmtId="41" fontId="49" fillId="60" borderId="216" xfId="97" applyNumberFormat="1" applyFont="1" applyFill="1" applyBorder="1" applyAlignment="1" applyProtection="1">
      <alignment horizontal="center" vertical="center"/>
      <protection locked="0"/>
    </xf>
    <xf numFmtId="41" fontId="49" fillId="60" borderId="277" xfId="97" applyNumberFormat="1" applyFont="1" applyFill="1" applyBorder="1" applyAlignment="1" applyProtection="1">
      <alignment horizontal="center" vertical="center"/>
      <protection locked="0"/>
    </xf>
    <xf numFmtId="41" fontId="49" fillId="60" borderId="278" xfId="97" applyNumberFormat="1" applyFont="1" applyFill="1" applyBorder="1" applyAlignment="1" applyProtection="1">
      <alignment horizontal="center" vertical="center"/>
      <protection locked="0"/>
    </xf>
    <xf numFmtId="41" fontId="49" fillId="60" borderId="311" xfId="97" applyNumberFormat="1" applyFont="1" applyFill="1" applyBorder="1" applyAlignment="1" applyProtection="1">
      <alignment horizontal="center" vertical="center"/>
      <protection locked="0"/>
    </xf>
    <xf numFmtId="41" fontId="49" fillId="60" borderId="298" xfId="97" applyNumberFormat="1" applyFont="1" applyFill="1" applyBorder="1" applyAlignment="1" applyProtection="1">
      <alignment horizontal="center" vertical="center"/>
      <protection locked="0"/>
    </xf>
    <xf numFmtId="41" fontId="49" fillId="60" borderId="311" xfId="97" applyNumberFormat="1" applyFont="1" applyFill="1" applyBorder="1" applyAlignment="1">
      <alignment horizontal="center" vertical="center"/>
    </xf>
    <xf numFmtId="14" fontId="50" fillId="60" borderId="214" xfId="97" applyNumberFormat="1" applyFont="1" applyFill="1" applyBorder="1" applyAlignment="1">
      <alignment horizontal="left" vertical="center"/>
    </xf>
    <xf numFmtId="41" fontId="50" fillId="60" borderId="322" xfId="97" applyNumberFormat="1" applyFont="1" applyFill="1" applyBorder="1" applyAlignment="1">
      <alignment horizontal="center" vertical="center"/>
    </xf>
    <xf numFmtId="41" fontId="50" fillId="60" borderId="212" xfId="97" applyNumberFormat="1" applyFont="1" applyFill="1" applyBorder="1" applyAlignment="1" applyProtection="1">
      <alignment horizontal="center" vertical="center"/>
      <protection locked="0"/>
    </xf>
    <xf numFmtId="41" fontId="50" fillId="60" borderId="213" xfId="97" applyNumberFormat="1" applyFont="1" applyFill="1" applyBorder="1" applyAlignment="1" applyProtection="1">
      <alignment horizontal="center" vertical="center"/>
      <protection locked="0"/>
    </xf>
    <xf numFmtId="41" fontId="50" fillId="60" borderId="214" xfId="97" applyNumberFormat="1" applyFont="1" applyFill="1" applyBorder="1" applyAlignment="1" applyProtection="1">
      <alignment horizontal="center" vertical="center"/>
      <protection locked="0"/>
    </xf>
    <xf numFmtId="41" fontId="50" fillId="60" borderId="322" xfId="97" applyNumberFormat="1" applyFont="1" applyFill="1" applyBorder="1" applyAlignment="1" applyProtection="1">
      <alignment horizontal="center" vertical="center"/>
      <protection locked="0"/>
    </xf>
    <xf numFmtId="41" fontId="50" fillId="60" borderId="301" xfId="97" applyNumberFormat="1" applyFont="1" applyFill="1" applyBorder="1" applyAlignment="1" applyProtection="1">
      <alignment horizontal="center" vertical="center"/>
      <protection locked="0"/>
    </xf>
    <xf numFmtId="41" fontId="50" fillId="0" borderId="0" xfId="1" applyFont="1" applyFill="1" applyAlignment="1">
      <alignment horizontal="left" vertical="center"/>
    </xf>
    <xf numFmtId="41" fontId="49" fillId="0" borderId="0" xfId="97" applyNumberFormat="1" applyFont="1" applyFill="1" applyAlignment="1" applyProtection="1">
      <alignment horizontal="left" vertical="center"/>
      <protection locked="0"/>
    </xf>
    <xf numFmtId="41" fontId="97" fillId="0" borderId="0" xfId="1" applyFont="1" applyFill="1" applyAlignment="1">
      <alignment horizontal="left" vertical="center"/>
    </xf>
    <xf numFmtId="41" fontId="97" fillId="0" borderId="0" xfId="1" applyFont="1" applyFill="1" applyAlignment="1">
      <alignment vertical="center"/>
    </xf>
    <xf numFmtId="41" fontId="98" fillId="0" borderId="0" xfId="1" applyFont="1" applyFill="1" applyAlignment="1" applyProtection="1">
      <alignment horizontal="center" vertical="center"/>
      <protection locked="0"/>
    </xf>
    <xf numFmtId="41" fontId="50" fillId="0" borderId="0" xfId="1" applyFont="1" applyFill="1" applyBorder="1" applyAlignment="1">
      <alignment horizontal="left" vertical="center"/>
    </xf>
    <xf numFmtId="41" fontId="50" fillId="0" borderId="0" xfId="1" applyFont="1" applyFill="1" applyBorder="1" applyAlignment="1">
      <alignment horizontal="center" vertical="center" wrapText="1"/>
    </xf>
    <xf numFmtId="41" fontId="50" fillId="59" borderId="326" xfId="1" applyFont="1" applyFill="1" applyBorder="1" applyAlignment="1" applyProtection="1">
      <alignment horizontal="center" vertical="center"/>
      <protection locked="0"/>
    </xf>
    <xf numFmtId="41" fontId="50" fillId="61" borderId="274" xfId="1" applyFont="1" applyFill="1" applyBorder="1" applyAlignment="1">
      <alignment horizontal="left" vertical="center"/>
    </xf>
    <xf numFmtId="41" fontId="50" fillId="61" borderId="310" xfId="1" applyFont="1" applyFill="1" applyBorder="1" applyAlignment="1">
      <alignment horizontal="center" vertical="center"/>
    </xf>
    <xf numFmtId="41" fontId="50" fillId="61" borderId="66" xfId="1" applyFont="1" applyFill="1" applyBorder="1" applyAlignment="1" applyProtection="1">
      <alignment horizontal="center" vertical="center"/>
      <protection locked="0"/>
    </xf>
    <xf numFmtId="41" fontId="50" fillId="61" borderId="274" xfId="1" applyFont="1" applyFill="1" applyBorder="1" applyAlignment="1" applyProtection="1">
      <alignment horizontal="center" vertical="center"/>
      <protection locked="0"/>
    </xf>
    <xf numFmtId="41" fontId="50" fillId="61" borderId="310" xfId="1" applyFont="1" applyFill="1" applyBorder="1" applyAlignment="1" applyProtection="1">
      <alignment horizontal="center" vertical="center"/>
      <protection locked="0"/>
    </xf>
    <xf numFmtId="41" fontId="49" fillId="0" borderId="88" xfId="97" applyNumberFormat="1" applyFont="1" applyFill="1" applyBorder="1" applyAlignment="1" applyProtection="1">
      <alignment horizontal="left" vertical="center"/>
      <protection locked="0"/>
    </xf>
    <xf numFmtId="41" fontId="49" fillId="0" borderId="308" xfId="97" applyNumberFormat="1" applyFont="1" applyFill="1" applyBorder="1" applyAlignment="1" applyProtection="1">
      <alignment horizontal="left" vertical="center"/>
      <protection locked="0"/>
    </xf>
    <xf numFmtId="41" fontId="49" fillId="0" borderId="69" xfId="97" applyNumberFormat="1" applyFont="1" applyFill="1" applyBorder="1" applyAlignment="1" applyProtection="1">
      <alignment horizontal="left" vertical="center"/>
      <protection locked="0"/>
    </xf>
    <xf numFmtId="41" fontId="49" fillId="0" borderId="0" xfId="1" applyFont="1" applyFill="1" applyAlignment="1" applyProtection="1">
      <alignment horizontal="left" vertical="center"/>
      <protection locked="0"/>
    </xf>
    <xf numFmtId="41" fontId="49" fillId="0" borderId="0" xfId="1" applyFont="1" applyFill="1" applyAlignment="1" applyProtection="1">
      <alignment horizontal="right" vertical="center"/>
      <protection locked="0"/>
    </xf>
    <xf numFmtId="41" fontId="56" fillId="0" borderId="327" xfId="1" applyFont="1" applyFill="1" applyBorder="1" applyAlignment="1">
      <alignment vertical="center"/>
    </xf>
    <xf numFmtId="41" fontId="56" fillId="0" borderId="300" xfId="1" applyFont="1" applyFill="1" applyBorder="1" applyAlignment="1">
      <alignment vertical="center"/>
    </xf>
    <xf numFmtId="41" fontId="56" fillId="0" borderId="265" xfId="1" applyFont="1" applyFill="1" applyBorder="1" applyAlignment="1">
      <alignment vertical="center"/>
    </xf>
    <xf numFmtId="187" fontId="56" fillId="0" borderId="265" xfId="1" applyNumberFormat="1" applyFont="1" applyFill="1" applyBorder="1" applyAlignment="1">
      <alignment vertical="center"/>
    </xf>
    <xf numFmtId="41" fontId="56" fillId="0" borderId="79" xfId="1" applyNumberFormat="1" applyFont="1" applyFill="1" applyBorder="1" applyAlignment="1">
      <alignment vertical="center"/>
    </xf>
    <xf numFmtId="41" fontId="56" fillId="0" borderId="25" xfId="1" applyFont="1" applyFill="1" applyBorder="1" applyAlignment="1">
      <alignment horizontal="right" vertical="center"/>
    </xf>
    <xf numFmtId="0" fontId="99" fillId="0" borderId="0" xfId="0" applyFont="1">
      <alignment vertical="center"/>
    </xf>
    <xf numFmtId="41" fontId="62" fillId="0" borderId="0" xfId="118" applyFont="1">
      <alignment vertical="center"/>
    </xf>
    <xf numFmtId="0" fontId="62" fillId="0" borderId="0" xfId="0" applyFont="1" applyAlignment="1">
      <alignment horizontal="right"/>
    </xf>
    <xf numFmtId="3" fontId="49" fillId="0" borderId="213" xfId="110" applyNumberFormat="1" applyFont="1" applyFill="1" applyBorder="1" applyAlignment="1">
      <alignment horizontal="center" vertical="center"/>
    </xf>
    <xf numFmtId="41" fontId="49" fillId="0" borderId="214" xfId="119" applyNumberFormat="1" applyFont="1" applyFill="1" applyBorder="1" applyAlignment="1" applyProtection="1">
      <alignment horizontal="center" vertical="center"/>
      <protection locked="0"/>
    </xf>
    <xf numFmtId="41" fontId="49" fillId="0" borderId="302" xfId="119" applyNumberFormat="1" applyFont="1" applyFill="1" applyBorder="1" applyAlignment="1" applyProtection="1">
      <alignment horizontal="center" vertical="center"/>
      <protection locked="0"/>
    </xf>
    <xf numFmtId="41" fontId="49" fillId="0" borderId="215" xfId="119" applyNumberFormat="1" applyFont="1" applyFill="1" applyBorder="1" applyAlignment="1" applyProtection="1">
      <alignment horizontal="center" vertical="center"/>
      <protection locked="0"/>
    </xf>
    <xf numFmtId="41" fontId="49" fillId="0" borderId="330" xfId="119" applyNumberFormat="1" applyFont="1" applyFill="1" applyBorder="1" applyAlignment="1" applyProtection="1">
      <alignment horizontal="center" vertical="center"/>
      <protection locked="0"/>
    </xf>
    <xf numFmtId="41" fontId="100" fillId="0" borderId="288" xfId="118" applyFont="1" applyFill="1" applyBorder="1" applyAlignment="1" applyProtection="1">
      <alignment horizontal="center" vertical="center"/>
      <protection locked="0"/>
    </xf>
    <xf numFmtId="41" fontId="100" fillId="0" borderId="289" xfId="118" applyFont="1" applyFill="1" applyBorder="1" applyAlignment="1" applyProtection="1">
      <alignment horizontal="center" vertical="center"/>
      <protection locked="0"/>
    </xf>
    <xf numFmtId="3" fontId="49" fillId="0" borderId="331" xfId="110" applyNumberFormat="1" applyFont="1" applyFill="1" applyBorder="1" applyAlignment="1">
      <alignment horizontal="center" vertical="center"/>
    </xf>
    <xf numFmtId="41" fontId="49" fillId="0" borderId="130" xfId="119" applyNumberFormat="1" applyFont="1" applyFill="1" applyBorder="1" applyAlignment="1" applyProtection="1">
      <alignment horizontal="center" vertical="center"/>
      <protection locked="0"/>
    </xf>
    <xf numFmtId="10" fontId="49" fillId="0" borderId="130" xfId="119" applyNumberFormat="1" applyFont="1" applyFill="1" applyBorder="1" applyAlignment="1" applyProtection="1">
      <alignment horizontal="center" vertical="center"/>
      <protection locked="0"/>
    </xf>
    <xf numFmtId="14" fontId="49" fillId="0" borderId="130" xfId="110" quotePrefix="1" applyNumberFormat="1" applyFont="1" applyFill="1" applyBorder="1" applyAlignment="1">
      <alignment horizontal="center" vertical="center"/>
    </xf>
    <xf numFmtId="192" fontId="49" fillId="0" borderId="141" xfId="119" applyNumberFormat="1" applyFont="1" applyFill="1" applyBorder="1" applyAlignment="1" applyProtection="1">
      <alignment horizontal="center" vertical="center"/>
      <protection locked="0"/>
    </xf>
    <xf numFmtId="41" fontId="49" fillId="0" borderId="88" xfId="119" applyNumberFormat="1" applyFont="1" applyFill="1" applyBorder="1" applyAlignment="1" applyProtection="1">
      <alignment horizontal="center" vertical="center"/>
      <protection locked="0"/>
    </xf>
    <xf numFmtId="41" fontId="49" fillId="0" borderId="197" xfId="119" applyNumberFormat="1" applyFont="1" applyFill="1" applyBorder="1" applyAlignment="1" applyProtection="1">
      <alignment horizontal="center" vertical="center"/>
      <protection locked="0"/>
    </xf>
    <xf numFmtId="41" fontId="49" fillId="0" borderId="332" xfId="119" applyNumberFormat="1" applyFont="1" applyFill="1" applyBorder="1" applyAlignment="1" applyProtection="1">
      <alignment horizontal="center" vertical="center"/>
      <protection locked="0"/>
    </xf>
    <xf numFmtId="41" fontId="61" fillId="0" borderId="333" xfId="118" applyFont="1" applyBorder="1">
      <alignment vertical="center"/>
    </xf>
    <xf numFmtId="41" fontId="61" fillId="0" borderId="29" xfId="118" applyFont="1" applyBorder="1">
      <alignment vertical="center"/>
    </xf>
    <xf numFmtId="3" fontId="49" fillId="0" borderId="297" xfId="110" applyNumberFormat="1" applyFont="1" applyFill="1" applyBorder="1" applyAlignment="1">
      <alignment horizontal="center" vertical="center"/>
    </xf>
    <xf numFmtId="41" fontId="49" fillId="0" borderId="277" xfId="119" applyNumberFormat="1" applyFont="1" applyFill="1" applyBorder="1" applyAlignment="1" applyProtection="1">
      <alignment horizontal="center" vertical="center"/>
      <protection locked="0"/>
    </xf>
    <xf numFmtId="10" fontId="49" fillId="0" borderId="277" xfId="119" applyNumberFormat="1" applyFont="1" applyFill="1" applyBorder="1" applyAlignment="1" applyProtection="1">
      <alignment horizontal="center" vertical="center"/>
      <protection locked="0"/>
    </xf>
    <xf numFmtId="14" fontId="49" fillId="0" borderId="277" xfId="110" quotePrefix="1" applyNumberFormat="1" applyFont="1" applyFill="1" applyBorder="1" applyAlignment="1">
      <alignment horizontal="center" vertical="center"/>
    </xf>
    <xf numFmtId="192" fontId="49" fillId="0" borderId="278" xfId="119" applyNumberFormat="1" applyFont="1" applyFill="1" applyBorder="1" applyAlignment="1" applyProtection="1">
      <alignment horizontal="center" vertical="center"/>
      <protection locked="0"/>
    </xf>
    <xf numFmtId="41" fontId="49" fillId="0" borderId="297" xfId="119" applyNumberFormat="1" applyFont="1" applyFill="1" applyBorder="1" applyAlignment="1" applyProtection="1">
      <alignment horizontal="center" vertical="center"/>
      <protection locked="0"/>
    </xf>
    <xf numFmtId="41" fontId="49" fillId="0" borderId="280" xfId="119" applyNumberFormat="1" applyFont="1" applyFill="1" applyBorder="1" applyAlignment="1" applyProtection="1">
      <alignment horizontal="center" vertical="center"/>
      <protection locked="0"/>
    </xf>
    <xf numFmtId="41" fontId="49" fillId="0" borderId="311" xfId="119" applyNumberFormat="1" applyFont="1" applyFill="1" applyBorder="1" applyAlignment="1" applyProtection="1">
      <alignment horizontal="center" vertical="center"/>
      <protection locked="0"/>
    </xf>
    <xf numFmtId="41" fontId="61" fillId="0" borderId="279" xfId="118" applyFont="1" applyBorder="1">
      <alignment vertical="center"/>
    </xf>
    <xf numFmtId="41" fontId="61" fillId="0" borderId="275" xfId="118" applyFont="1" applyBorder="1">
      <alignment vertical="center"/>
    </xf>
    <xf numFmtId="3" fontId="49" fillId="0" borderId="88" xfId="110" applyNumberFormat="1" applyFont="1" applyFill="1" applyBorder="1" applyAlignment="1">
      <alignment horizontal="center" vertical="center"/>
    </xf>
    <xf numFmtId="41" fontId="49" fillId="0" borderId="66" xfId="119" applyNumberFormat="1" applyFont="1" applyFill="1" applyBorder="1" applyAlignment="1" applyProtection="1">
      <alignment horizontal="center" vertical="center"/>
      <protection locked="0"/>
    </xf>
    <xf numFmtId="10" fontId="49" fillId="0" borderId="66" xfId="119" applyNumberFormat="1" applyFont="1" applyFill="1" applyBorder="1" applyAlignment="1" applyProtection="1">
      <alignment horizontal="center" vertical="center"/>
      <protection locked="0"/>
    </xf>
    <xf numFmtId="14" fontId="49" fillId="0" borderId="66" xfId="110" quotePrefix="1" applyNumberFormat="1" applyFont="1" applyFill="1" applyBorder="1" applyAlignment="1">
      <alignment horizontal="center" vertical="center"/>
    </xf>
    <xf numFmtId="192" fontId="49" fillId="0" borderId="67" xfId="119" applyNumberFormat="1" applyFont="1" applyFill="1" applyBorder="1" applyAlignment="1" applyProtection="1">
      <alignment horizontal="center" vertical="center"/>
      <protection locked="0"/>
    </xf>
    <xf numFmtId="41" fontId="49" fillId="0" borderId="334" xfId="119" applyNumberFormat="1" applyFont="1" applyFill="1" applyBorder="1" applyAlignment="1" applyProtection="1">
      <alignment horizontal="center" vertical="center"/>
      <protection locked="0"/>
    </xf>
    <xf numFmtId="41" fontId="49" fillId="0" borderId="196" xfId="119" applyNumberFormat="1" applyFont="1" applyFill="1" applyBorder="1" applyAlignment="1" applyProtection="1">
      <alignment horizontal="center" vertical="center"/>
      <protection locked="0"/>
    </xf>
    <xf numFmtId="41" fontId="61" fillId="0" borderId="186" xfId="118" applyFont="1" applyBorder="1">
      <alignment vertical="center"/>
    </xf>
    <xf numFmtId="41" fontId="61" fillId="0" borderId="187" xfId="118" applyFont="1" applyBorder="1">
      <alignment vertical="center"/>
    </xf>
    <xf numFmtId="41" fontId="49" fillId="27" borderId="336" xfId="119" applyNumberFormat="1" applyFont="1" applyFill="1" applyBorder="1" applyAlignment="1" applyProtection="1">
      <alignment vertical="center"/>
      <protection locked="0"/>
    </xf>
    <xf numFmtId="41" fontId="49" fillId="27" borderId="290" xfId="119" applyNumberFormat="1" applyFont="1" applyFill="1" applyBorder="1" applyAlignment="1" applyProtection="1">
      <alignment vertical="center"/>
      <protection locked="0"/>
    </xf>
    <xf numFmtId="41" fontId="59" fillId="27" borderId="338" xfId="119" applyNumberFormat="1" applyFont="1" applyFill="1" applyBorder="1" applyAlignment="1" applyProtection="1">
      <alignment horizontal="center" vertical="center"/>
      <protection locked="0"/>
    </xf>
    <xf numFmtId="41" fontId="49" fillId="0" borderId="290" xfId="119" applyNumberFormat="1" applyFont="1" applyFill="1" applyBorder="1" applyAlignment="1" applyProtection="1">
      <alignment horizontal="center" vertical="center"/>
      <protection locked="0"/>
    </xf>
    <xf numFmtId="41" fontId="60" fillId="0" borderId="23" xfId="118" applyFont="1" applyBorder="1">
      <alignment vertical="center"/>
    </xf>
    <xf numFmtId="41" fontId="60" fillId="0" borderId="24" xfId="118" applyFont="1" applyBorder="1">
      <alignment vertical="center"/>
    </xf>
    <xf numFmtId="41" fontId="62" fillId="0" borderId="0" xfId="0" applyNumberFormat="1" applyFont="1">
      <alignment vertical="center"/>
    </xf>
    <xf numFmtId="43" fontId="101" fillId="0" borderId="0" xfId="0" applyNumberFormat="1" applyFont="1">
      <alignment vertical="center"/>
    </xf>
    <xf numFmtId="41" fontId="56" fillId="0" borderId="129" xfId="1" applyFont="1" applyFill="1" applyBorder="1" applyAlignment="1">
      <alignment vertical="center"/>
    </xf>
    <xf numFmtId="41" fontId="50" fillId="61" borderId="334" xfId="1" applyFont="1" applyFill="1" applyBorder="1" applyAlignment="1" applyProtection="1">
      <alignment horizontal="center" vertical="center"/>
      <protection locked="0"/>
    </xf>
    <xf numFmtId="191" fontId="49" fillId="0" borderId="163" xfId="97" applyNumberFormat="1" applyFont="1" applyFill="1" applyBorder="1" applyAlignment="1">
      <alignment horizontal="center" vertical="center"/>
    </xf>
    <xf numFmtId="187" fontId="49" fillId="0" borderId="210" xfId="97" applyNumberFormat="1" applyFont="1" applyFill="1" applyBorder="1" applyAlignment="1">
      <alignment vertical="center"/>
    </xf>
    <xf numFmtId="41" fontId="49" fillId="0" borderId="170" xfId="118" applyFont="1" applyFill="1" applyBorder="1" applyAlignment="1">
      <alignment vertical="center"/>
    </xf>
    <xf numFmtId="41" fontId="49" fillId="0" borderId="161" xfId="118" applyFont="1" applyFill="1" applyBorder="1" applyAlignment="1">
      <alignment vertical="center"/>
    </xf>
    <xf numFmtId="41" fontId="49" fillId="0" borderId="4" xfId="3" quotePrefix="1" applyNumberFormat="1" applyFont="1" applyFill="1" applyBorder="1" applyAlignment="1">
      <alignment horizontal="center" vertical="center"/>
    </xf>
    <xf numFmtId="41" fontId="49" fillId="0" borderId="341" xfId="97" applyNumberFormat="1" applyFont="1" applyFill="1" applyBorder="1" applyAlignment="1">
      <alignment horizontal="center" vertical="center"/>
    </xf>
    <xf numFmtId="41" fontId="49" fillId="0" borderId="341" xfId="97" applyNumberFormat="1" applyFont="1" applyFill="1" applyBorder="1" applyAlignment="1">
      <alignment vertical="center"/>
    </xf>
    <xf numFmtId="187" fontId="49" fillId="0" borderId="341" xfId="97" applyNumberFormat="1" applyFont="1" applyFill="1" applyBorder="1" applyAlignment="1">
      <alignment vertical="center"/>
    </xf>
    <xf numFmtId="41" fontId="49" fillId="0" borderId="342" xfId="97" applyNumberFormat="1" applyFont="1" applyFill="1" applyBorder="1" applyAlignment="1">
      <alignment vertical="center"/>
    </xf>
    <xf numFmtId="41" fontId="49" fillId="0" borderId="344" xfId="3" applyNumberFormat="1" applyFont="1" applyFill="1" applyBorder="1" applyAlignment="1">
      <alignment horizontal="center" vertical="center"/>
    </xf>
    <xf numFmtId="41" fontId="49" fillId="0" borderId="344" xfId="3" applyNumberFormat="1" applyFont="1" applyFill="1" applyBorder="1" applyAlignment="1">
      <alignment vertical="center"/>
    </xf>
    <xf numFmtId="41" fontId="49" fillId="0" borderId="345" xfId="1" applyFont="1" applyFill="1" applyBorder="1" applyAlignment="1">
      <alignment vertical="center"/>
    </xf>
    <xf numFmtId="41" fontId="49" fillId="0" borderId="346" xfId="3" applyNumberFormat="1" applyFont="1" applyFill="1" applyBorder="1" applyAlignment="1">
      <alignment horizontal="center" vertical="center"/>
    </xf>
    <xf numFmtId="41" fontId="49" fillId="0" borderId="347" xfId="97" applyNumberFormat="1" applyFont="1" applyFill="1" applyBorder="1" applyAlignment="1">
      <alignment horizontal="center" vertical="center"/>
    </xf>
    <xf numFmtId="41" fontId="49" fillId="0" borderId="348" xfId="97" applyNumberFormat="1" applyFont="1" applyFill="1" applyBorder="1" applyAlignment="1">
      <alignment horizontal="center" vertical="center"/>
    </xf>
    <xf numFmtId="41" fontId="49" fillId="0" borderId="349" xfId="97" applyNumberFormat="1" applyFont="1" applyFill="1" applyBorder="1" applyAlignment="1">
      <alignment horizontal="right" vertical="center"/>
    </xf>
    <xf numFmtId="41" fontId="49" fillId="0" borderId="344" xfId="118" applyFont="1" applyFill="1" applyBorder="1" applyAlignment="1">
      <alignment vertical="center"/>
    </xf>
    <xf numFmtId="41" fontId="49" fillId="0" borderId="345" xfId="118" applyFont="1" applyFill="1" applyBorder="1" applyAlignment="1">
      <alignment vertical="center"/>
    </xf>
    <xf numFmtId="41" fontId="49" fillId="0" borderId="349" xfId="3" applyNumberFormat="1" applyFont="1" applyFill="1" applyBorder="1" applyAlignment="1">
      <alignment horizontal="center" vertical="center"/>
    </xf>
    <xf numFmtId="41" fontId="49" fillId="0" borderId="349" xfId="97" applyNumberFormat="1" applyFont="1" applyFill="1" applyBorder="1" applyAlignment="1">
      <alignment horizontal="center" vertical="center"/>
    </xf>
    <xf numFmtId="41" fontId="49" fillId="0" borderId="349" xfId="97" applyNumberFormat="1" applyFont="1" applyFill="1" applyBorder="1" applyAlignment="1">
      <alignment vertical="center"/>
    </xf>
    <xf numFmtId="187" fontId="49" fillId="0" borderId="349" xfId="97" applyNumberFormat="1" applyFont="1" applyFill="1" applyBorder="1" applyAlignment="1">
      <alignment vertical="center"/>
    </xf>
    <xf numFmtId="187" fontId="49" fillId="0" borderId="351" xfId="97" applyNumberFormat="1" applyFont="1" applyFill="1" applyBorder="1" applyAlignment="1">
      <alignment vertical="center"/>
    </xf>
    <xf numFmtId="41" fontId="49" fillId="0" borderId="352" xfId="97" applyNumberFormat="1" applyFont="1" applyFill="1" applyBorder="1" applyAlignment="1">
      <alignment vertical="center"/>
    </xf>
    <xf numFmtId="41" fontId="49" fillId="0" borderId="365" xfId="1" applyFont="1" applyFill="1" applyBorder="1" applyAlignment="1" applyProtection="1">
      <alignment horizontal="center" vertical="center"/>
      <protection locked="0"/>
    </xf>
    <xf numFmtId="41" fontId="49" fillId="0" borderId="353" xfId="1" applyFont="1" applyFill="1" applyBorder="1" applyAlignment="1" applyProtection="1">
      <alignment horizontal="center" vertical="center"/>
      <protection locked="0"/>
    </xf>
    <xf numFmtId="41" fontId="49" fillId="0" borderId="368" xfId="1" applyFont="1" applyFill="1" applyBorder="1" applyAlignment="1" applyProtection="1">
      <alignment vertical="center"/>
      <protection locked="0"/>
    </xf>
    <xf numFmtId="41" fontId="50" fillId="61" borderId="369" xfId="97" applyNumberFormat="1" applyFont="1" applyFill="1" applyBorder="1" applyAlignment="1" applyProtection="1">
      <alignment horizontal="left" vertical="center"/>
      <protection locked="0"/>
    </xf>
    <xf numFmtId="41" fontId="50" fillId="61" borderId="370" xfId="1" applyFont="1" applyFill="1" applyBorder="1" applyAlignment="1" applyProtection="1">
      <alignment horizontal="left" vertical="center"/>
      <protection locked="0"/>
    </xf>
    <xf numFmtId="41" fontId="50" fillId="61" borderId="356" xfId="1" applyFont="1" applyFill="1" applyBorder="1" applyAlignment="1" applyProtection="1">
      <alignment vertical="center"/>
      <protection locked="0"/>
    </xf>
    <xf numFmtId="41" fontId="50" fillId="61" borderId="367" xfId="1" applyFont="1" applyFill="1" applyBorder="1" applyAlignment="1" applyProtection="1">
      <alignment horizontal="center" vertical="center"/>
      <protection locked="0"/>
    </xf>
    <xf numFmtId="41" fontId="50" fillId="61" borderId="357" xfId="1" applyFont="1" applyFill="1" applyBorder="1" applyAlignment="1" applyProtection="1">
      <alignment horizontal="center" vertical="center"/>
      <protection locked="0"/>
    </xf>
    <xf numFmtId="41" fontId="50" fillId="61" borderId="355" xfId="1" applyFont="1" applyFill="1" applyBorder="1" applyAlignment="1" applyProtection="1">
      <alignment horizontal="center" vertical="center"/>
      <protection locked="0"/>
    </xf>
    <xf numFmtId="41" fontId="50" fillId="61" borderId="356" xfId="1" applyFont="1" applyFill="1" applyBorder="1" applyAlignment="1" applyProtection="1">
      <alignment horizontal="center" vertical="center"/>
      <protection locked="0"/>
    </xf>
    <xf numFmtId="41" fontId="49" fillId="0" borderId="364" xfId="1" applyFont="1" applyFill="1" applyBorder="1" applyAlignment="1" applyProtection="1">
      <alignment horizontal="left" vertical="center"/>
      <protection locked="0"/>
    </xf>
    <xf numFmtId="41" fontId="49" fillId="0" borderId="364" xfId="1" applyFont="1" applyFill="1" applyBorder="1" applyAlignment="1" applyProtection="1">
      <alignment vertical="center"/>
      <protection locked="0"/>
    </xf>
    <xf numFmtId="41" fontId="49" fillId="0" borderId="356" xfId="1" applyFont="1" applyFill="1" applyBorder="1" applyAlignment="1" applyProtection="1">
      <alignment vertical="center"/>
      <protection locked="0"/>
    </xf>
    <xf numFmtId="41" fontId="49" fillId="0" borderId="367" xfId="1" applyFont="1" applyFill="1" applyBorder="1" applyAlignment="1" applyProtection="1">
      <alignment horizontal="center" vertical="center"/>
      <protection locked="0"/>
    </xf>
    <xf numFmtId="41" fontId="49" fillId="0" borderId="357" xfId="1" applyFont="1" applyFill="1" applyBorder="1" applyAlignment="1" applyProtection="1">
      <alignment horizontal="center" vertical="center"/>
      <protection locked="0"/>
    </xf>
    <xf numFmtId="41" fontId="49" fillId="0" borderId="355" xfId="1" applyFont="1" applyFill="1" applyBorder="1" applyAlignment="1" applyProtection="1">
      <alignment horizontal="center" vertical="center"/>
      <protection locked="0"/>
    </xf>
    <xf numFmtId="41" fontId="49" fillId="0" borderId="356" xfId="1" applyFont="1" applyFill="1" applyBorder="1" applyAlignment="1" applyProtection="1">
      <alignment horizontal="center" vertical="center"/>
      <protection locked="0"/>
    </xf>
    <xf numFmtId="41" fontId="49" fillId="0" borderId="358" xfId="1" applyFont="1" applyFill="1" applyBorder="1" applyAlignment="1" applyProtection="1">
      <alignment vertical="center"/>
      <protection locked="0"/>
    </xf>
    <xf numFmtId="41" fontId="49" fillId="0" borderId="359" xfId="1" applyFont="1" applyFill="1" applyBorder="1" applyAlignment="1" applyProtection="1">
      <alignment vertical="center"/>
      <protection locked="0"/>
    </xf>
    <xf numFmtId="41" fontId="49" fillId="0" borderId="363" xfId="1" applyFont="1" applyFill="1" applyBorder="1" applyAlignment="1" applyProtection="1">
      <alignment horizontal="center" vertical="center"/>
      <protection locked="0"/>
    </xf>
    <xf numFmtId="41" fontId="49" fillId="0" borderId="360" xfId="1" applyFont="1" applyFill="1" applyBorder="1" applyAlignment="1" applyProtection="1">
      <alignment horizontal="center" vertical="center"/>
      <protection locked="0"/>
    </xf>
    <xf numFmtId="41" fontId="49" fillId="0" borderId="358" xfId="1" applyFont="1" applyFill="1" applyBorder="1" applyAlignment="1" applyProtection="1">
      <alignment horizontal="center" vertical="center"/>
      <protection locked="0"/>
    </xf>
    <xf numFmtId="41" fontId="49" fillId="0" borderId="359" xfId="1" applyFont="1" applyFill="1" applyBorder="1" applyAlignment="1" applyProtection="1">
      <alignment horizontal="center" vertical="center"/>
      <protection locked="0"/>
    </xf>
    <xf numFmtId="41" fontId="49" fillId="0" borderId="354" xfId="1" applyFont="1" applyFill="1" applyBorder="1" applyAlignment="1" applyProtection="1">
      <alignment vertical="center"/>
      <protection locked="0"/>
    </xf>
    <xf numFmtId="41" fontId="49" fillId="0" borderId="340" xfId="1" applyFont="1" applyFill="1" applyBorder="1" applyAlignment="1" applyProtection="1">
      <alignment horizontal="left" vertical="center"/>
      <protection locked="0"/>
    </xf>
    <xf numFmtId="41" fontId="49" fillId="0" borderId="354" xfId="1" applyFont="1" applyFill="1" applyBorder="1" applyAlignment="1">
      <alignment horizontal="center" vertical="center"/>
    </xf>
    <xf numFmtId="41" fontId="49" fillId="0" borderId="340" xfId="1" applyFont="1" applyFill="1" applyBorder="1" applyAlignment="1">
      <alignment horizontal="left" vertical="center"/>
    </xf>
    <xf numFmtId="41" fontId="50" fillId="59" borderId="362" xfId="1" applyFont="1" applyFill="1" applyBorder="1" applyAlignment="1" applyProtection="1">
      <alignment horizontal="center" vertical="center"/>
      <protection locked="0"/>
    </xf>
    <xf numFmtId="41" fontId="50" fillId="59" borderId="361" xfId="1" applyFont="1" applyFill="1" applyBorder="1" applyAlignment="1" applyProtection="1">
      <alignment horizontal="center" vertical="center"/>
      <protection locked="0"/>
    </xf>
    <xf numFmtId="41" fontId="50" fillId="59" borderId="366" xfId="1" applyFont="1" applyFill="1" applyBorder="1" applyAlignment="1" applyProtection="1">
      <alignment horizontal="center" vertical="center"/>
      <protection locked="0"/>
    </xf>
    <xf numFmtId="41" fontId="50" fillId="0" borderId="339" xfId="97" applyNumberFormat="1" applyFont="1" applyFill="1" applyBorder="1" applyAlignment="1" applyProtection="1">
      <alignment horizontal="center" vertical="center"/>
      <protection locked="0"/>
    </xf>
    <xf numFmtId="41" fontId="49" fillId="0" borderId="353" xfId="97" applyNumberFormat="1" applyFont="1" applyFill="1" applyBorder="1" applyAlignment="1" applyProtection="1">
      <alignment horizontal="center" vertical="center"/>
      <protection locked="0"/>
    </xf>
    <xf numFmtId="41" fontId="49" fillId="61" borderId="353" xfId="97" applyNumberFormat="1" applyFont="1" applyFill="1" applyBorder="1" applyAlignment="1" applyProtection="1">
      <alignment horizontal="center" vertical="center"/>
      <protection locked="0"/>
    </xf>
    <xf numFmtId="41" fontId="49" fillId="0" borderId="340" xfId="1" applyFont="1" applyFill="1" applyBorder="1" applyAlignment="1" applyProtection="1">
      <alignment horizontal="center" vertical="center"/>
      <protection locked="0"/>
    </xf>
    <xf numFmtId="41" fontId="49" fillId="0" borderId="354" xfId="1" applyFont="1" applyFill="1" applyBorder="1" applyAlignment="1" applyProtection="1">
      <alignment horizontal="center" vertical="center"/>
      <protection locked="0"/>
    </xf>
    <xf numFmtId="14" fontId="49" fillId="0" borderId="88" xfId="97" applyNumberFormat="1" applyFont="1" applyFill="1" applyBorder="1" applyAlignment="1">
      <alignment horizontal="left" vertical="center"/>
    </xf>
    <xf numFmtId="14" fontId="50" fillId="61" borderId="88" xfId="97" applyNumberFormat="1" applyFont="1" applyFill="1" applyBorder="1" applyAlignment="1">
      <alignment horizontal="left" vertical="center"/>
    </xf>
    <xf numFmtId="41" fontId="49" fillId="0" borderId="115" xfId="97" applyNumberFormat="1" applyFont="1" applyFill="1" applyBorder="1" applyAlignment="1">
      <alignment horizontal="center" vertical="center"/>
    </xf>
    <xf numFmtId="41" fontId="49" fillId="0" borderId="372" xfId="3" applyNumberFormat="1" applyFont="1" applyFill="1" applyBorder="1" applyAlignment="1">
      <alignment vertical="center"/>
    </xf>
    <xf numFmtId="41" fontId="49" fillId="0" borderId="373" xfId="1" applyFont="1" applyFill="1" applyBorder="1" applyAlignment="1">
      <alignment vertical="center"/>
    </xf>
    <xf numFmtId="41" fontId="49" fillId="0" borderId="374" xfId="3" applyNumberFormat="1" applyFont="1" applyFill="1" applyBorder="1" applyAlignment="1">
      <alignment horizontal="center" vertical="center"/>
    </xf>
    <xf numFmtId="14" fontId="49" fillId="0" borderId="375" xfId="97" applyNumberFormat="1" applyFont="1" applyFill="1" applyBorder="1" applyAlignment="1">
      <alignment horizontal="center" vertical="center"/>
    </xf>
    <xf numFmtId="14" fontId="49" fillId="0" borderId="60" xfId="97" applyNumberFormat="1" applyFont="1" applyFill="1" applyBorder="1" applyAlignment="1">
      <alignment horizontal="center" vertical="center"/>
    </xf>
    <xf numFmtId="41" fontId="49" fillId="0" borderId="118" xfId="97" applyNumberFormat="1" applyFont="1" applyFill="1" applyBorder="1" applyAlignment="1">
      <alignment horizontal="right" vertical="center"/>
    </xf>
    <xf numFmtId="185" fontId="49" fillId="0" borderId="376" xfId="97" applyNumberFormat="1" applyFont="1" applyFill="1" applyBorder="1" applyAlignment="1">
      <alignment horizontal="center" vertical="center"/>
    </xf>
    <xf numFmtId="41" fontId="49" fillId="0" borderId="373" xfId="97" applyNumberFormat="1" applyFont="1" applyFill="1" applyBorder="1" applyAlignment="1">
      <alignment vertical="center"/>
    </xf>
    <xf numFmtId="41" fontId="49" fillId="0" borderId="376" xfId="97" applyNumberFormat="1" applyFont="1" applyFill="1" applyBorder="1" applyAlignment="1">
      <alignment horizontal="center" vertical="center"/>
    </xf>
    <xf numFmtId="41" fontId="49" fillId="0" borderId="149" xfId="94" applyNumberFormat="1" applyFont="1" applyFill="1" applyBorder="1" applyAlignment="1">
      <alignment horizontal="center" vertical="center"/>
    </xf>
    <xf numFmtId="41" fontId="49" fillId="0" borderId="380" xfId="3" applyNumberFormat="1" applyFont="1" applyFill="1" applyBorder="1" applyAlignment="1">
      <alignment vertical="center"/>
    </xf>
    <xf numFmtId="41" fontId="49" fillId="0" borderId="381" xfId="1" applyFont="1" applyFill="1" applyBorder="1" applyAlignment="1">
      <alignment vertical="center"/>
    </xf>
    <xf numFmtId="41" fontId="49" fillId="0" borderId="382" xfId="3" applyNumberFormat="1" applyFont="1" applyFill="1" applyBorder="1" applyAlignment="1">
      <alignment horizontal="center" vertical="center"/>
    </xf>
    <xf numFmtId="41" fontId="49" fillId="0" borderId="383" xfId="94" applyNumberFormat="1" applyFont="1" applyFill="1" applyBorder="1" applyAlignment="1">
      <alignment horizontal="center" vertical="center"/>
    </xf>
    <xf numFmtId="193" fontId="49" fillId="0" borderId="167" xfId="120" applyNumberFormat="1" applyFont="1" applyFill="1" applyBorder="1" applyAlignment="1">
      <alignment horizontal="center" vertical="center"/>
    </xf>
    <xf numFmtId="41" fontId="49" fillId="0" borderId="387" xfId="94" applyNumberFormat="1" applyFont="1" applyFill="1" applyBorder="1" applyAlignment="1">
      <alignment horizontal="right" vertical="center"/>
    </xf>
    <xf numFmtId="41" fontId="49" fillId="0" borderId="378" xfId="94" applyNumberFormat="1" applyFont="1" applyFill="1" applyBorder="1" applyAlignment="1">
      <alignment horizontal="right" vertical="center"/>
    </xf>
    <xf numFmtId="191" fontId="61" fillId="64" borderId="389" xfId="0" applyNumberFormat="1" applyFont="1" applyFill="1" applyBorder="1" applyAlignment="1">
      <alignment horizontal="center" vertical="center"/>
    </xf>
    <xf numFmtId="41" fontId="61" fillId="64" borderId="389" xfId="210" applyFont="1" applyFill="1" applyBorder="1">
      <alignment vertical="center"/>
    </xf>
    <xf numFmtId="41" fontId="121" fillId="64" borderId="389" xfId="210" applyFont="1" applyFill="1" applyBorder="1">
      <alignment vertical="center"/>
    </xf>
    <xf numFmtId="0" fontId="61" fillId="64" borderId="0" xfId="0" applyFont="1" applyFill="1">
      <alignment vertical="center"/>
    </xf>
    <xf numFmtId="0" fontId="61" fillId="64" borderId="0" xfId="0" quotePrefix="1" applyFont="1" applyFill="1">
      <alignment vertical="center"/>
    </xf>
    <xf numFmtId="41" fontId="61" fillId="64" borderId="0" xfId="210" applyFont="1" applyFill="1">
      <alignment vertical="center"/>
    </xf>
    <xf numFmtId="41" fontId="60" fillId="64" borderId="0" xfId="0" applyNumberFormat="1" applyFont="1" applyFill="1">
      <alignment vertical="center"/>
    </xf>
    <xf numFmtId="41" fontId="96" fillId="26" borderId="0" xfId="0" applyNumberFormat="1" applyFont="1" applyFill="1" applyAlignment="1">
      <alignment horizontal="center" vertical="center"/>
    </xf>
    <xf numFmtId="0" fontId="96" fillId="0" borderId="0" xfId="0" applyFont="1" applyFill="1" applyAlignment="1">
      <alignment horizontal="center" vertical="center"/>
    </xf>
    <xf numFmtId="41" fontId="96" fillId="0" borderId="0" xfId="0" applyNumberFormat="1" applyFont="1" applyFill="1" applyAlignment="1">
      <alignment horizontal="center" vertical="center"/>
    </xf>
    <xf numFmtId="0" fontId="96" fillId="0" borderId="0" xfId="0" applyFont="1" applyFill="1">
      <alignment vertical="center"/>
    </xf>
    <xf numFmtId="41" fontId="60" fillId="0" borderId="0" xfId="0" applyNumberFormat="1" applyFont="1" applyFill="1">
      <alignment vertical="center"/>
    </xf>
    <xf numFmtId="10" fontId="61" fillId="0" borderId="0" xfId="0" applyNumberFormat="1" applyFont="1">
      <alignment vertical="center"/>
    </xf>
    <xf numFmtId="41" fontId="60" fillId="26" borderId="0" xfId="210" applyFont="1" applyFill="1">
      <alignment vertical="center"/>
    </xf>
    <xf numFmtId="185" fontId="49" fillId="0" borderId="385" xfId="97" applyNumberFormat="1" applyFont="1" applyFill="1" applyBorder="1" applyAlignment="1">
      <alignment horizontal="center" vertical="center"/>
    </xf>
    <xf numFmtId="41" fontId="49" fillId="0" borderId="0" xfId="97" applyNumberFormat="1" applyFont="1" applyFill="1" applyBorder="1" applyAlignment="1">
      <alignment vertical="center"/>
    </xf>
    <xf numFmtId="41" fontId="49" fillId="0" borderId="385" xfId="97" applyNumberFormat="1" applyFont="1" applyFill="1" applyBorder="1" applyAlignment="1">
      <alignment horizontal="center" vertical="center"/>
    </xf>
    <xf numFmtId="194" fontId="49" fillId="0" borderId="0" xfId="3" applyNumberFormat="1" applyFont="1" applyFill="1" applyAlignment="1" applyProtection="1">
      <alignment vertical="center"/>
      <protection locked="0"/>
    </xf>
    <xf numFmtId="184" fontId="50" fillId="0" borderId="0" xfId="1" applyNumberFormat="1" applyFont="1" applyFill="1" applyAlignment="1">
      <alignment horizontal="left" vertical="center" shrinkToFit="1"/>
    </xf>
    <xf numFmtId="41" fontId="50" fillId="0" borderId="0" xfId="1" applyFont="1" applyFill="1" applyAlignment="1">
      <alignment vertical="center" shrinkToFit="1"/>
    </xf>
    <xf numFmtId="41" fontId="49" fillId="0" borderId="397" xfId="3" applyNumberFormat="1" applyFont="1" applyFill="1" applyBorder="1" applyAlignment="1">
      <alignment vertical="center"/>
    </xf>
    <xf numFmtId="41" fontId="49" fillId="0" borderId="398" xfId="1" applyFont="1" applyFill="1" applyBorder="1" applyAlignment="1">
      <alignment vertical="center"/>
    </xf>
    <xf numFmtId="41" fontId="49" fillId="0" borderId="399" xfId="3" applyNumberFormat="1" applyFont="1" applyFill="1" applyBorder="1" applyAlignment="1">
      <alignment horizontal="center" vertical="center"/>
    </xf>
    <xf numFmtId="194" fontId="50" fillId="0" borderId="154" xfId="3" applyNumberFormat="1" applyFont="1" applyFill="1" applyBorder="1" applyAlignment="1">
      <alignment horizontal="center" vertical="center"/>
    </xf>
    <xf numFmtId="194" fontId="49" fillId="0" borderId="206" xfId="3" applyNumberFormat="1" applyFont="1" applyFill="1" applyBorder="1" applyAlignment="1">
      <alignment horizontal="center" vertical="center"/>
    </xf>
    <xf numFmtId="194" fontId="49" fillId="0" borderId="343" xfId="3" applyNumberFormat="1" applyFont="1" applyFill="1" applyBorder="1" applyAlignment="1">
      <alignment horizontal="center" vertical="center"/>
    </xf>
    <xf numFmtId="194" fontId="49" fillId="0" borderId="371" xfId="3" applyNumberFormat="1" applyFont="1" applyFill="1" applyBorder="1" applyAlignment="1">
      <alignment horizontal="center" vertical="center"/>
    </xf>
    <xf numFmtId="194" fontId="49" fillId="0" borderId="379" xfId="3" applyNumberFormat="1" applyFont="1" applyFill="1" applyBorder="1" applyAlignment="1">
      <alignment horizontal="center" vertical="center"/>
    </xf>
    <xf numFmtId="194" fontId="49" fillId="0" borderId="396" xfId="3" applyNumberFormat="1" applyFont="1" applyFill="1" applyBorder="1" applyAlignment="1">
      <alignment horizontal="center" vertical="center"/>
    </xf>
    <xf numFmtId="194" fontId="49" fillId="0" borderId="244" xfId="3" applyNumberFormat="1" applyFont="1" applyFill="1" applyBorder="1" applyAlignment="1">
      <alignment horizontal="center" vertical="center"/>
    </xf>
    <xf numFmtId="194" fontId="49" fillId="0" borderId="341" xfId="97" applyNumberFormat="1" applyFont="1" applyFill="1" applyBorder="1" applyAlignment="1">
      <alignment horizontal="center" vertical="center"/>
    </xf>
    <xf numFmtId="41" fontId="50" fillId="0" borderId="400" xfId="97" applyNumberFormat="1" applyFont="1" applyFill="1" applyBorder="1" applyAlignment="1" applyProtection="1">
      <alignment horizontal="center" vertical="center"/>
      <protection locked="0"/>
    </xf>
    <xf numFmtId="14" fontId="49" fillId="0" borderId="401" xfId="97" applyNumberFormat="1" applyFont="1" applyFill="1" applyBorder="1" applyAlignment="1">
      <alignment horizontal="left" vertical="center"/>
    </xf>
    <xf numFmtId="41" fontId="49" fillId="0" borderId="402" xfId="97" applyNumberFormat="1" applyFont="1" applyFill="1" applyBorder="1" applyAlignment="1">
      <alignment horizontal="center" vertical="center"/>
    </xf>
    <xf numFmtId="41" fontId="49" fillId="0" borderId="391" xfId="97" applyNumberFormat="1" applyFont="1" applyFill="1" applyBorder="1" applyAlignment="1" applyProtection="1">
      <alignment horizontal="center" vertical="center"/>
      <protection locked="0"/>
    </xf>
    <xf numFmtId="41" fontId="49" fillId="0" borderId="401" xfId="97" applyNumberFormat="1" applyFont="1" applyFill="1" applyBorder="1" applyAlignment="1" applyProtection="1">
      <alignment horizontal="center" vertical="center"/>
      <protection locked="0"/>
    </xf>
    <xf numFmtId="41" fontId="49" fillId="0" borderId="402" xfId="97" applyNumberFormat="1" applyFont="1" applyFill="1" applyBorder="1" applyAlignment="1" applyProtection="1">
      <alignment horizontal="center" vertical="center"/>
      <protection locked="0"/>
    </xf>
    <xf numFmtId="41" fontId="49" fillId="0" borderId="403" xfId="97" applyNumberFormat="1" applyFont="1" applyFill="1" applyBorder="1" applyAlignment="1" applyProtection="1">
      <alignment horizontal="center" vertical="center"/>
      <protection locked="0"/>
    </xf>
    <xf numFmtId="14" fontId="49" fillId="0" borderId="404" xfId="97" applyNumberFormat="1" applyFont="1" applyFill="1" applyBorder="1" applyAlignment="1">
      <alignment horizontal="left" vertical="center"/>
    </xf>
    <xf numFmtId="41" fontId="49" fillId="0" borderId="405" xfId="97" applyNumberFormat="1" applyFont="1" applyFill="1" applyBorder="1" applyAlignment="1">
      <alignment horizontal="center" vertical="center"/>
    </xf>
    <xf numFmtId="41" fontId="49" fillId="0" borderId="406" xfId="97" applyNumberFormat="1" applyFont="1" applyFill="1" applyBorder="1" applyAlignment="1" applyProtection="1">
      <alignment horizontal="center" vertical="center"/>
      <protection locked="0"/>
    </xf>
    <xf numFmtId="41" fontId="49" fillId="0" borderId="407" xfId="97" applyNumberFormat="1" applyFont="1" applyFill="1" applyBorder="1" applyAlignment="1" applyProtection="1">
      <alignment horizontal="center" vertical="center"/>
      <protection locked="0"/>
    </xf>
    <xf numFmtId="41" fontId="49" fillId="0" borderId="404" xfId="97" applyNumberFormat="1" applyFont="1" applyFill="1" applyBorder="1" applyAlignment="1" applyProtection="1">
      <alignment horizontal="center" vertical="center"/>
      <protection locked="0"/>
    </xf>
    <xf numFmtId="41" fontId="49" fillId="0" borderId="405" xfId="97" applyNumberFormat="1" applyFont="1" applyFill="1" applyBorder="1" applyAlignment="1" applyProtection="1">
      <alignment horizontal="center" vertical="center"/>
      <protection locked="0"/>
    </xf>
    <xf numFmtId="41" fontId="49" fillId="0" borderId="408" xfId="97" applyNumberFormat="1" applyFont="1" applyFill="1" applyBorder="1" applyAlignment="1" applyProtection="1">
      <alignment horizontal="center" vertical="center"/>
      <protection locked="0"/>
    </xf>
    <xf numFmtId="14" fontId="50" fillId="0" borderId="409" xfId="97" applyNumberFormat="1" applyFont="1" applyFill="1" applyBorder="1" applyAlignment="1">
      <alignment horizontal="left" vertical="center"/>
    </xf>
    <xf numFmtId="14" fontId="50" fillId="0" borderId="410" xfId="97" applyNumberFormat="1" applyFont="1" applyFill="1" applyBorder="1" applyAlignment="1">
      <alignment horizontal="left" vertical="center"/>
    </xf>
    <xf numFmtId="41" fontId="50" fillId="0" borderId="411" xfId="97" applyNumberFormat="1" applyFont="1" applyFill="1" applyBorder="1" applyAlignment="1">
      <alignment horizontal="center" vertical="center"/>
    </xf>
    <xf numFmtId="41" fontId="50" fillId="0" borderId="412" xfId="97" applyNumberFormat="1" applyFont="1" applyFill="1" applyBorder="1" applyAlignment="1" applyProtection="1">
      <alignment horizontal="center" vertical="center"/>
      <protection locked="0"/>
    </xf>
    <xf numFmtId="41" fontId="50" fillId="0" borderId="413" xfId="97" applyNumberFormat="1" applyFont="1" applyFill="1" applyBorder="1" applyAlignment="1" applyProtection="1">
      <alignment horizontal="center" vertical="center"/>
      <protection locked="0"/>
    </xf>
    <xf numFmtId="41" fontId="50" fillId="0" borderId="411" xfId="97" applyNumberFormat="1" applyFont="1" applyFill="1" applyBorder="1" applyAlignment="1" applyProtection="1">
      <alignment horizontal="center" vertical="center"/>
      <protection locked="0"/>
    </xf>
    <xf numFmtId="41" fontId="50" fillId="0" borderId="414" xfId="97" applyNumberFormat="1" applyFont="1" applyFill="1" applyBorder="1" applyAlignment="1" applyProtection="1">
      <alignment horizontal="center" vertical="center"/>
      <protection locked="0"/>
    </xf>
    <xf numFmtId="14" fontId="49" fillId="0" borderId="415" xfId="97" applyNumberFormat="1" applyFont="1" applyFill="1" applyBorder="1" applyAlignment="1">
      <alignment horizontal="left" vertical="center"/>
    </xf>
    <xf numFmtId="41" fontId="49" fillId="0" borderId="416" xfId="97" applyNumberFormat="1" applyFont="1" applyFill="1" applyBorder="1" applyAlignment="1">
      <alignment horizontal="center" vertical="center"/>
    </xf>
    <xf numFmtId="41" fontId="49" fillId="0" borderId="417" xfId="97" applyNumberFormat="1" applyFont="1" applyFill="1" applyBorder="1" applyAlignment="1" applyProtection="1">
      <alignment horizontal="center" vertical="center"/>
      <protection locked="0"/>
    </xf>
    <xf numFmtId="41" fontId="49" fillId="0" borderId="418" xfId="97" applyNumberFormat="1" applyFont="1" applyFill="1" applyBorder="1" applyAlignment="1" applyProtection="1">
      <alignment horizontal="center" vertical="center"/>
      <protection locked="0"/>
    </xf>
    <xf numFmtId="41" fontId="49" fillId="0" borderId="415" xfId="97" applyNumberFormat="1" applyFont="1" applyFill="1" applyBorder="1" applyAlignment="1" applyProtection="1">
      <alignment horizontal="center" vertical="center"/>
      <protection locked="0"/>
    </xf>
    <xf numFmtId="41" fontId="49" fillId="0" borderId="416" xfId="97" applyNumberFormat="1" applyFont="1" applyFill="1" applyBorder="1" applyAlignment="1" applyProtection="1">
      <alignment horizontal="center" vertical="center"/>
      <protection locked="0"/>
    </xf>
    <xf numFmtId="41" fontId="49" fillId="0" borderId="419" xfId="97" applyNumberFormat="1" applyFont="1" applyFill="1" applyBorder="1" applyAlignment="1" applyProtection="1">
      <alignment horizontal="center" vertical="center"/>
      <protection locked="0"/>
    </xf>
    <xf numFmtId="41" fontId="49" fillId="61" borderId="407" xfId="97" applyNumberFormat="1" applyFont="1" applyFill="1" applyBorder="1" applyAlignment="1" applyProtection="1">
      <alignment horizontal="center" vertical="center"/>
      <protection locked="0"/>
    </xf>
    <xf numFmtId="41" fontId="49" fillId="61" borderId="418" xfId="97" applyNumberFormat="1" applyFont="1" applyFill="1" applyBorder="1" applyAlignment="1" applyProtection="1">
      <alignment horizontal="center" vertical="center"/>
      <protection locked="0"/>
    </xf>
    <xf numFmtId="41" fontId="50" fillId="0" borderId="411" xfId="97" applyNumberFormat="1" applyFont="1" applyFill="1" applyBorder="1" applyAlignment="1">
      <alignment horizontal="center" vertical="center" wrapText="1"/>
    </xf>
    <xf numFmtId="14" fontId="49" fillId="0" borderId="421" xfId="97" applyNumberFormat="1" applyFont="1" applyFill="1" applyBorder="1" applyAlignment="1">
      <alignment horizontal="left" vertical="center"/>
    </xf>
    <xf numFmtId="41" fontId="49" fillId="0" borderId="422" xfId="97" applyNumberFormat="1" applyFont="1" applyFill="1" applyBorder="1" applyAlignment="1">
      <alignment horizontal="center" vertical="center"/>
    </xf>
    <xf numFmtId="41" fontId="49" fillId="0" borderId="394" xfId="97" applyNumberFormat="1" applyFont="1" applyFill="1" applyBorder="1" applyAlignment="1" applyProtection="1">
      <alignment horizontal="center" vertical="center"/>
      <protection locked="0"/>
    </xf>
    <xf numFmtId="41" fontId="49" fillId="0" borderId="393" xfId="97" applyNumberFormat="1" applyFont="1" applyFill="1" applyBorder="1" applyAlignment="1" applyProtection="1">
      <alignment horizontal="center" vertical="center"/>
      <protection locked="0"/>
    </xf>
    <xf numFmtId="41" fontId="49" fillId="0" borderId="421" xfId="97" applyNumberFormat="1" applyFont="1" applyFill="1" applyBorder="1" applyAlignment="1" applyProtection="1">
      <alignment horizontal="center" vertical="center"/>
      <protection locked="0"/>
    </xf>
    <xf numFmtId="41" fontId="49" fillId="0" borderId="422" xfId="97" applyNumberFormat="1" applyFont="1" applyFill="1" applyBorder="1" applyAlignment="1" applyProtection="1">
      <alignment horizontal="center" vertical="center"/>
      <protection locked="0"/>
    </xf>
    <xf numFmtId="41" fontId="49" fillId="0" borderId="423" xfId="97" applyNumberFormat="1" applyFont="1" applyFill="1" applyBorder="1" applyAlignment="1" applyProtection="1">
      <alignment horizontal="center" vertical="center"/>
      <protection locked="0"/>
    </xf>
    <xf numFmtId="41" fontId="50" fillId="0" borderId="227" xfId="3" applyNumberFormat="1" applyFont="1" applyFill="1" applyBorder="1" applyAlignment="1">
      <alignment horizontal="center" vertical="center" shrinkToFit="1"/>
    </xf>
    <xf numFmtId="41" fontId="50" fillId="0" borderId="227" xfId="3" applyNumberFormat="1" applyFont="1" applyFill="1" applyBorder="1" applyAlignment="1">
      <alignment horizontal="center" vertical="center"/>
    </xf>
    <xf numFmtId="191" fontId="61" fillId="65" borderId="291" xfId="177" applyNumberFormat="1" applyFont="1" applyFill="1" applyBorder="1" applyAlignment="1">
      <alignment horizontal="center" vertical="center"/>
    </xf>
    <xf numFmtId="41" fontId="61" fillId="65" borderId="291" xfId="210" applyFont="1" applyFill="1" applyBorder="1">
      <alignment vertical="center"/>
    </xf>
    <xf numFmtId="41" fontId="121" fillId="65" borderId="291" xfId="210" applyFont="1" applyFill="1" applyBorder="1">
      <alignment vertical="center"/>
    </xf>
    <xf numFmtId="0" fontId="61" fillId="0" borderId="0" xfId="328" applyFont="1">
      <alignment vertical="center"/>
    </xf>
    <xf numFmtId="41" fontId="61" fillId="0" borderId="0" xfId="328" applyNumberFormat="1" applyFont="1">
      <alignment vertical="center"/>
    </xf>
    <xf numFmtId="0" fontId="67" fillId="0" borderId="0" xfId="328" applyFont="1" applyAlignment="1">
      <alignment horizontal="center" vertical="center"/>
    </xf>
    <xf numFmtId="0" fontId="66" fillId="0" borderId="0" xfId="328" applyFont="1" applyAlignment="1">
      <alignment horizontal="center" vertical="center"/>
    </xf>
    <xf numFmtId="0" fontId="137" fillId="59" borderId="431" xfId="328" applyFont="1" applyFill="1" applyBorder="1" applyAlignment="1">
      <alignment horizontal="center" vertical="center"/>
    </xf>
    <xf numFmtId="0" fontId="66" fillId="59" borderId="440" xfId="328" applyFont="1" applyFill="1" applyBorder="1" applyAlignment="1">
      <alignment vertical="center"/>
    </xf>
    <xf numFmtId="0" fontId="66" fillId="59" borderId="441" xfId="328" applyFont="1" applyFill="1" applyBorder="1" applyAlignment="1">
      <alignment vertical="center"/>
    </xf>
    <xf numFmtId="41" fontId="66" fillId="59" borderId="442" xfId="210" applyFont="1" applyFill="1" applyBorder="1" applyAlignment="1">
      <alignment horizontal="center" vertical="center"/>
    </xf>
    <xf numFmtId="41" fontId="66" fillId="59" borderId="415" xfId="210" applyFont="1" applyFill="1" applyBorder="1" applyAlignment="1">
      <alignment horizontal="center" vertical="center"/>
    </xf>
    <xf numFmtId="41" fontId="66" fillId="59" borderId="441" xfId="210" applyFont="1" applyFill="1" applyBorder="1" applyAlignment="1">
      <alignment horizontal="center" vertical="center"/>
    </xf>
    <xf numFmtId="41" fontId="66" fillId="59" borderId="443" xfId="210" applyFont="1" applyFill="1" applyBorder="1" applyAlignment="1">
      <alignment horizontal="center" vertical="center"/>
    </xf>
    <xf numFmtId="14" fontId="67" fillId="0" borderId="428" xfId="328" applyNumberFormat="1" applyFont="1" applyBorder="1" applyAlignment="1">
      <alignment horizontal="center" vertical="center"/>
    </xf>
    <xf numFmtId="0" fontId="67" fillId="0" borderId="29" xfId="328" applyFont="1" applyBorder="1" applyAlignment="1">
      <alignment horizontal="center" vertical="center"/>
    </xf>
    <xf numFmtId="41" fontId="67" fillId="0" borderId="400" xfId="210" applyFont="1" applyBorder="1" applyAlignment="1">
      <alignment horizontal="center" vertical="center"/>
    </xf>
    <xf numFmtId="41" fontId="67" fillId="0" borderId="66" xfId="210" applyFont="1" applyBorder="1" applyAlignment="1">
      <alignment horizontal="center" vertical="center"/>
    </xf>
    <xf numFmtId="41" fontId="67" fillId="0" borderId="427" xfId="210" applyFont="1" applyBorder="1" applyAlignment="1">
      <alignment horizontal="center" vertical="center"/>
    </xf>
    <xf numFmtId="0" fontId="67" fillId="0" borderId="426" xfId="328" applyFont="1" applyBorder="1" applyAlignment="1">
      <alignment horizontal="center" vertical="center"/>
    </xf>
    <xf numFmtId="41" fontId="67" fillId="0" borderId="444" xfId="210" applyFont="1" applyBorder="1" applyAlignment="1">
      <alignment horizontal="center" vertical="center"/>
    </xf>
    <xf numFmtId="41" fontId="67" fillId="0" borderId="426" xfId="210" applyFont="1" applyBorder="1" applyAlignment="1">
      <alignment horizontal="center" vertical="center"/>
    </xf>
    <xf numFmtId="14" fontId="67" fillId="0" borderId="429" xfId="328" applyNumberFormat="1" applyFont="1" applyBorder="1" applyAlignment="1">
      <alignment horizontal="center" vertical="center"/>
    </xf>
    <xf numFmtId="41" fontId="67" fillId="0" borderId="430" xfId="210" applyFont="1" applyBorder="1" applyAlignment="1">
      <alignment horizontal="center" vertical="center"/>
    </xf>
    <xf numFmtId="41" fontId="67" fillId="0" borderId="395" xfId="210" applyFont="1" applyBorder="1" applyAlignment="1">
      <alignment horizontal="center" vertical="center"/>
    </xf>
    <xf numFmtId="41" fontId="67" fillId="0" borderId="353" xfId="210" applyFont="1" applyBorder="1" applyAlignment="1">
      <alignment horizontal="center" vertical="center"/>
    </xf>
    <xf numFmtId="41" fontId="67" fillId="0" borderId="391" xfId="210" applyFont="1" applyBorder="1" applyAlignment="1">
      <alignment horizontal="center" vertical="center"/>
    </xf>
    <xf numFmtId="41" fontId="66" fillId="0" borderId="424" xfId="328" applyNumberFormat="1" applyFont="1" applyBorder="1" applyAlignment="1">
      <alignment horizontal="center" vertical="center"/>
    </xf>
    <xf numFmtId="41" fontId="67" fillId="0" borderId="445" xfId="210" applyFont="1" applyBorder="1" applyAlignment="1">
      <alignment horizontal="center" vertical="center"/>
    </xf>
    <xf numFmtId="0" fontId="67" fillId="0" borderId="430" xfId="328" applyFont="1" applyBorder="1" applyAlignment="1">
      <alignment horizontal="center" vertical="center"/>
    </xf>
    <xf numFmtId="41" fontId="67" fillId="0" borderId="424" xfId="328" applyNumberFormat="1" applyFont="1" applyBorder="1" applyAlignment="1">
      <alignment horizontal="center" vertical="center"/>
    </xf>
    <xf numFmtId="41" fontId="67" fillId="0" borderId="424" xfId="210" applyFont="1" applyBorder="1" applyAlignment="1">
      <alignment horizontal="center" vertical="center"/>
    </xf>
    <xf numFmtId="0" fontId="67" fillId="0" borderId="431" xfId="328" applyFont="1" applyBorder="1" applyAlignment="1">
      <alignment horizontal="center" vertical="center"/>
    </xf>
    <xf numFmtId="14" fontId="67" fillId="0" borderId="431" xfId="328" applyNumberFormat="1" applyFont="1" applyBorder="1" applyAlignment="1">
      <alignment horizontal="center" vertical="center"/>
    </xf>
    <xf numFmtId="41" fontId="67" fillId="0" borderId="431" xfId="210" applyFont="1" applyBorder="1" applyAlignment="1">
      <alignment horizontal="center" vertical="center"/>
    </xf>
    <xf numFmtId="14" fontId="67" fillId="0" borderId="446" xfId="328" applyNumberFormat="1" applyFont="1" applyBorder="1" applyAlignment="1">
      <alignment horizontal="center" vertical="center"/>
    </xf>
    <xf numFmtId="41" fontId="67" fillId="0" borderId="447" xfId="210" applyFont="1" applyBorder="1" applyAlignment="1">
      <alignment horizontal="center" vertical="center"/>
    </xf>
    <xf numFmtId="41" fontId="67" fillId="0" borderId="448" xfId="210" applyFont="1" applyBorder="1" applyAlignment="1">
      <alignment horizontal="center" vertical="center"/>
    </xf>
    <xf numFmtId="41" fontId="67" fillId="0" borderId="407" xfId="210" applyFont="1" applyBorder="1" applyAlignment="1">
      <alignment horizontal="center" vertical="center"/>
    </xf>
    <xf numFmtId="41" fontId="67" fillId="0" borderId="392" xfId="210" applyFont="1" applyBorder="1" applyAlignment="1">
      <alignment horizontal="center" vertical="center"/>
    </xf>
    <xf numFmtId="41" fontId="66" fillId="0" borderId="425" xfId="328" applyNumberFormat="1" applyFont="1" applyBorder="1" applyAlignment="1">
      <alignment horizontal="center" vertical="center"/>
    </xf>
    <xf numFmtId="41" fontId="67" fillId="0" borderId="449" xfId="210" applyFont="1" applyBorder="1" applyAlignment="1">
      <alignment horizontal="center" vertical="center"/>
    </xf>
    <xf numFmtId="0" fontId="67" fillId="0" borderId="447" xfId="328" applyFont="1" applyBorder="1" applyAlignment="1">
      <alignment horizontal="center" vertical="center"/>
    </xf>
    <xf numFmtId="41" fontId="67" fillId="0" borderId="425" xfId="328" applyNumberFormat="1" applyFont="1" applyBorder="1" applyAlignment="1">
      <alignment horizontal="center" vertical="center"/>
    </xf>
    <xf numFmtId="41" fontId="67" fillId="0" borderId="425" xfId="210" applyFont="1" applyBorder="1" applyAlignment="1">
      <alignment horizontal="center" vertical="center"/>
    </xf>
    <xf numFmtId="14" fontId="67" fillId="0" borderId="435" xfId="328" applyNumberFormat="1" applyFont="1" applyBorder="1" applyAlignment="1">
      <alignment horizontal="center" vertical="center"/>
    </xf>
    <xf numFmtId="41" fontId="67" fillId="0" borderId="220" xfId="210" applyFont="1" applyBorder="1" applyAlignment="1">
      <alignment horizontal="center" vertical="center"/>
    </xf>
    <xf numFmtId="41" fontId="67" fillId="0" borderId="437" xfId="210" applyFont="1" applyBorder="1" applyAlignment="1">
      <alignment horizontal="center" vertical="center"/>
    </xf>
    <xf numFmtId="41" fontId="67" fillId="0" borderId="219" xfId="210" applyFont="1" applyBorder="1" applyAlignment="1">
      <alignment horizontal="center" vertical="center"/>
    </xf>
    <xf numFmtId="41" fontId="67" fillId="0" borderId="450" xfId="210" applyFont="1" applyBorder="1" applyAlignment="1">
      <alignment horizontal="center" vertical="center"/>
    </xf>
    <xf numFmtId="41" fontId="66" fillId="0" borderId="451" xfId="328" applyNumberFormat="1" applyFont="1" applyBorder="1" applyAlignment="1">
      <alignment horizontal="center" vertical="center"/>
    </xf>
    <xf numFmtId="41" fontId="67" fillId="0" borderId="436" xfId="210" applyFont="1" applyBorder="1" applyAlignment="1">
      <alignment horizontal="center" vertical="center"/>
    </xf>
    <xf numFmtId="0" fontId="67" fillId="0" borderId="220" xfId="328" applyFont="1" applyBorder="1" applyAlignment="1">
      <alignment horizontal="center" vertical="center"/>
    </xf>
    <xf numFmtId="41" fontId="67" fillId="0" borderId="451" xfId="328" applyNumberFormat="1" applyFont="1" applyBorder="1" applyAlignment="1">
      <alignment horizontal="center" vertical="center"/>
    </xf>
    <xf numFmtId="41" fontId="67" fillId="0" borderId="451" xfId="210" applyFont="1" applyBorder="1" applyAlignment="1">
      <alignment horizontal="center" vertical="center"/>
    </xf>
    <xf numFmtId="0" fontId="68" fillId="0" borderId="431" xfId="328" applyFont="1" applyBorder="1" applyAlignment="1">
      <alignment horizontal="center" vertical="center"/>
    </xf>
    <xf numFmtId="41" fontId="68" fillId="0" borderId="431" xfId="328" applyNumberFormat="1" applyFont="1" applyBorder="1" applyAlignment="1">
      <alignment horizontal="center" vertical="center"/>
    </xf>
    <xf numFmtId="10" fontId="67" fillId="0" borderId="431" xfId="328" applyNumberFormat="1" applyFont="1" applyBorder="1" applyAlignment="1">
      <alignment horizontal="center" vertical="center"/>
    </xf>
    <xf numFmtId="14" fontId="67" fillId="0" borderId="440" xfId="328" applyNumberFormat="1" applyFont="1" applyBorder="1" applyAlignment="1">
      <alignment horizontal="center" vertical="center"/>
    </xf>
    <xf numFmtId="41" fontId="67" fillId="0" borderId="441" xfId="210" applyFont="1" applyBorder="1" applyAlignment="1">
      <alignment horizontal="center" vertical="center"/>
    </xf>
    <xf numFmtId="41" fontId="67" fillId="0" borderId="442" xfId="210" applyFont="1" applyBorder="1" applyAlignment="1">
      <alignment horizontal="center" vertical="center"/>
    </xf>
    <xf numFmtId="41" fontId="67" fillId="0" borderId="418" xfId="210" applyFont="1" applyBorder="1" applyAlignment="1">
      <alignment horizontal="center" vertical="center"/>
    </xf>
    <xf numFmtId="41" fontId="67" fillId="0" borderId="417" xfId="210" applyFont="1" applyBorder="1" applyAlignment="1">
      <alignment horizontal="center" vertical="center"/>
    </xf>
    <xf numFmtId="41" fontId="66" fillId="0" borderId="452" xfId="328" applyNumberFormat="1" applyFont="1" applyBorder="1" applyAlignment="1">
      <alignment horizontal="center" vertical="center"/>
    </xf>
    <xf numFmtId="41" fontId="67" fillId="0" borderId="443" xfId="210" applyFont="1" applyBorder="1" applyAlignment="1">
      <alignment horizontal="center" vertical="center"/>
    </xf>
    <xf numFmtId="41" fontId="67" fillId="0" borderId="452" xfId="210" applyFont="1" applyBorder="1" applyAlignment="1">
      <alignment horizontal="center" vertical="center"/>
    </xf>
    <xf numFmtId="0" fontId="68" fillId="0" borderId="0" xfId="328" applyFont="1" applyAlignment="1">
      <alignment horizontal="center" vertical="center"/>
    </xf>
    <xf numFmtId="41" fontId="67" fillId="0" borderId="29" xfId="210" applyFont="1" applyBorder="1" applyAlignment="1">
      <alignment horizontal="center" vertical="center"/>
    </xf>
    <xf numFmtId="41" fontId="66" fillId="0" borderId="426" xfId="328" applyNumberFormat="1" applyFont="1" applyBorder="1" applyAlignment="1">
      <alignment horizontal="center" vertical="center"/>
    </xf>
    <xf numFmtId="43" fontId="67" fillId="0" borderId="0" xfId="328" applyNumberFormat="1" applyFont="1" applyAlignment="1">
      <alignment horizontal="center" vertical="center"/>
    </xf>
    <xf numFmtId="0" fontId="138" fillId="0" borderId="0" xfId="337" applyAlignment="1">
      <alignment horizontal="left" vertical="center"/>
    </xf>
    <xf numFmtId="0" fontId="102" fillId="0" borderId="0" xfId="328" applyFont="1" applyAlignment="1">
      <alignment horizontal="center" vertical="center"/>
    </xf>
    <xf numFmtId="0" fontId="67" fillId="0" borderId="0" xfId="328" applyFont="1" applyAlignment="1">
      <alignment horizontal="left" vertical="center"/>
    </xf>
    <xf numFmtId="41" fontId="66" fillId="0" borderId="453" xfId="210" applyFont="1" applyBorder="1" applyAlignment="1">
      <alignment horizontal="center" vertical="center"/>
    </xf>
    <xf numFmtId="41" fontId="66" fillId="0" borderId="282" xfId="210" applyFont="1" applyBorder="1" applyAlignment="1">
      <alignment horizontal="center" vertical="center"/>
    </xf>
    <xf numFmtId="41" fontId="66" fillId="0" borderId="284" xfId="210" applyFont="1" applyBorder="1" applyAlignment="1">
      <alignment horizontal="center" vertical="center"/>
    </xf>
    <xf numFmtId="41" fontId="66" fillId="0" borderId="454" xfId="210" applyFont="1" applyBorder="1" applyAlignment="1">
      <alignment horizontal="center" vertical="center"/>
    </xf>
    <xf numFmtId="41" fontId="66" fillId="0" borderId="455" xfId="210" applyFont="1" applyBorder="1" applyAlignment="1">
      <alignment horizontal="center" vertical="center"/>
    </xf>
    <xf numFmtId="41" fontId="66" fillId="0" borderId="283" xfId="210" applyFont="1" applyBorder="1" applyAlignment="1">
      <alignment horizontal="center" vertical="center"/>
    </xf>
    <xf numFmtId="41" fontId="67" fillId="0" borderId="0" xfId="210" applyFont="1" applyAlignment="1">
      <alignment horizontal="center" vertical="center"/>
    </xf>
    <xf numFmtId="41" fontId="49" fillId="0" borderId="116" xfId="97" applyNumberFormat="1" applyFont="1" applyFill="1" applyBorder="1" applyAlignment="1">
      <alignment vertical="center"/>
    </xf>
    <xf numFmtId="41" fontId="139" fillId="0" borderId="0" xfId="1" applyFont="1" applyFill="1" applyAlignment="1">
      <alignment vertical="center"/>
    </xf>
    <xf numFmtId="41" fontId="57" fillId="0" borderId="224" xfId="97" applyNumberFormat="1" applyFont="1" applyFill="1" applyBorder="1" applyAlignment="1">
      <alignment horizontal="center" vertical="center"/>
    </xf>
    <xf numFmtId="14" fontId="57" fillId="0" borderId="390" xfId="167" applyNumberFormat="1" applyFont="1" applyFill="1" applyBorder="1" applyAlignment="1">
      <alignment horizontal="center" vertical="center"/>
    </xf>
    <xf numFmtId="14" fontId="57" fillId="0" borderId="456" xfId="167" applyNumberFormat="1" applyFont="1" applyFill="1" applyBorder="1" applyAlignment="1">
      <alignment horizontal="center" vertical="center"/>
    </xf>
    <xf numFmtId="41" fontId="56" fillId="0" borderId="456" xfId="109" applyNumberFormat="1" applyFont="1" applyFill="1" applyBorder="1" applyAlignment="1">
      <alignment horizontal="center" vertical="center"/>
    </xf>
    <xf numFmtId="41" fontId="56" fillId="0" borderId="456" xfId="109" applyNumberFormat="1" applyFont="1" applyFill="1" applyBorder="1" applyAlignment="1">
      <alignment vertical="center"/>
    </xf>
    <xf numFmtId="41" fontId="56" fillId="0" borderId="457" xfId="109" applyNumberFormat="1" applyFont="1" applyFill="1" applyBorder="1" applyAlignment="1">
      <alignment vertical="center"/>
    </xf>
    <xf numFmtId="41" fontId="56" fillId="0" borderId="456" xfId="97" applyNumberFormat="1" applyFont="1" applyFill="1" applyBorder="1" applyAlignment="1">
      <alignment horizontal="center" vertical="center"/>
    </xf>
    <xf numFmtId="41" fontId="93" fillId="0" borderId="457" xfId="97" applyNumberFormat="1" applyFont="1" applyFill="1" applyBorder="1" applyAlignment="1">
      <alignment vertical="center"/>
    </xf>
    <xf numFmtId="14" fontId="56" fillId="0" borderId="390" xfId="168" applyNumberFormat="1" applyFont="1" applyFill="1" applyBorder="1" applyAlignment="1">
      <alignment horizontal="center" vertical="center"/>
    </xf>
    <xf numFmtId="41" fontId="93" fillId="0" borderId="457" xfId="109" applyNumberFormat="1" applyFont="1" applyFill="1" applyBorder="1" applyAlignment="1">
      <alignment vertical="center"/>
    </xf>
    <xf numFmtId="41" fontId="57" fillId="0" borderId="456" xfId="109" applyNumberFormat="1" applyFont="1" applyFill="1" applyBorder="1" applyAlignment="1">
      <alignment vertical="center"/>
    </xf>
    <xf numFmtId="14" fontId="56" fillId="0" borderId="390" xfId="167" applyNumberFormat="1" applyFont="1" applyFill="1" applyBorder="1" applyAlignment="1">
      <alignment horizontal="center" vertical="center"/>
    </xf>
    <xf numFmtId="41" fontId="57" fillId="0" borderId="458" xfId="109" applyNumberFormat="1" applyFont="1" applyFill="1" applyBorder="1" applyAlignment="1">
      <alignment vertical="center"/>
    </xf>
    <xf numFmtId="41" fontId="56" fillId="0" borderId="441" xfId="109" applyNumberFormat="1" applyFont="1" applyFill="1" applyBorder="1" applyAlignment="1">
      <alignment vertical="center"/>
    </xf>
    <xf numFmtId="14" fontId="57" fillId="0" borderId="390" xfId="168" applyNumberFormat="1" applyFont="1" applyFill="1" applyBorder="1" applyAlignment="1">
      <alignment vertical="center"/>
    </xf>
    <xf numFmtId="14" fontId="57" fillId="0" borderId="456" xfId="168" applyNumberFormat="1" applyFont="1" applyFill="1" applyBorder="1" applyAlignment="1">
      <alignment vertical="center"/>
    </xf>
    <xf numFmtId="14" fontId="56" fillId="0" borderId="390" xfId="168" applyNumberFormat="1" applyFont="1" applyFill="1" applyBorder="1" applyAlignment="1">
      <alignment vertical="center"/>
    </xf>
    <xf numFmtId="14" fontId="56" fillId="0" borderId="456" xfId="168" applyNumberFormat="1" applyFont="1" applyFill="1" applyBorder="1" applyAlignment="1">
      <alignment vertical="center"/>
    </xf>
    <xf numFmtId="14" fontId="57" fillId="0" borderId="390" xfId="167" applyNumberFormat="1" applyFont="1" applyFill="1" applyBorder="1" applyAlignment="1">
      <alignment vertical="center"/>
    </xf>
    <xf numFmtId="14" fontId="57" fillId="0" borderId="456" xfId="167" applyNumberFormat="1" applyFont="1" applyFill="1" applyBorder="1" applyAlignment="1">
      <alignment vertical="center"/>
    </xf>
    <xf numFmtId="14" fontId="57" fillId="0" borderId="440" xfId="167" applyNumberFormat="1" applyFont="1" applyFill="1" applyBorder="1" applyAlignment="1">
      <alignment vertical="center"/>
    </xf>
    <xf numFmtId="14" fontId="57" fillId="0" borderId="458" xfId="167" applyNumberFormat="1" applyFont="1" applyFill="1" applyBorder="1" applyAlignment="1">
      <alignment vertical="center"/>
    </xf>
    <xf numFmtId="41" fontId="57" fillId="0" borderId="459" xfId="97" applyNumberFormat="1" applyFont="1" applyFill="1" applyBorder="1" applyAlignment="1">
      <alignment horizontal="center" vertical="center"/>
    </xf>
    <xf numFmtId="41" fontId="57" fillId="0" borderId="460" xfId="97" applyNumberFormat="1" applyFont="1" applyFill="1" applyBorder="1" applyAlignment="1">
      <alignment horizontal="center" vertical="center"/>
    </xf>
    <xf numFmtId="41" fontId="89" fillId="0" borderId="431" xfId="97" applyNumberFormat="1" applyFont="1" applyFill="1" applyBorder="1" applyAlignment="1">
      <alignment horizontal="center" vertical="center"/>
    </xf>
    <xf numFmtId="41" fontId="56" fillId="0" borderId="219" xfId="109" applyNumberFormat="1" applyFont="1" applyFill="1" applyBorder="1" applyAlignment="1">
      <alignment horizontal="center" vertical="center"/>
    </xf>
    <xf numFmtId="14" fontId="57" fillId="0" borderId="219" xfId="168" applyNumberFormat="1" applyFont="1" applyFill="1" applyBorder="1" applyAlignment="1">
      <alignment vertical="center"/>
    </xf>
    <xf numFmtId="41" fontId="56" fillId="0" borderId="276" xfId="109" applyNumberFormat="1" applyFont="1" applyFill="1" applyBorder="1" applyAlignment="1">
      <alignment vertical="center"/>
    </xf>
    <xf numFmtId="41" fontId="56" fillId="0" borderId="219" xfId="109" applyNumberFormat="1" applyFont="1" applyFill="1" applyBorder="1" applyAlignment="1">
      <alignment vertical="center"/>
    </xf>
    <xf numFmtId="195" fontId="57" fillId="0" borderId="435" xfId="168" applyNumberFormat="1" applyFont="1" applyFill="1" applyBorder="1" applyAlignment="1">
      <alignment horizontal="center" vertical="center"/>
    </xf>
    <xf numFmtId="180" fontId="49" fillId="0" borderId="473" xfId="94" applyNumberFormat="1" applyFont="1" applyFill="1" applyBorder="1" applyAlignment="1">
      <alignment horizontal="center" vertical="center"/>
    </xf>
    <xf numFmtId="41" fontId="49" fillId="0" borderId="483" xfId="97" applyNumberFormat="1" applyFont="1" applyFill="1" applyBorder="1" applyAlignment="1" applyProtection="1">
      <alignment horizontal="center" vertical="center"/>
      <protection locked="0"/>
    </xf>
    <xf numFmtId="41" fontId="49" fillId="0" borderId="475" xfId="97" applyNumberFormat="1" applyFont="1" applyFill="1" applyBorder="1" applyAlignment="1" applyProtection="1">
      <alignment horizontal="center" vertical="center"/>
      <protection locked="0"/>
    </xf>
    <xf numFmtId="41" fontId="49" fillId="0" borderId="484" xfId="97" applyNumberFormat="1" applyFont="1" applyFill="1" applyBorder="1" applyAlignment="1" applyProtection="1">
      <alignment horizontal="center" vertical="center"/>
      <protection locked="0"/>
    </xf>
    <xf numFmtId="41" fontId="50" fillId="0" borderId="296" xfId="97" applyNumberFormat="1" applyFont="1" applyFill="1" applyBorder="1" applyAlignment="1" applyProtection="1">
      <alignment horizontal="center" vertical="center"/>
      <protection locked="0"/>
    </xf>
    <xf numFmtId="41" fontId="50" fillId="0" borderId="198" xfId="97" applyNumberFormat="1" applyFont="1" applyFill="1" applyBorder="1" applyAlignment="1" applyProtection="1">
      <alignment horizontal="center" vertical="center"/>
      <protection locked="0"/>
    </xf>
    <xf numFmtId="41" fontId="49" fillId="0" borderId="482" xfId="97" applyNumberFormat="1" applyFont="1" applyFill="1" applyBorder="1" applyAlignment="1" applyProtection="1">
      <alignment horizontal="center" vertical="center"/>
      <protection locked="0"/>
    </xf>
    <xf numFmtId="41" fontId="49" fillId="0" borderId="469" xfId="97" applyNumberFormat="1" applyFont="1" applyFill="1" applyBorder="1" applyAlignment="1" applyProtection="1">
      <alignment horizontal="center" vertical="center"/>
      <protection locked="0"/>
    </xf>
    <xf numFmtId="41" fontId="49" fillId="0" borderId="492" xfId="97" applyNumberFormat="1" applyFont="1" applyFill="1" applyBorder="1" applyAlignment="1" applyProtection="1">
      <alignment horizontal="center" vertical="center"/>
      <protection locked="0"/>
    </xf>
    <xf numFmtId="41" fontId="50" fillId="0" borderId="196" xfId="97" applyNumberFormat="1" applyFont="1" applyFill="1" applyBorder="1" applyAlignment="1" applyProtection="1">
      <alignment horizontal="center" vertical="center"/>
      <protection locked="0"/>
    </xf>
    <xf numFmtId="41" fontId="49" fillId="61" borderId="465" xfId="97" applyNumberFormat="1" applyFont="1" applyFill="1" applyBorder="1" applyAlignment="1" applyProtection="1">
      <alignment horizontal="center" vertical="center"/>
      <protection locked="0"/>
    </xf>
    <xf numFmtId="41" fontId="49" fillId="61" borderId="469" xfId="97" applyNumberFormat="1" applyFont="1" applyFill="1" applyBorder="1" applyAlignment="1" applyProtection="1">
      <alignment horizontal="center" vertical="center"/>
      <protection locked="0"/>
    </xf>
    <xf numFmtId="41" fontId="49" fillId="0" borderId="493" xfId="97" applyNumberFormat="1" applyFont="1" applyFill="1" applyBorder="1" applyAlignment="1" applyProtection="1">
      <alignment horizontal="center" vertical="center"/>
      <protection locked="0"/>
    </xf>
    <xf numFmtId="41" fontId="49" fillId="0" borderId="471" xfId="97" applyNumberFormat="1" applyFont="1" applyFill="1" applyBorder="1" applyAlignment="1" applyProtection="1">
      <alignment horizontal="center" vertical="center"/>
      <protection locked="0"/>
    </xf>
    <xf numFmtId="41" fontId="49" fillId="0" borderId="472" xfId="97" applyNumberFormat="1" applyFont="1" applyFill="1" applyBorder="1" applyAlignment="1" applyProtection="1">
      <alignment horizontal="center" vertical="center"/>
      <protection locked="0"/>
    </xf>
    <xf numFmtId="41" fontId="50" fillId="60" borderId="494" xfId="97" applyNumberFormat="1" applyFont="1" applyFill="1" applyBorder="1" applyAlignment="1" applyProtection="1">
      <alignment horizontal="center" vertical="center"/>
      <protection locked="0"/>
    </xf>
    <xf numFmtId="41" fontId="50" fillId="60" borderId="495" xfId="97" applyNumberFormat="1" applyFont="1" applyFill="1" applyBorder="1" applyAlignment="1" applyProtection="1">
      <alignment horizontal="center" vertical="center"/>
      <protection locked="0"/>
    </xf>
    <xf numFmtId="41" fontId="50" fillId="60" borderId="481" xfId="97" applyNumberFormat="1" applyFont="1" applyFill="1" applyBorder="1" applyAlignment="1" applyProtection="1">
      <alignment horizontal="center" vertical="center"/>
      <protection locked="0"/>
    </xf>
    <xf numFmtId="41" fontId="50" fillId="60" borderId="465" xfId="97" applyNumberFormat="1" applyFont="1" applyFill="1" applyBorder="1" applyAlignment="1" applyProtection="1">
      <alignment horizontal="center" vertical="center"/>
      <protection locked="0"/>
    </xf>
    <xf numFmtId="41" fontId="50" fillId="60" borderId="467" xfId="97" applyNumberFormat="1" applyFont="1" applyFill="1" applyBorder="1" applyAlignment="1" applyProtection="1">
      <alignment horizontal="center" vertical="center"/>
      <protection locked="0"/>
    </xf>
    <xf numFmtId="41" fontId="49" fillId="60" borderId="481" xfId="97" applyNumberFormat="1" applyFont="1" applyFill="1" applyBorder="1" applyAlignment="1" applyProtection="1">
      <alignment horizontal="center" vertical="center"/>
      <protection locked="0"/>
    </xf>
    <xf numFmtId="41" fontId="49" fillId="60" borderId="465" xfId="97" applyNumberFormat="1" applyFont="1" applyFill="1" applyBorder="1" applyAlignment="1" applyProtection="1">
      <alignment horizontal="center" vertical="center"/>
      <protection locked="0"/>
    </xf>
    <xf numFmtId="41" fontId="49" fillId="60" borderId="467" xfId="97" applyNumberFormat="1" applyFont="1" applyFill="1" applyBorder="1" applyAlignment="1" applyProtection="1">
      <alignment horizontal="center" vertical="center"/>
      <protection locked="0"/>
    </xf>
    <xf numFmtId="41" fontId="50" fillId="60" borderId="479" xfId="97" applyNumberFormat="1" applyFont="1" applyFill="1" applyBorder="1" applyAlignment="1" applyProtection="1">
      <alignment horizontal="center" vertical="center"/>
      <protection locked="0"/>
    </xf>
    <xf numFmtId="41" fontId="50" fillId="60" borderId="478" xfId="97" applyNumberFormat="1" applyFont="1" applyFill="1" applyBorder="1" applyAlignment="1" applyProtection="1">
      <alignment horizontal="center" vertical="center"/>
      <protection locked="0"/>
    </xf>
    <xf numFmtId="41" fontId="50" fillId="60" borderId="480" xfId="97" applyNumberFormat="1" applyFont="1" applyFill="1" applyBorder="1" applyAlignment="1" applyProtection="1">
      <alignment horizontal="center" vertical="center"/>
      <protection locked="0"/>
    </xf>
    <xf numFmtId="41" fontId="50" fillId="60" borderId="464" xfId="97" applyNumberFormat="1" applyFont="1" applyFill="1" applyBorder="1" applyAlignment="1" applyProtection="1">
      <alignment horizontal="center" vertical="center"/>
      <protection locked="0"/>
    </xf>
    <xf numFmtId="41" fontId="50" fillId="60" borderId="466" xfId="97" applyNumberFormat="1" applyFont="1" applyFill="1" applyBorder="1" applyAlignment="1" applyProtection="1">
      <alignment horizontal="center" vertical="center"/>
      <protection locked="0"/>
    </xf>
    <xf numFmtId="41" fontId="49" fillId="60" borderId="464" xfId="97" applyNumberFormat="1" applyFont="1" applyFill="1" applyBorder="1" applyAlignment="1" applyProtection="1">
      <alignment horizontal="center" vertical="center"/>
      <protection locked="0"/>
    </xf>
    <xf numFmtId="41" fontId="49" fillId="60" borderId="466" xfId="97" applyNumberFormat="1" applyFont="1" applyFill="1" applyBorder="1" applyAlignment="1" applyProtection="1">
      <alignment horizontal="center" vertical="center"/>
      <protection locked="0"/>
    </xf>
    <xf numFmtId="41" fontId="50" fillId="60" borderId="477" xfId="97" applyNumberFormat="1" applyFont="1" applyFill="1" applyBorder="1" applyAlignment="1" applyProtection="1">
      <alignment horizontal="center" vertical="center"/>
      <protection locked="0"/>
    </xf>
    <xf numFmtId="41" fontId="50" fillId="60" borderId="476" xfId="97" applyNumberFormat="1" applyFont="1" applyFill="1" applyBorder="1" applyAlignment="1" applyProtection="1">
      <alignment horizontal="center" vertical="center"/>
      <protection locked="0"/>
    </xf>
    <xf numFmtId="41" fontId="49" fillId="0" borderId="496" xfId="97" applyNumberFormat="1" applyFont="1" applyFill="1" applyBorder="1" applyAlignment="1">
      <alignment vertical="center"/>
    </xf>
    <xf numFmtId="41" fontId="49" fillId="61" borderId="475" xfId="97" applyNumberFormat="1" applyFont="1" applyFill="1" applyBorder="1" applyAlignment="1" applyProtection="1">
      <alignment horizontal="center" vertical="center"/>
      <protection locked="0"/>
    </xf>
    <xf numFmtId="0" fontId="91" fillId="0" borderId="0" xfId="328">
      <alignment vertical="center"/>
    </xf>
    <xf numFmtId="41" fontId="98" fillId="0" borderId="0" xfId="97" applyNumberFormat="1" applyFont="1" applyFill="1" applyAlignment="1" applyProtection="1">
      <alignment horizontal="center" vertical="center"/>
      <protection locked="0"/>
    </xf>
    <xf numFmtId="41" fontId="50" fillId="59" borderId="468" xfId="97" applyNumberFormat="1" applyFont="1" applyFill="1" applyBorder="1" applyAlignment="1" applyProtection="1">
      <alignment horizontal="center" vertical="center"/>
      <protection locked="0"/>
    </xf>
    <xf numFmtId="41" fontId="50" fillId="59" borderId="469" xfId="97" applyNumberFormat="1" applyFont="1" applyFill="1" applyBorder="1" applyAlignment="1" applyProtection="1">
      <alignment horizontal="center" vertical="center"/>
      <protection locked="0"/>
    </xf>
    <xf numFmtId="41" fontId="50" fillId="59" borderId="470" xfId="97" applyNumberFormat="1" applyFont="1" applyFill="1" applyBorder="1" applyAlignment="1" applyProtection="1">
      <alignment horizontal="center" vertical="center"/>
      <protection locked="0"/>
    </xf>
    <xf numFmtId="41" fontId="50" fillId="0" borderId="66" xfId="97" applyNumberFormat="1" applyFont="1" applyFill="1" applyBorder="1" applyAlignment="1" applyProtection="1">
      <alignment horizontal="center" vertical="center"/>
      <protection locked="0"/>
    </xf>
    <xf numFmtId="41" fontId="50" fillId="0" borderId="461" xfId="97" applyNumberFormat="1" applyFont="1" applyFill="1" applyBorder="1" applyAlignment="1" applyProtection="1">
      <alignment horizontal="center" vertical="center"/>
      <protection locked="0"/>
    </xf>
    <xf numFmtId="41" fontId="50" fillId="61" borderId="66" xfId="97" applyNumberFormat="1" applyFont="1" applyFill="1" applyBorder="1" applyAlignment="1" applyProtection="1">
      <alignment horizontal="center" vertical="center"/>
      <protection locked="0"/>
    </xf>
    <xf numFmtId="41" fontId="49" fillId="0" borderId="467" xfId="97" applyNumberFormat="1" applyFont="1" applyFill="1" applyBorder="1" applyAlignment="1" applyProtection="1">
      <alignment horizontal="center" vertical="center"/>
      <protection locked="0"/>
    </xf>
    <xf numFmtId="41" fontId="49" fillId="0" borderId="465" xfId="97" applyNumberFormat="1" applyFont="1" applyFill="1" applyBorder="1" applyAlignment="1" applyProtection="1">
      <alignment horizontal="center" vertical="center"/>
      <protection locked="0"/>
    </xf>
    <xf numFmtId="41" fontId="49" fillId="0" borderId="481" xfId="97" applyNumberFormat="1" applyFont="1" applyFill="1" applyBorder="1" applyAlignment="1" applyProtection="1">
      <alignment horizontal="center" vertical="center"/>
      <protection locked="0"/>
    </xf>
    <xf numFmtId="41" fontId="50" fillId="0" borderId="309" xfId="97" applyNumberFormat="1" applyFont="1" applyFill="1" applyBorder="1" applyAlignment="1" applyProtection="1">
      <alignment horizontal="center" vertical="center"/>
      <protection locked="0"/>
    </xf>
    <xf numFmtId="41" fontId="50" fillId="0" borderId="427" xfId="97" applyNumberFormat="1" applyFont="1" applyFill="1" applyBorder="1" applyAlignment="1" applyProtection="1">
      <alignment horizontal="center" vertical="center"/>
      <protection locked="0"/>
    </xf>
    <xf numFmtId="41" fontId="50" fillId="0" borderId="334" xfId="97" applyNumberFormat="1" applyFont="1" applyFill="1" applyBorder="1" applyAlignment="1" applyProtection="1">
      <alignment horizontal="center" vertical="center"/>
      <protection locked="0"/>
    </xf>
    <xf numFmtId="41" fontId="50" fillId="59" borderId="492" xfId="97" applyNumberFormat="1" applyFont="1" applyFill="1" applyBorder="1" applyAlignment="1" applyProtection="1">
      <alignment horizontal="center" vertical="center"/>
      <protection locked="0"/>
    </xf>
    <xf numFmtId="41" fontId="50" fillId="59" borderId="469" xfId="97" applyNumberFormat="1" applyFont="1" applyFill="1" applyBorder="1" applyAlignment="1" applyProtection="1">
      <alignment horizontal="center" vertical="center"/>
      <protection locked="0"/>
    </xf>
    <xf numFmtId="41" fontId="50" fillId="59" borderId="482" xfId="97" applyNumberFormat="1" applyFont="1" applyFill="1" applyBorder="1" applyAlignment="1" applyProtection="1">
      <alignment horizontal="center" vertical="center"/>
      <protection locked="0"/>
    </xf>
    <xf numFmtId="41" fontId="50" fillId="60" borderId="487" xfId="97" applyNumberFormat="1" applyFont="1" applyFill="1" applyBorder="1" applyAlignment="1" applyProtection="1">
      <alignment horizontal="center" vertical="center"/>
      <protection locked="0"/>
    </xf>
    <xf numFmtId="41" fontId="49" fillId="60" borderId="485" xfId="97" applyNumberFormat="1" applyFont="1" applyFill="1" applyBorder="1" applyAlignment="1" applyProtection="1">
      <alignment horizontal="center" vertical="center"/>
      <protection locked="0"/>
    </xf>
    <xf numFmtId="41" fontId="50" fillId="60" borderId="485" xfId="97" applyNumberFormat="1" applyFont="1" applyFill="1" applyBorder="1" applyAlignment="1" applyProtection="1">
      <alignment horizontal="center" vertical="center"/>
      <protection locked="0"/>
    </xf>
    <xf numFmtId="41" fontId="49" fillId="0" borderId="486" xfId="97" applyNumberFormat="1" applyFont="1" applyFill="1" applyBorder="1" applyAlignment="1" applyProtection="1">
      <alignment horizontal="center" vertical="center"/>
      <protection locked="0"/>
    </xf>
    <xf numFmtId="41" fontId="49" fillId="0" borderId="485" xfId="97" applyNumberFormat="1" applyFont="1" applyFill="1" applyBorder="1" applyAlignment="1" applyProtection="1">
      <alignment horizontal="center" vertical="center"/>
      <protection locked="0"/>
    </xf>
    <xf numFmtId="41" fontId="49" fillId="0" borderId="497" xfId="97" applyNumberFormat="1" applyFont="1" applyFill="1" applyBorder="1" applyAlignment="1">
      <alignment vertical="center"/>
    </xf>
    <xf numFmtId="41" fontId="49" fillId="0" borderId="498" xfId="97" applyNumberFormat="1" applyFont="1" applyFill="1" applyBorder="1" applyAlignment="1">
      <alignment horizontal="right" vertical="center"/>
    </xf>
    <xf numFmtId="194" fontId="49" fillId="0" borderId="183" xfId="97" applyNumberFormat="1" applyFont="1" applyFill="1" applyBorder="1" applyAlignment="1">
      <alignment horizontal="center" vertical="center"/>
    </xf>
    <xf numFmtId="194" fontId="49" fillId="0" borderId="163" xfId="97" applyNumberFormat="1" applyFont="1" applyFill="1" applyBorder="1" applyAlignment="1">
      <alignment horizontal="center" vertical="center"/>
    </xf>
    <xf numFmtId="194" fontId="49" fillId="0" borderId="350" xfId="97" applyNumberFormat="1" applyFont="1" applyFill="1" applyBorder="1" applyAlignment="1">
      <alignment horizontal="center" vertical="center"/>
    </xf>
    <xf numFmtId="41" fontId="49" fillId="0" borderId="506" xfId="97" applyNumberFormat="1" applyFont="1" applyFill="1" applyBorder="1" applyAlignment="1">
      <alignment horizontal="right" vertical="center"/>
    </xf>
    <xf numFmtId="41" fontId="49" fillId="0" borderId="504" xfId="97" applyNumberFormat="1" applyFont="1" applyFill="1" applyBorder="1" applyAlignment="1" applyProtection="1">
      <alignment horizontal="center" vertical="center"/>
      <protection locked="0"/>
    </xf>
    <xf numFmtId="41" fontId="49" fillId="0" borderId="499" xfId="97" applyNumberFormat="1" applyFont="1" applyFill="1" applyBorder="1" applyAlignment="1" applyProtection="1">
      <alignment horizontal="center" vertical="center"/>
      <protection locked="0"/>
    </xf>
    <xf numFmtId="41" fontId="49" fillId="0" borderId="507" xfId="97" applyNumberFormat="1" applyFont="1" applyFill="1" applyBorder="1" applyAlignment="1" applyProtection="1">
      <alignment horizontal="center" vertical="center"/>
      <protection locked="0"/>
    </xf>
    <xf numFmtId="41" fontId="49" fillId="0" borderId="508" xfId="97" applyNumberFormat="1" applyFont="1" applyFill="1" applyBorder="1" applyAlignment="1" applyProtection="1">
      <alignment horizontal="center" vertical="center"/>
      <protection locked="0"/>
    </xf>
    <xf numFmtId="41" fontId="50" fillId="0" borderId="502" xfId="97" applyNumberFormat="1" applyFont="1" applyFill="1" applyBorder="1" applyAlignment="1" applyProtection="1">
      <alignment horizontal="center" vertical="center"/>
      <protection locked="0"/>
    </xf>
    <xf numFmtId="41" fontId="50" fillId="0" borderId="503" xfId="97" applyNumberFormat="1" applyFont="1" applyFill="1" applyBorder="1" applyAlignment="1" applyProtection="1">
      <alignment horizontal="center" vertical="center"/>
      <protection locked="0"/>
    </xf>
    <xf numFmtId="41" fontId="49" fillId="0" borderId="501" xfId="97" applyNumberFormat="1" applyFont="1" applyFill="1" applyBorder="1" applyAlignment="1" applyProtection="1">
      <alignment horizontal="center" vertical="center"/>
      <protection locked="0"/>
    </xf>
    <xf numFmtId="41" fontId="49" fillId="0" borderId="505" xfId="97" applyNumberFormat="1" applyFont="1" applyFill="1" applyBorder="1" applyAlignment="1" applyProtection="1">
      <alignment horizontal="center" vertical="center"/>
      <protection locked="0"/>
    </xf>
    <xf numFmtId="41" fontId="49" fillId="61" borderId="499" xfId="97" applyNumberFormat="1" applyFont="1" applyFill="1" applyBorder="1" applyAlignment="1" applyProtection="1">
      <alignment horizontal="center" vertical="center"/>
      <protection locked="0"/>
    </xf>
    <xf numFmtId="41" fontId="49" fillId="61" borderId="508" xfId="97" applyNumberFormat="1" applyFont="1" applyFill="1" applyBorder="1" applyAlignment="1" applyProtection="1">
      <alignment horizontal="center" vertical="center"/>
      <protection locked="0"/>
    </xf>
    <xf numFmtId="41" fontId="50" fillId="61" borderId="503" xfId="97" applyNumberFormat="1" applyFont="1" applyFill="1" applyBorder="1" applyAlignment="1" applyProtection="1">
      <alignment horizontal="center" vertical="center"/>
      <protection locked="0"/>
    </xf>
    <xf numFmtId="41" fontId="49" fillId="61" borderId="505" xfId="97" applyNumberFormat="1" applyFont="1" applyFill="1" applyBorder="1" applyAlignment="1" applyProtection="1">
      <alignment horizontal="center" vertical="center"/>
      <protection locked="0"/>
    </xf>
    <xf numFmtId="41" fontId="49" fillId="0" borderId="509" xfId="97" applyNumberFormat="1" applyFont="1" applyFill="1" applyBorder="1" applyAlignment="1" applyProtection="1">
      <alignment horizontal="center" vertical="center"/>
      <protection locked="0"/>
    </xf>
    <xf numFmtId="41" fontId="49" fillId="0" borderId="500" xfId="97" applyNumberFormat="1" applyFont="1" applyFill="1" applyBorder="1" applyAlignment="1" applyProtection="1">
      <alignment horizontal="center" vertical="center"/>
      <protection locked="0"/>
    </xf>
    <xf numFmtId="194" fontId="49" fillId="0" borderId="497" xfId="97" applyNumberFormat="1" applyFont="1" applyFill="1" applyBorder="1" applyAlignment="1">
      <alignment horizontal="center" vertical="center"/>
    </xf>
    <xf numFmtId="41" fontId="49" fillId="0" borderId="496" xfId="97" quotePrefix="1" applyNumberFormat="1" applyFont="1" applyFill="1" applyBorder="1" applyAlignment="1">
      <alignment vertical="center"/>
    </xf>
    <xf numFmtId="41" fontId="49" fillId="0" borderId="510" xfId="97" applyNumberFormat="1" applyFont="1" applyFill="1" applyBorder="1" applyAlignment="1" applyProtection="1">
      <alignment horizontal="center" vertical="center"/>
      <protection locked="0"/>
    </xf>
    <xf numFmtId="41" fontId="49" fillId="0" borderId="511" xfId="97" applyNumberFormat="1" applyFont="1" applyFill="1" applyBorder="1" applyAlignment="1" applyProtection="1">
      <alignment horizontal="center" vertical="center"/>
      <protection locked="0"/>
    </xf>
    <xf numFmtId="41" fontId="49" fillId="0" borderId="512" xfId="97" applyNumberFormat="1" applyFont="1" applyFill="1" applyBorder="1" applyAlignment="1" applyProtection="1">
      <alignment horizontal="center" vertical="center"/>
      <protection locked="0"/>
    </xf>
    <xf numFmtId="0" fontId="61" fillId="0" borderId="513" xfId="177" applyFont="1" applyFill="1" applyBorder="1">
      <alignment vertical="center"/>
    </xf>
    <xf numFmtId="41" fontId="61" fillId="0" borderId="514" xfId="210" applyFont="1" applyFill="1" applyBorder="1">
      <alignment vertical="center"/>
    </xf>
    <xf numFmtId="41" fontId="61" fillId="0" borderId="515" xfId="210" applyFont="1" applyFill="1" applyBorder="1">
      <alignment vertical="center"/>
    </xf>
    <xf numFmtId="41" fontId="61" fillId="26" borderId="513" xfId="210" applyFont="1" applyFill="1" applyBorder="1">
      <alignment vertical="center"/>
    </xf>
    <xf numFmtId="41" fontId="49" fillId="0" borderId="516" xfId="97" applyNumberFormat="1" applyFont="1" applyFill="1" applyBorder="1" applyAlignment="1" applyProtection="1">
      <alignment horizontal="center" vertical="center"/>
      <protection locked="0"/>
    </xf>
    <xf numFmtId="41" fontId="49" fillId="0" borderId="521" xfId="97" applyNumberFormat="1" applyFont="1" applyFill="1" applyBorder="1" applyAlignment="1" applyProtection="1">
      <alignment horizontal="center" vertical="center"/>
      <protection locked="0"/>
    </xf>
    <xf numFmtId="41" fontId="49" fillId="0" borderId="522" xfId="97" applyNumberFormat="1" applyFont="1" applyFill="1" applyBorder="1" applyAlignment="1" applyProtection="1">
      <alignment horizontal="center" vertical="center"/>
      <protection locked="0"/>
    </xf>
    <xf numFmtId="41" fontId="49" fillId="0" borderId="518" xfId="97" applyNumberFormat="1" applyFont="1" applyFill="1" applyBorder="1" applyAlignment="1" applyProtection="1">
      <alignment horizontal="center" vertical="center"/>
      <protection locked="0"/>
    </xf>
    <xf numFmtId="194" fontId="49" fillId="0" borderId="526" xfId="97" applyNumberFormat="1" applyFont="1" applyFill="1" applyBorder="1" applyAlignment="1">
      <alignment horizontal="center" vertical="center"/>
    </xf>
    <xf numFmtId="187" fontId="49" fillId="0" borderId="527" xfId="97" applyNumberFormat="1" applyFont="1" applyFill="1" applyBorder="1" applyAlignment="1">
      <alignment vertical="center"/>
    </xf>
    <xf numFmtId="41" fontId="49" fillId="0" borderId="528" xfId="97" applyNumberFormat="1" applyFont="1" applyFill="1" applyBorder="1" applyAlignment="1">
      <alignment vertical="center"/>
    </xf>
    <xf numFmtId="41" fontId="49" fillId="0" borderId="527" xfId="97" applyNumberFormat="1" applyFont="1" applyFill="1" applyBorder="1" applyAlignment="1">
      <alignment vertical="center"/>
    </xf>
    <xf numFmtId="194" fontId="49" fillId="0" borderId="526" xfId="3" applyNumberFormat="1" applyFont="1" applyFill="1" applyBorder="1" applyAlignment="1">
      <alignment horizontal="center" vertical="center"/>
    </xf>
    <xf numFmtId="41" fontId="49" fillId="0" borderId="529" xfId="3" applyNumberFormat="1" applyFont="1" applyFill="1" applyBorder="1" applyAlignment="1">
      <alignment vertical="center"/>
    </xf>
    <xf numFmtId="41" fontId="49" fillId="0" borderId="530" xfId="1" applyFont="1" applyFill="1" applyBorder="1" applyAlignment="1">
      <alignment vertical="center"/>
    </xf>
    <xf numFmtId="41" fontId="49" fillId="0" borderId="520" xfId="3" applyNumberFormat="1" applyFont="1" applyFill="1" applyBorder="1" applyAlignment="1">
      <alignment horizontal="center" vertical="center"/>
    </xf>
    <xf numFmtId="41" fontId="61" fillId="0" borderId="513" xfId="210" applyFont="1" applyFill="1" applyBorder="1">
      <alignment vertical="center"/>
    </xf>
    <xf numFmtId="0" fontId="61" fillId="64" borderId="513" xfId="0" applyFont="1" applyFill="1" applyBorder="1">
      <alignment vertical="center"/>
    </xf>
    <xf numFmtId="41" fontId="61" fillId="64" borderId="514" xfId="210" applyFont="1" applyFill="1" applyBorder="1">
      <alignment vertical="center"/>
    </xf>
    <xf numFmtId="41" fontId="61" fillId="64" borderId="515" xfId="210" applyFont="1" applyFill="1" applyBorder="1">
      <alignment vertical="center"/>
    </xf>
    <xf numFmtId="41" fontId="61" fillId="64" borderId="513" xfId="210" applyFont="1" applyFill="1" applyBorder="1">
      <alignment vertical="center"/>
    </xf>
    <xf numFmtId="0" fontId="96" fillId="0" borderId="531" xfId="0" applyFont="1" applyFill="1" applyBorder="1" applyAlignment="1">
      <alignment horizontal="center" vertical="center"/>
    </xf>
    <xf numFmtId="191" fontId="96" fillId="0" borderId="532" xfId="0" applyNumberFormat="1" applyFont="1" applyFill="1" applyBorder="1" applyAlignment="1">
      <alignment horizontal="center" vertical="center"/>
    </xf>
    <xf numFmtId="0" fontId="96" fillId="0" borderId="502" xfId="0" applyFont="1" applyFill="1" applyBorder="1" applyAlignment="1">
      <alignment horizontal="center" vertical="center"/>
    </xf>
    <xf numFmtId="41" fontId="96" fillId="0" borderId="533" xfId="210" applyFont="1" applyFill="1" applyBorder="1" applyAlignment="1">
      <alignment horizontal="center" vertical="center"/>
    </xf>
    <xf numFmtId="41" fontId="96" fillId="0" borderId="525" xfId="210" applyFont="1" applyFill="1" applyBorder="1" applyAlignment="1">
      <alignment horizontal="center" vertical="center"/>
    </xf>
    <xf numFmtId="0" fontId="96" fillId="0" borderId="534" xfId="0" applyFont="1" applyFill="1" applyBorder="1" applyAlignment="1">
      <alignment horizontal="center" vertical="center"/>
    </xf>
    <xf numFmtId="191" fontId="96" fillId="0" borderId="535" xfId="0" applyNumberFormat="1" applyFont="1" applyFill="1" applyBorder="1" applyAlignment="1">
      <alignment horizontal="center" vertical="center"/>
    </xf>
    <xf numFmtId="0" fontId="96" fillId="0" borderId="517" xfId="0" applyFont="1" applyFill="1" applyBorder="1" applyAlignment="1">
      <alignment horizontal="center" vertical="center"/>
    </xf>
    <xf numFmtId="41" fontId="96" fillId="0" borderId="536" xfId="210" applyFont="1" applyFill="1" applyBorder="1" applyAlignment="1">
      <alignment horizontal="center" vertical="center"/>
    </xf>
    <xf numFmtId="41" fontId="96" fillId="0" borderId="516" xfId="210" applyFont="1" applyFill="1" applyBorder="1" applyAlignment="1">
      <alignment horizontal="center" vertical="center"/>
    </xf>
    <xf numFmtId="10" fontId="96" fillId="0" borderId="516" xfId="210" applyNumberFormat="1" applyFont="1" applyFill="1" applyBorder="1" applyAlignment="1">
      <alignment horizontal="center" vertical="center"/>
    </xf>
    <xf numFmtId="41" fontId="96" fillId="0" borderId="523" xfId="210" applyFont="1" applyFill="1" applyBorder="1" applyAlignment="1">
      <alignment horizontal="center" vertical="center"/>
    </xf>
    <xf numFmtId="0" fontId="96" fillId="0" borderId="537" xfId="0" applyFont="1" applyFill="1" applyBorder="1" applyAlignment="1">
      <alignment horizontal="center" vertical="center"/>
    </xf>
    <xf numFmtId="0" fontId="96" fillId="0" borderId="538" xfId="0" applyFont="1" applyFill="1" applyBorder="1" applyAlignment="1">
      <alignment horizontal="center" vertical="center"/>
    </xf>
    <xf numFmtId="191" fontId="96" fillId="0" borderId="539" xfId="0" applyNumberFormat="1" applyFont="1" applyFill="1" applyBorder="1" applyAlignment="1">
      <alignment horizontal="center" vertical="center"/>
    </xf>
    <xf numFmtId="0" fontId="96" fillId="0" borderId="540" xfId="0" applyFont="1" applyFill="1" applyBorder="1" applyAlignment="1">
      <alignment horizontal="center" vertical="center"/>
    </xf>
    <xf numFmtId="41" fontId="96" fillId="0" borderId="541" xfId="210" applyFont="1" applyFill="1" applyBorder="1" applyAlignment="1">
      <alignment horizontal="center" vertical="center"/>
    </xf>
    <xf numFmtId="41" fontId="96" fillId="0" borderId="522" xfId="210" applyFont="1" applyFill="1" applyBorder="1" applyAlignment="1">
      <alignment horizontal="center" vertical="center"/>
    </xf>
    <xf numFmtId="10" fontId="96" fillId="0" borderId="522" xfId="210" applyNumberFormat="1" applyFont="1" applyFill="1" applyBorder="1" applyAlignment="1">
      <alignment horizontal="center" vertical="center"/>
    </xf>
    <xf numFmtId="41" fontId="96" fillId="0" borderId="542" xfId="210" applyFont="1" applyFill="1" applyBorder="1" applyAlignment="1">
      <alignment horizontal="center" vertical="center"/>
    </xf>
    <xf numFmtId="0" fontId="96" fillId="0" borderId="462" xfId="0" applyFont="1" applyFill="1" applyBorder="1" applyAlignment="1">
      <alignment horizontal="center" vertical="center"/>
    </xf>
    <xf numFmtId="191" fontId="96" fillId="0" borderId="276" xfId="0" applyNumberFormat="1" applyFont="1" applyFill="1" applyBorder="1" applyAlignment="1">
      <alignment horizontal="center" vertical="center"/>
    </xf>
    <xf numFmtId="0" fontId="96" fillId="0" borderId="299" xfId="0" applyFont="1" applyFill="1" applyBorder="1" applyAlignment="1">
      <alignment horizontal="center" vertical="center"/>
    </xf>
    <xf numFmtId="41" fontId="96" fillId="0" borderId="334" xfId="210" applyFont="1" applyFill="1" applyBorder="1" applyAlignment="1">
      <alignment horizontal="center" vertical="center"/>
    </xf>
    <xf numFmtId="10" fontId="96" fillId="0" borderId="0" xfId="336" applyNumberFormat="1" applyFont="1" applyFill="1" applyAlignment="1">
      <alignment horizontal="center" vertical="center"/>
    </xf>
    <xf numFmtId="0" fontId="96" fillId="26" borderId="0" xfId="0" applyFont="1" applyFill="1" applyAlignment="1">
      <alignment horizontal="center" vertical="center"/>
    </xf>
    <xf numFmtId="0" fontId="96" fillId="26" borderId="462" xfId="0" applyFont="1" applyFill="1" applyBorder="1" applyAlignment="1">
      <alignment horizontal="center" vertical="center"/>
    </xf>
    <xf numFmtId="191" fontId="96" fillId="26" borderId="276" xfId="0" applyNumberFormat="1" applyFont="1" applyFill="1" applyBorder="1" applyAlignment="1">
      <alignment horizontal="center" vertical="center"/>
    </xf>
    <xf numFmtId="0" fontId="96" fillId="26" borderId="299" xfId="0" applyFont="1" applyFill="1" applyBorder="1" applyAlignment="1">
      <alignment horizontal="center" vertical="center"/>
    </xf>
    <xf numFmtId="41" fontId="96" fillId="26" borderId="334" xfId="210" applyFont="1" applyFill="1" applyBorder="1" applyAlignment="1">
      <alignment horizontal="center" vertical="center"/>
    </xf>
    <xf numFmtId="41" fontId="96" fillId="26" borderId="66" xfId="210" applyFont="1" applyFill="1" applyBorder="1" applyAlignment="1">
      <alignment horizontal="center" vertical="center"/>
    </xf>
    <xf numFmtId="10" fontId="96" fillId="26" borderId="66" xfId="210" applyNumberFormat="1" applyFont="1" applyFill="1" applyBorder="1" applyAlignment="1">
      <alignment horizontal="center" vertical="center"/>
    </xf>
    <xf numFmtId="41" fontId="96" fillId="26" borderId="196" xfId="210" applyFont="1" applyFill="1" applyBorder="1" applyAlignment="1">
      <alignment horizontal="center" vertical="center"/>
    </xf>
    <xf numFmtId="0" fontId="96" fillId="26" borderId="543" xfId="0" applyFont="1" applyFill="1" applyBorder="1" applyAlignment="1">
      <alignment horizontal="center" vertical="center"/>
    </xf>
    <xf numFmtId="191" fontId="96" fillId="26" borderId="544" xfId="0" applyNumberFormat="1" applyFont="1" applyFill="1" applyBorder="1" applyAlignment="1">
      <alignment horizontal="center" vertical="center"/>
    </xf>
    <xf numFmtId="0" fontId="96" fillId="26" borderId="545" xfId="0" applyFont="1" applyFill="1" applyBorder="1" applyAlignment="1">
      <alignment horizontal="center" vertical="center"/>
    </xf>
    <xf numFmtId="41" fontId="96" fillId="26" borderId="546" xfId="210" applyFont="1" applyFill="1" applyBorder="1" applyAlignment="1">
      <alignment horizontal="center" vertical="center"/>
    </xf>
    <xf numFmtId="41" fontId="96" fillId="26" borderId="521" xfId="210" applyFont="1" applyFill="1" applyBorder="1" applyAlignment="1">
      <alignment horizontal="center" vertical="center"/>
    </xf>
    <xf numFmtId="10" fontId="96" fillId="26" borderId="521" xfId="210" applyNumberFormat="1" applyFont="1" applyFill="1" applyBorder="1" applyAlignment="1">
      <alignment horizontal="center" vertical="center"/>
    </xf>
    <xf numFmtId="41" fontId="96" fillId="26" borderId="547" xfId="210" applyFont="1" applyFill="1" applyBorder="1" applyAlignment="1">
      <alignment horizontal="center" vertical="center"/>
    </xf>
    <xf numFmtId="0" fontId="96" fillId="0" borderId="543" xfId="0" applyFont="1" applyFill="1" applyBorder="1" applyAlignment="1">
      <alignment horizontal="center" vertical="center"/>
    </xf>
    <xf numFmtId="191" fontId="96" fillId="0" borderId="544" xfId="0" applyNumberFormat="1" applyFont="1" applyFill="1" applyBorder="1" applyAlignment="1">
      <alignment horizontal="center" vertical="center"/>
    </xf>
    <xf numFmtId="0" fontId="96" fillId="0" borderId="545" xfId="0" applyFont="1" applyFill="1" applyBorder="1" applyAlignment="1">
      <alignment horizontal="center" vertical="center"/>
    </xf>
    <xf numFmtId="41" fontId="96" fillId="0" borderId="546" xfId="210" applyFont="1" applyFill="1" applyBorder="1" applyAlignment="1">
      <alignment horizontal="center" vertical="center"/>
    </xf>
    <xf numFmtId="41" fontId="96" fillId="0" borderId="521" xfId="210" applyFont="1" applyFill="1" applyBorder="1" applyAlignment="1">
      <alignment horizontal="center" vertical="center"/>
    </xf>
    <xf numFmtId="10" fontId="96" fillId="0" borderId="521" xfId="210" applyNumberFormat="1" applyFont="1" applyFill="1" applyBorder="1" applyAlignment="1">
      <alignment horizontal="center" vertical="center"/>
    </xf>
    <xf numFmtId="41" fontId="96" fillId="0" borderId="547" xfId="210" applyFont="1" applyFill="1" applyBorder="1" applyAlignment="1">
      <alignment horizontal="center" vertical="center"/>
    </xf>
    <xf numFmtId="0" fontId="96" fillId="0" borderId="548" xfId="0" applyFont="1" applyFill="1" applyBorder="1" applyAlignment="1">
      <alignment horizontal="center" vertical="center"/>
    </xf>
    <xf numFmtId="14" fontId="96" fillId="0" borderId="535" xfId="0" applyNumberFormat="1" applyFont="1" applyFill="1" applyBorder="1" applyAlignment="1">
      <alignment horizontal="center" vertical="center"/>
    </xf>
    <xf numFmtId="10" fontId="96" fillId="0" borderId="516" xfId="336" applyNumberFormat="1" applyFont="1" applyFill="1" applyBorder="1" applyAlignment="1">
      <alignment horizontal="center" vertical="center"/>
    </xf>
    <xf numFmtId="14" fontId="96" fillId="0" borderId="544" xfId="0" applyNumberFormat="1" applyFont="1" applyFill="1" applyBorder="1" applyAlignment="1">
      <alignment horizontal="center" vertical="center"/>
    </xf>
    <xf numFmtId="10" fontId="96" fillId="0" borderId="521" xfId="336" applyNumberFormat="1" applyFont="1" applyFill="1" applyBorder="1" applyAlignment="1">
      <alignment horizontal="center" vertical="center"/>
    </xf>
    <xf numFmtId="14" fontId="96" fillId="0" borderId="532" xfId="0" applyNumberFormat="1" applyFont="1" applyFill="1" applyBorder="1" applyAlignment="1">
      <alignment horizontal="center" vertical="center"/>
    </xf>
    <xf numFmtId="0" fontId="96" fillId="0" borderId="550" xfId="0" applyFont="1" applyFill="1" applyBorder="1" applyAlignment="1">
      <alignment horizontal="center" vertical="center"/>
    </xf>
    <xf numFmtId="0" fontId="65" fillId="0" borderId="0" xfId="0" applyFont="1" applyFill="1" applyAlignment="1">
      <alignment horizontal="left" vertical="center"/>
    </xf>
    <xf numFmtId="196" fontId="96" fillId="26" borderId="0" xfId="0" applyNumberFormat="1" applyFont="1" applyFill="1" applyAlignment="1">
      <alignment horizontal="center" vertical="center"/>
    </xf>
    <xf numFmtId="41" fontId="96" fillId="27" borderId="516" xfId="210" applyFont="1" applyFill="1" applyBorder="1" applyAlignment="1">
      <alignment horizontal="center" vertical="center"/>
    </xf>
    <xf numFmtId="41" fontId="96" fillId="27" borderId="521" xfId="210" applyFont="1" applyFill="1" applyBorder="1" applyAlignment="1">
      <alignment horizontal="center" vertical="center"/>
    </xf>
    <xf numFmtId="41" fontId="96" fillId="27" borderId="219" xfId="210" applyFont="1" applyFill="1" applyBorder="1" applyAlignment="1">
      <alignment horizontal="center" vertical="center"/>
    </xf>
    <xf numFmtId="41" fontId="96" fillId="27" borderId="522" xfId="210" applyFont="1" applyFill="1" applyBorder="1" applyAlignment="1">
      <alignment horizontal="center" vertical="center"/>
    </xf>
    <xf numFmtId="41" fontId="96" fillId="27" borderId="66" xfId="210" applyFont="1" applyFill="1" applyBorder="1" applyAlignment="1">
      <alignment horizontal="center" vertical="center"/>
    </xf>
    <xf numFmtId="0" fontId="96" fillId="0" borderId="551" xfId="0" applyFont="1" applyFill="1" applyBorder="1" applyAlignment="1">
      <alignment horizontal="center" vertical="center"/>
    </xf>
    <xf numFmtId="14" fontId="96" fillId="0" borderId="552" xfId="0" applyNumberFormat="1" applyFont="1" applyFill="1" applyBorder="1" applyAlignment="1">
      <alignment horizontal="center" vertical="center"/>
    </xf>
    <xf numFmtId="0" fontId="96" fillId="0" borderId="553" xfId="0" applyFont="1" applyFill="1" applyBorder="1" applyAlignment="1">
      <alignment horizontal="center" vertical="center"/>
    </xf>
    <xf numFmtId="41" fontId="96" fillId="0" borderId="554" xfId="210" applyFont="1" applyFill="1" applyBorder="1" applyAlignment="1">
      <alignment horizontal="center" vertical="center"/>
    </xf>
    <xf numFmtId="41" fontId="96" fillId="0" borderId="555" xfId="210" applyFont="1" applyFill="1" applyBorder="1" applyAlignment="1">
      <alignment horizontal="center" vertical="center"/>
    </xf>
    <xf numFmtId="10" fontId="96" fillId="0" borderId="555" xfId="210" applyNumberFormat="1" applyFont="1" applyFill="1" applyBorder="1" applyAlignment="1">
      <alignment horizontal="center" vertical="center"/>
    </xf>
    <xf numFmtId="41" fontId="96" fillId="0" borderId="556" xfId="210" applyFont="1" applyFill="1" applyBorder="1" applyAlignment="1">
      <alignment horizontal="center" vertical="center"/>
    </xf>
    <xf numFmtId="0" fontId="61" fillId="26" borderId="514" xfId="177" applyFont="1" applyFill="1" applyBorder="1">
      <alignment vertical="center"/>
    </xf>
    <xf numFmtId="0" fontId="61" fillId="0" borderId="515" xfId="177" applyFont="1" applyFill="1" applyBorder="1">
      <alignment vertical="center"/>
    </xf>
    <xf numFmtId="0" fontId="61" fillId="26" borderId="513" xfId="177" applyFont="1" applyFill="1" applyBorder="1">
      <alignment vertical="center"/>
    </xf>
    <xf numFmtId="41" fontId="49" fillId="0" borderId="558" xfId="97" applyNumberFormat="1" applyFont="1" applyFill="1" applyBorder="1" applyAlignment="1" applyProtection="1">
      <alignment horizontal="center" vertical="center"/>
      <protection locked="0"/>
    </xf>
    <xf numFmtId="41" fontId="49" fillId="0" borderId="557" xfId="97" applyNumberFormat="1" applyFont="1" applyFill="1" applyBorder="1" applyAlignment="1" applyProtection="1">
      <alignment horizontal="center" vertical="center"/>
      <protection locked="0"/>
    </xf>
    <xf numFmtId="41" fontId="49" fillId="0" borderId="562" xfId="97" applyNumberFormat="1" applyFont="1" applyFill="1" applyBorder="1" applyAlignment="1" applyProtection="1">
      <alignment horizontal="center" vertical="center"/>
      <protection locked="0"/>
    </xf>
    <xf numFmtId="41" fontId="49" fillId="0" borderId="563" xfId="97" applyNumberFormat="1" applyFont="1" applyFill="1" applyBorder="1" applyAlignment="1" applyProtection="1">
      <alignment horizontal="center" vertical="center"/>
      <protection locked="0"/>
    </xf>
    <xf numFmtId="41" fontId="50" fillId="0" borderId="524" xfId="97" applyNumberFormat="1" applyFont="1" applyFill="1" applyBorder="1" applyAlignment="1" applyProtection="1">
      <alignment horizontal="center" vertical="center"/>
      <protection locked="0"/>
    </xf>
    <xf numFmtId="41" fontId="49" fillId="0" borderId="564" xfId="97" applyNumberFormat="1" applyFont="1" applyFill="1" applyBorder="1" applyAlignment="1" applyProtection="1">
      <alignment horizontal="center" vertical="center"/>
      <protection locked="0"/>
    </xf>
    <xf numFmtId="41" fontId="49" fillId="0" borderId="565" xfId="97" applyNumberFormat="1" applyFont="1" applyFill="1" applyBorder="1" applyAlignment="1" applyProtection="1">
      <alignment horizontal="center" vertical="center"/>
      <protection locked="0"/>
    </xf>
    <xf numFmtId="41" fontId="49" fillId="0" borderId="559" xfId="97" applyNumberFormat="1" applyFont="1" applyFill="1" applyBorder="1" applyAlignment="1" applyProtection="1">
      <alignment horizontal="center" vertical="center"/>
      <protection locked="0"/>
    </xf>
    <xf numFmtId="41" fontId="49" fillId="0" borderId="560" xfId="97" applyNumberFormat="1" applyFont="1" applyFill="1" applyBorder="1" applyAlignment="1" applyProtection="1">
      <alignment horizontal="center" vertical="center"/>
      <protection locked="0"/>
    </xf>
    <xf numFmtId="194" fontId="49" fillId="0" borderId="568" xfId="97" applyNumberFormat="1" applyFont="1" applyFill="1" applyBorder="1" applyAlignment="1">
      <alignment horizontal="center" vertical="center"/>
    </xf>
    <xf numFmtId="41" fontId="49" fillId="0" borderId="569" xfId="97" quotePrefix="1" applyNumberFormat="1" applyFont="1" applyFill="1" applyBorder="1" applyAlignment="1">
      <alignment vertical="center"/>
    </xf>
    <xf numFmtId="187" fontId="49" fillId="0" borderId="569" xfId="97" applyNumberFormat="1" applyFont="1" applyFill="1" applyBorder="1" applyAlignment="1">
      <alignment vertical="center"/>
    </xf>
    <xf numFmtId="41" fontId="49" fillId="0" borderId="570" xfId="97" applyNumberFormat="1" applyFont="1" applyFill="1" applyBorder="1" applyAlignment="1">
      <alignment vertical="center"/>
    </xf>
    <xf numFmtId="41" fontId="49" fillId="0" borderId="567" xfId="97" applyNumberFormat="1" applyFont="1" applyFill="1" applyBorder="1" applyAlignment="1" applyProtection="1">
      <alignment horizontal="center" vertical="center"/>
      <protection locked="0"/>
    </xf>
    <xf numFmtId="41" fontId="49" fillId="0" borderId="571" xfId="97" applyNumberFormat="1" applyFont="1" applyFill="1" applyBorder="1" applyAlignment="1" applyProtection="1">
      <alignment horizontal="center" vertical="center"/>
      <protection locked="0"/>
    </xf>
    <xf numFmtId="41" fontId="50" fillId="0" borderId="572" xfId="97" applyNumberFormat="1" applyFont="1" applyFill="1" applyBorder="1" applyAlignment="1" applyProtection="1">
      <alignment horizontal="center" vertical="center"/>
      <protection locked="0"/>
    </xf>
    <xf numFmtId="41" fontId="50" fillId="0" borderId="566" xfId="97" applyNumberFormat="1" applyFont="1" applyFill="1" applyBorder="1" applyAlignment="1" applyProtection="1">
      <alignment horizontal="center" vertical="center"/>
      <protection locked="0"/>
    </xf>
    <xf numFmtId="41" fontId="49" fillId="0" borderId="573" xfId="97" applyNumberFormat="1" applyFont="1" applyFill="1" applyBorder="1" applyAlignment="1" applyProtection="1">
      <alignment horizontal="center" vertical="center"/>
      <protection locked="0"/>
    </xf>
    <xf numFmtId="41" fontId="50" fillId="61" borderId="566" xfId="97" applyNumberFormat="1" applyFont="1" applyFill="1" applyBorder="1" applyAlignment="1" applyProtection="1">
      <alignment horizontal="center" vertical="center"/>
      <protection locked="0"/>
    </xf>
    <xf numFmtId="41" fontId="49" fillId="0" borderId="561" xfId="97" applyNumberFormat="1" applyFont="1" applyFill="1" applyBorder="1" applyAlignment="1" applyProtection="1">
      <alignment horizontal="center" vertical="center"/>
      <protection locked="0"/>
    </xf>
    <xf numFmtId="41" fontId="49" fillId="0" borderId="574" xfId="97" applyNumberFormat="1" applyFont="1" applyFill="1" applyBorder="1" applyAlignment="1">
      <alignment horizontal="right" vertical="center"/>
    </xf>
    <xf numFmtId="41" fontId="49" fillId="0" borderId="580" xfId="97" applyNumberFormat="1" applyFont="1" applyFill="1" applyBorder="1" applyAlignment="1">
      <alignment horizontal="right" vertical="center"/>
    </xf>
    <xf numFmtId="41" fontId="49" fillId="0" borderId="575" xfId="97" applyNumberFormat="1" applyFont="1" applyFill="1" applyBorder="1" applyAlignment="1" applyProtection="1">
      <alignment horizontal="center" vertical="center"/>
      <protection locked="0"/>
    </xf>
    <xf numFmtId="41" fontId="49" fillId="0" borderId="576" xfId="97" applyNumberFormat="1" applyFont="1" applyFill="1" applyBorder="1" applyAlignment="1" applyProtection="1">
      <alignment horizontal="center" vertical="center"/>
      <protection locked="0"/>
    </xf>
    <xf numFmtId="41" fontId="49" fillId="0" borderId="582" xfId="97" applyNumberFormat="1" applyFont="1" applyFill="1" applyBorder="1" applyAlignment="1" applyProtection="1">
      <alignment horizontal="center" vertical="center"/>
      <protection locked="0"/>
    </xf>
    <xf numFmtId="41" fontId="49" fillId="0" borderId="577" xfId="97" applyNumberFormat="1" applyFont="1" applyFill="1" applyBorder="1" applyAlignment="1" applyProtection="1">
      <alignment horizontal="center" vertical="center"/>
      <protection locked="0"/>
    </xf>
    <xf numFmtId="41" fontId="49" fillId="0" borderId="578" xfId="97" applyNumberFormat="1" applyFont="1" applyFill="1" applyBorder="1" applyAlignment="1" applyProtection="1">
      <alignment horizontal="center" vertical="center"/>
      <protection locked="0"/>
    </xf>
    <xf numFmtId="41" fontId="49" fillId="0" borderId="399" xfId="97" applyNumberFormat="1" applyFont="1" applyFill="1" applyBorder="1" applyAlignment="1">
      <alignment vertical="center"/>
    </xf>
    <xf numFmtId="187" fontId="49" fillId="0" borderId="399" xfId="97" applyNumberFormat="1" applyFont="1" applyFill="1" applyBorder="1" applyAlignment="1">
      <alignment vertical="center"/>
    </xf>
    <xf numFmtId="41" fontId="49" fillId="0" borderId="583" xfId="97" applyNumberFormat="1" applyFont="1" applyFill="1" applyBorder="1" applyAlignment="1">
      <alignment vertical="center"/>
    </xf>
    <xf numFmtId="194" fontId="49" fillId="0" borderId="584" xfId="97" applyNumberFormat="1" applyFont="1" applyFill="1" applyBorder="1" applyAlignment="1">
      <alignment horizontal="center" vertical="center"/>
    </xf>
    <xf numFmtId="41" fontId="49" fillId="0" borderId="590" xfId="97" applyNumberFormat="1" applyFont="1" applyFill="1" applyBorder="1" applyAlignment="1">
      <alignment vertical="center"/>
    </xf>
    <xf numFmtId="41" fontId="49" fillId="0" borderId="581" xfId="97" applyNumberFormat="1" applyFont="1" applyFill="1" applyBorder="1" applyAlignment="1">
      <alignment horizontal="center" vertical="center"/>
    </xf>
    <xf numFmtId="41" fontId="49" fillId="0" borderId="116" xfId="3" applyNumberFormat="1" applyFont="1" applyFill="1" applyBorder="1" applyAlignment="1">
      <alignment horizontal="center" vertical="center"/>
    </xf>
    <xf numFmtId="41" fontId="49" fillId="0" borderId="591" xfId="97" applyNumberFormat="1" applyFont="1" applyFill="1" applyBorder="1" applyAlignment="1">
      <alignment horizontal="right" vertical="center"/>
    </xf>
    <xf numFmtId="41" fontId="49" fillId="0" borderId="592" xfId="97" applyNumberFormat="1" applyFont="1" applyFill="1" applyBorder="1" applyAlignment="1">
      <alignment vertical="center"/>
    </xf>
    <xf numFmtId="41" fontId="49" fillId="0" borderId="586" xfId="97" applyNumberFormat="1" applyFont="1" applyFill="1" applyBorder="1" applyAlignment="1" applyProtection="1">
      <alignment horizontal="center" vertical="center"/>
      <protection locked="0"/>
    </xf>
    <xf numFmtId="41" fontId="49" fillId="0" borderId="585" xfId="97" applyNumberFormat="1" applyFont="1" applyFill="1" applyBorder="1" applyAlignment="1" applyProtection="1">
      <alignment horizontal="center" vertical="center"/>
      <protection locked="0"/>
    </xf>
    <xf numFmtId="41" fontId="49" fillId="0" borderId="587" xfId="97" applyNumberFormat="1" applyFont="1" applyFill="1" applyBorder="1" applyAlignment="1" applyProtection="1">
      <alignment horizontal="center" vertical="center"/>
      <protection locked="0"/>
    </xf>
    <xf numFmtId="41" fontId="50" fillId="0" borderId="593" xfId="97" applyNumberFormat="1" applyFont="1" applyFill="1" applyBorder="1" applyAlignment="1" applyProtection="1">
      <alignment horizontal="center" vertical="center"/>
      <protection locked="0"/>
    </xf>
    <xf numFmtId="41" fontId="49" fillId="0" borderId="589" xfId="97" applyNumberFormat="1" applyFont="1" applyFill="1" applyBorder="1" applyAlignment="1" applyProtection="1">
      <alignment horizontal="center" vertical="center"/>
      <protection locked="0"/>
    </xf>
    <xf numFmtId="41" fontId="49" fillId="61" borderId="585" xfId="97" applyNumberFormat="1" applyFont="1" applyFill="1" applyBorder="1" applyAlignment="1" applyProtection="1">
      <alignment horizontal="center" vertical="center"/>
      <protection locked="0"/>
    </xf>
    <xf numFmtId="41" fontId="49" fillId="61" borderId="587" xfId="97" applyNumberFormat="1" applyFont="1" applyFill="1" applyBorder="1" applyAlignment="1" applyProtection="1">
      <alignment horizontal="center" vertical="center"/>
      <protection locked="0"/>
    </xf>
    <xf numFmtId="41" fontId="49" fillId="61" borderId="589" xfId="97" applyNumberFormat="1" applyFont="1" applyFill="1" applyBorder="1" applyAlignment="1" applyProtection="1">
      <alignment horizontal="center" vertical="center"/>
      <protection locked="0"/>
    </xf>
    <xf numFmtId="41" fontId="49" fillId="0" borderId="588" xfId="97" applyNumberFormat="1" applyFont="1" applyFill="1" applyBorder="1" applyAlignment="1" applyProtection="1">
      <alignment horizontal="center" vertical="center"/>
      <protection locked="0"/>
    </xf>
    <xf numFmtId="41" fontId="49" fillId="0" borderId="118" xfId="1" applyFont="1" applyFill="1" applyBorder="1" applyAlignment="1">
      <alignment horizontal="right" vertical="center"/>
    </xf>
    <xf numFmtId="41" fontId="49" fillId="0" borderId="61" xfId="97" applyNumberFormat="1" applyFont="1" applyFill="1" applyBorder="1" applyAlignment="1">
      <alignment horizontal="center" vertical="center"/>
    </xf>
    <xf numFmtId="41" fontId="50" fillId="0" borderId="598" xfId="97" applyNumberFormat="1" applyFont="1" applyFill="1" applyBorder="1" applyAlignment="1">
      <alignment horizontal="right" vertical="center"/>
    </xf>
    <xf numFmtId="41" fontId="50" fillId="0" borderId="597" xfId="97" applyNumberFormat="1" applyFont="1" applyFill="1" applyBorder="1" applyAlignment="1">
      <alignment horizontal="right" vertical="center"/>
    </xf>
    <xf numFmtId="43" fontId="49" fillId="0" borderId="0" xfId="354" applyFont="1" applyFill="1" applyAlignment="1" applyProtection="1">
      <alignment vertical="center"/>
      <protection locked="0"/>
    </xf>
    <xf numFmtId="41" fontId="49" fillId="0" borderId="384" xfId="94" applyNumberFormat="1" applyFont="1" applyFill="1" applyBorder="1" applyAlignment="1">
      <alignment horizontal="center" vertical="center"/>
    </xf>
    <xf numFmtId="41" fontId="49" fillId="0" borderId="386" xfId="97" applyNumberFormat="1" applyFont="1" applyFill="1" applyBorder="1" applyAlignment="1">
      <alignment horizontal="right" vertical="center"/>
    </xf>
    <xf numFmtId="41" fontId="57" fillId="0" borderId="605" xfId="97" applyNumberFormat="1" applyFont="1" applyFill="1" applyBorder="1" applyAlignment="1">
      <alignment horizontal="center" vertical="center"/>
    </xf>
    <xf numFmtId="0" fontId="141" fillId="66" borderId="0" xfId="328" applyFont="1" applyFill="1">
      <alignment vertical="center"/>
    </xf>
    <xf numFmtId="0" fontId="137" fillId="66" borderId="0" xfId="328" applyFont="1" applyFill="1">
      <alignment vertical="center"/>
    </xf>
    <xf numFmtId="197" fontId="137" fillId="66" borderId="0" xfId="328" applyNumberFormat="1" applyFont="1" applyFill="1">
      <alignment vertical="center"/>
    </xf>
    <xf numFmtId="197" fontId="137" fillId="66" borderId="0" xfId="210" applyNumberFormat="1" applyFont="1" applyFill="1">
      <alignment vertical="center"/>
    </xf>
    <xf numFmtId="0" fontId="91" fillId="60" borderId="606" xfId="328" applyFill="1" applyBorder="1" applyAlignment="1">
      <alignment horizontal="left" vertical="center"/>
    </xf>
    <xf numFmtId="0" fontId="91" fillId="60" borderId="607" xfId="328" applyFill="1" applyBorder="1" applyAlignment="1">
      <alignment horizontal="center" vertical="center"/>
    </xf>
    <xf numFmtId="186" fontId="91" fillId="60" borderId="608" xfId="210" applyNumberFormat="1" applyFont="1" applyFill="1" applyBorder="1" applyAlignment="1">
      <alignment horizontal="center" vertical="center"/>
    </xf>
    <xf numFmtId="0" fontId="91" fillId="60" borderId="308" xfId="328" applyFill="1" applyBorder="1">
      <alignment vertical="center"/>
    </xf>
    <xf numFmtId="0" fontId="91" fillId="60" borderId="0" xfId="328" applyFill="1" applyBorder="1">
      <alignment vertical="center"/>
    </xf>
    <xf numFmtId="186" fontId="91" fillId="60" borderId="313" xfId="210" applyNumberFormat="1" applyFont="1" applyFill="1" applyBorder="1">
      <alignment vertical="center"/>
    </xf>
    <xf numFmtId="41" fontId="91" fillId="0" borderId="0" xfId="328" applyNumberFormat="1">
      <alignment vertical="center"/>
    </xf>
    <xf numFmtId="197" fontId="91" fillId="66" borderId="0" xfId="328" applyNumberFormat="1" applyFill="1">
      <alignment vertical="center"/>
    </xf>
    <xf numFmtId="0" fontId="96" fillId="0" borderId="610" xfId="328" applyFont="1" applyFill="1" applyBorder="1" applyAlignment="1">
      <alignment horizontal="center" vertical="center"/>
    </xf>
    <xf numFmtId="0" fontId="96" fillId="0" borderId="611" xfId="328" applyFont="1" applyFill="1" applyBorder="1" applyAlignment="1">
      <alignment horizontal="center" vertical="center"/>
    </xf>
    <xf numFmtId="41" fontId="96" fillId="0" borderId="612" xfId="210" applyFont="1" applyFill="1" applyBorder="1" applyAlignment="1">
      <alignment horizontal="center" vertical="center"/>
    </xf>
    <xf numFmtId="41" fontId="96" fillId="0" borderId="613" xfId="210" applyFont="1" applyFill="1" applyBorder="1" applyAlignment="1">
      <alignment horizontal="center" vertical="center"/>
    </xf>
    <xf numFmtId="41" fontId="96" fillId="0" borderId="614" xfId="210" applyFont="1" applyFill="1" applyBorder="1" applyAlignment="1">
      <alignment horizontal="center" vertical="center"/>
    </xf>
    <xf numFmtId="41" fontId="91" fillId="60" borderId="313" xfId="210" applyFont="1" applyFill="1" applyBorder="1">
      <alignment vertical="center"/>
    </xf>
    <xf numFmtId="0" fontId="96" fillId="0" borderId="615" xfId="328" applyFont="1" applyFill="1" applyBorder="1" applyAlignment="1">
      <alignment horizontal="center" vertical="center"/>
    </xf>
    <xf numFmtId="191" fontId="96" fillId="0" borderId="616" xfId="328" applyNumberFormat="1" applyFont="1" applyFill="1" applyBorder="1" applyAlignment="1">
      <alignment horizontal="center" vertical="center"/>
    </xf>
    <xf numFmtId="0" fontId="96" fillId="0" borderId="617" xfId="328" applyFont="1" applyFill="1" applyBorder="1" applyAlignment="1">
      <alignment horizontal="center" vertical="center"/>
    </xf>
    <xf numFmtId="41" fontId="96" fillId="0" borderId="618" xfId="210" applyFont="1" applyFill="1" applyBorder="1" applyAlignment="1">
      <alignment horizontal="center" vertical="center"/>
    </xf>
    <xf numFmtId="41" fontId="96" fillId="0" borderId="600" xfId="210" applyFont="1" applyFill="1" applyBorder="1" applyAlignment="1">
      <alignment horizontal="center" vertical="center"/>
    </xf>
    <xf numFmtId="10" fontId="96" fillId="0" borderId="600" xfId="210" applyNumberFormat="1" applyFont="1" applyFill="1" applyBorder="1" applyAlignment="1">
      <alignment horizontal="center" vertical="center"/>
    </xf>
    <xf numFmtId="41" fontId="137" fillId="67" borderId="619" xfId="328" applyNumberFormat="1" applyFont="1" applyFill="1" applyBorder="1">
      <alignment vertical="center"/>
    </xf>
    <xf numFmtId="0" fontId="96" fillId="0" borderId="620" xfId="328" applyFont="1" applyFill="1" applyBorder="1" applyAlignment="1">
      <alignment horizontal="center" vertical="center"/>
    </xf>
    <xf numFmtId="191" fontId="96" fillId="0" borderId="621" xfId="328" applyNumberFormat="1" applyFont="1" applyFill="1" applyBorder="1" applyAlignment="1">
      <alignment horizontal="center" vertical="center"/>
    </xf>
    <xf numFmtId="0" fontId="96" fillId="0" borderId="601" xfId="328" applyFont="1" applyFill="1" applyBorder="1" applyAlignment="1">
      <alignment horizontal="center" vertical="center"/>
    </xf>
    <xf numFmtId="41" fontId="96" fillId="0" borderId="622" xfId="210" applyFont="1" applyFill="1" applyBorder="1" applyAlignment="1">
      <alignment horizontal="center" vertical="center"/>
    </xf>
    <xf numFmtId="41" fontId="96" fillId="0" borderId="602" xfId="210" applyFont="1" applyFill="1" applyBorder="1" applyAlignment="1">
      <alignment horizontal="center" vertical="center"/>
    </xf>
    <xf numFmtId="10" fontId="96" fillId="0" borderId="602" xfId="210" applyNumberFormat="1" applyFont="1" applyFill="1" applyBorder="1" applyAlignment="1">
      <alignment horizontal="center" vertical="center"/>
    </xf>
    <xf numFmtId="41" fontId="96" fillId="0" borderId="604" xfId="210" applyFont="1" applyFill="1" applyBorder="1" applyAlignment="1">
      <alignment horizontal="center" vertical="center"/>
    </xf>
    <xf numFmtId="41" fontId="91" fillId="60" borderId="313" xfId="328" applyNumberFormat="1" applyFill="1" applyBorder="1">
      <alignment vertical="center"/>
    </xf>
    <xf numFmtId="41" fontId="137" fillId="68" borderId="619" xfId="328" applyNumberFormat="1" applyFont="1" applyFill="1" applyBorder="1">
      <alignment vertical="center"/>
    </xf>
    <xf numFmtId="0" fontId="91" fillId="60" borderId="623" xfId="328" applyFill="1" applyBorder="1">
      <alignment vertical="center"/>
    </xf>
    <xf numFmtId="0" fontId="91" fillId="60" borderId="624" xfId="328" applyFill="1" applyBorder="1">
      <alignment vertical="center"/>
    </xf>
    <xf numFmtId="41" fontId="91" fillId="60" borderId="625" xfId="328" applyNumberFormat="1" applyFill="1" applyBorder="1">
      <alignment vertical="center"/>
    </xf>
    <xf numFmtId="0" fontId="96" fillId="0" borderId="626" xfId="328" applyFont="1" applyFill="1" applyBorder="1" applyAlignment="1">
      <alignment horizontal="center" vertical="center"/>
    </xf>
    <xf numFmtId="191" fontId="96" fillId="0" borderId="627" xfId="328" applyNumberFormat="1" applyFont="1" applyFill="1" applyBorder="1" applyAlignment="1">
      <alignment horizontal="center" vertical="center"/>
    </xf>
    <xf numFmtId="0" fontId="96" fillId="0" borderId="628" xfId="328" applyFont="1" applyFill="1" applyBorder="1" applyAlignment="1">
      <alignment horizontal="center" vertical="center"/>
    </xf>
    <xf numFmtId="10" fontId="96" fillId="0" borderId="613" xfId="210" applyNumberFormat="1" applyFont="1" applyFill="1" applyBorder="1" applyAlignment="1">
      <alignment horizontal="center" vertical="center"/>
    </xf>
    <xf numFmtId="41" fontId="137" fillId="62" borderId="619" xfId="328" applyNumberFormat="1" applyFont="1" applyFill="1" applyBorder="1">
      <alignment vertical="center"/>
    </xf>
    <xf numFmtId="0" fontId="96" fillId="0" borderId="462" xfId="328" applyFont="1" applyFill="1" applyBorder="1" applyAlignment="1">
      <alignment horizontal="center" vertical="center"/>
    </xf>
    <xf numFmtId="191" fontId="96" fillId="0" borderId="629" xfId="328" applyNumberFormat="1" applyFont="1" applyFill="1" applyBorder="1" applyAlignment="1">
      <alignment horizontal="center" vertical="center"/>
    </xf>
    <xf numFmtId="0" fontId="96" fillId="0" borderId="630" xfId="328" applyFont="1" applyFill="1" applyBorder="1" applyAlignment="1">
      <alignment horizontal="center" vertical="center"/>
    </xf>
    <xf numFmtId="41" fontId="96" fillId="0" borderId="631" xfId="210" applyFont="1" applyFill="1" applyBorder="1" applyAlignment="1">
      <alignment horizontal="center" vertical="center"/>
    </xf>
    <xf numFmtId="0" fontId="96" fillId="26" borderId="462" xfId="328" applyFont="1" applyFill="1" applyBorder="1" applyAlignment="1">
      <alignment horizontal="center" vertical="center"/>
    </xf>
    <xf numFmtId="191" fontId="96" fillId="26" borderId="629" xfId="328" applyNumberFormat="1" applyFont="1" applyFill="1" applyBorder="1" applyAlignment="1">
      <alignment horizontal="center" vertical="center"/>
    </xf>
    <xf numFmtId="0" fontId="96" fillId="26" borderId="630" xfId="328" applyFont="1" applyFill="1" applyBorder="1" applyAlignment="1">
      <alignment horizontal="center" vertical="center"/>
    </xf>
    <xf numFmtId="41" fontId="96" fillId="26" borderId="631" xfId="210" applyFont="1" applyFill="1" applyBorder="1" applyAlignment="1">
      <alignment horizontal="center" vertical="center"/>
    </xf>
    <xf numFmtId="41" fontId="61" fillId="26" borderId="0" xfId="328" applyNumberFormat="1" applyFont="1" applyFill="1">
      <alignment vertical="center"/>
    </xf>
    <xf numFmtId="10" fontId="142" fillId="0" borderId="0" xfId="211" applyNumberFormat="1" applyFont="1" applyAlignment="1">
      <alignment horizontal="center" vertical="center"/>
    </xf>
    <xf numFmtId="0" fontId="96" fillId="26" borderId="632" xfId="328" applyFont="1" applyFill="1" applyBorder="1" applyAlignment="1">
      <alignment horizontal="center" vertical="center"/>
    </xf>
    <xf numFmtId="191" fontId="96" fillId="26" borderId="633" xfId="328" applyNumberFormat="1" applyFont="1" applyFill="1" applyBorder="1" applyAlignment="1">
      <alignment horizontal="center" vertical="center"/>
    </xf>
    <xf numFmtId="0" fontId="96" fillId="26" borderId="634" xfId="328" applyFont="1" applyFill="1" applyBorder="1" applyAlignment="1">
      <alignment horizontal="center" vertical="center"/>
    </xf>
    <xf numFmtId="41" fontId="96" fillId="26" borderId="635" xfId="210" applyFont="1" applyFill="1" applyBorder="1" applyAlignment="1">
      <alignment horizontal="center" vertical="center"/>
    </xf>
    <xf numFmtId="41" fontId="96" fillId="26" borderId="636" xfId="210" applyFont="1" applyFill="1" applyBorder="1" applyAlignment="1">
      <alignment horizontal="center" vertical="center"/>
    </xf>
    <xf numFmtId="10" fontId="96" fillId="26" borderId="636" xfId="210" applyNumberFormat="1" applyFont="1" applyFill="1" applyBorder="1" applyAlignment="1">
      <alignment horizontal="center" vertical="center"/>
    </xf>
    <xf numFmtId="41" fontId="96" fillId="26" borderId="637" xfId="210" applyFont="1" applyFill="1" applyBorder="1" applyAlignment="1">
      <alignment horizontal="center" vertical="center"/>
    </xf>
    <xf numFmtId="41" fontId="91" fillId="0" borderId="0" xfId="210" applyFont="1">
      <alignment vertical="center"/>
    </xf>
    <xf numFmtId="0" fontId="96" fillId="0" borderId="638" xfId="328" applyFont="1" applyFill="1" applyBorder="1" applyAlignment="1">
      <alignment horizontal="center" vertical="center"/>
    </xf>
    <xf numFmtId="41" fontId="137" fillId="0" borderId="619" xfId="328" applyNumberFormat="1" applyFont="1" applyBorder="1">
      <alignment vertical="center"/>
    </xf>
    <xf numFmtId="14" fontId="96" fillId="0" borderId="621" xfId="328" applyNumberFormat="1" applyFont="1" applyFill="1" applyBorder="1" applyAlignment="1">
      <alignment horizontal="center" vertical="center"/>
    </xf>
    <xf numFmtId="10" fontId="96" fillId="0" borderId="602" xfId="336" applyNumberFormat="1" applyFont="1" applyFill="1" applyBorder="1" applyAlignment="1">
      <alignment horizontal="center" vertical="center"/>
    </xf>
    <xf numFmtId="0" fontId="96" fillId="0" borderId="632" xfId="328" applyFont="1" applyFill="1" applyBorder="1" applyAlignment="1">
      <alignment horizontal="center" vertical="center"/>
    </xf>
    <xf numFmtId="14" fontId="96" fillId="0" borderId="633" xfId="328" applyNumberFormat="1" applyFont="1" applyFill="1" applyBorder="1" applyAlignment="1">
      <alignment horizontal="center" vertical="center"/>
    </xf>
    <xf numFmtId="0" fontId="96" fillId="0" borderId="634" xfId="328" applyFont="1" applyFill="1" applyBorder="1" applyAlignment="1">
      <alignment horizontal="center" vertical="center"/>
    </xf>
    <xf numFmtId="41" fontId="96" fillId="0" borderId="635" xfId="210" applyFont="1" applyFill="1" applyBorder="1" applyAlignment="1">
      <alignment horizontal="center" vertical="center"/>
    </xf>
    <xf numFmtId="41" fontId="96" fillId="0" borderId="636" xfId="210" applyFont="1" applyFill="1" applyBorder="1" applyAlignment="1">
      <alignment horizontal="center" vertical="center"/>
    </xf>
    <xf numFmtId="10" fontId="96" fillId="0" borderId="636" xfId="336" applyNumberFormat="1" applyFont="1" applyFill="1" applyBorder="1" applyAlignment="1">
      <alignment horizontal="center" vertical="center"/>
    </xf>
    <xf numFmtId="41" fontId="96" fillId="0" borderId="637" xfId="210" applyFont="1" applyFill="1" applyBorder="1" applyAlignment="1">
      <alignment horizontal="center" vertical="center"/>
    </xf>
    <xf numFmtId="14" fontId="96" fillId="0" borderId="616" xfId="328" applyNumberFormat="1" applyFont="1" applyFill="1" applyBorder="1" applyAlignment="1">
      <alignment horizontal="center" vertical="center"/>
    </xf>
    <xf numFmtId="0" fontId="96" fillId="0" borderId="639" xfId="328" applyFont="1" applyFill="1" applyBorder="1" applyAlignment="1">
      <alignment horizontal="center" vertical="center"/>
    </xf>
    <xf numFmtId="14" fontId="96" fillId="0" borderId="640" xfId="328" applyNumberFormat="1" applyFont="1" applyFill="1" applyBorder="1" applyAlignment="1">
      <alignment horizontal="center" vertical="center"/>
    </xf>
    <xf numFmtId="0" fontId="96" fillId="0" borderId="641" xfId="328" applyFont="1" applyFill="1" applyBorder="1" applyAlignment="1">
      <alignment horizontal="center" vertical="center"/>
    </xf>
    <xf numFmtId="41" fontId="96" fillId="0" borderId="642" xfId="210" applyFont="1" applyFill="1" applyBorder="1" applyAlignment="1">
      <alignment horizontal="center" vertical="center"/>
    </xf>
    <xf numFmtId="41" fontId="96" fillId="0" borderId="643" xfId="210" applyFont="1" applyFill="1" applyBorder="1" applyAlignment="1">
      <alignment horizontal="center" vertical="center"/>
    </xf>
    <xf numFmtId="10" fontId="96" fillId="0" borderId="643" xfId="210" applyNumberFormat="1" applyFont="1" applyFill="1" applyBorder="1" applyAlignment="1">
      <alignment horizontal="center" vertical="center"/>
    </xf>
    <xf numFmtId="41" fontId="96" fillId="0" borderId="644" xfId="210" applyFont="1" applyFill="1" applyBorder="1" applyAlignment="1">
      <alignment horizontal="center" vertical="center"/>
    </xf>
    <xf numFmtId="0" fontId="96" fillId="0" borderId="0" xfId="328" applyFont="1" applyFill="1" applyBorder="1" applyAlignment="1">
      <alignment horizontal="center" vertical="center"/>
    </xf>
    <xf numFmtId="14" fontId="96" fillId="0" borderId="0" xfId="328" applyNumberFormat="1" applyFont="1" applyFill="1" applyBorder="1" applyAlignment="1">
      <alignment horizontal="center" vertical="center"/>
    </xf>
    <xf numFmtId="41" fontId="96" fillId="0" borderId="0" xfId="210" applyFont="1" applyFill="1" applyBorder="1" applyAlignment="1">
      <alignment horizontal="center" vertical="center"/>
    </xf>
    <xf numFmtId="10" fontId="96" fillId="0" borderId="0" xfId="210" applyNumberFormat="1" applyFont="1" applyFill="1" applyBorder="1" applyAlignment="1">
      <alignment horizontal="center" vertical="center"/>
    </xf>
    <xf numFmtId="10" fontId="66" fillId="0" borderId="0" xfId="328" applyNumberFormat="1" applyFont="1" applyAlignment="1">
      <alignment horizontal="center" vertical="center"/>
    </xf>
    <xf numFmtId="0" fontId="66" fillId="0" borderId="0" xfId="328" applyFont="1">
      <alignment vertical="center"/>
    </xf>
    <xf numFmtId="189" fontId="66" fillId="0" borderId="0" xfId="211" applyNumberFormat="1" applyFont="1" applyAlignment="1">
      <alignment horizontal="center" vertical="center"/>
    </xf>
    <xf numFmtId="0" fontId="91" fillId="66" borderId="0" xfId="328" applyFill="1">
      <alignment vertical="center"/>
    </xf>
    <xf numFmtId="0" fontId="91" fillId="66" borderId="645" xfId="328" applyFill="1" applyBorder="1">
      <alignment vertical="center"/>
    </xf>
    <xf numFmtId="41" fontId="60" fillId="69" borderId="645" xfId="210" applyFont="1" applyFill="1" applyBorder="1" applyAlignment="1">
      <alignment horizontal="center" vertical="center"/>
    </xf>
    <xf numFmtId="0" fontId="60" fillId="69" borderId="645" xfId="328" applyFont="1" applyFill="1" applyBorder="1" applyAlignment="1">
      <alignment horizontal="center" vertical="center"/>
    </xf>
    <xf numFmtId="197" fontId="91" fillId="0" borderId="0" xfId="328" applyNumberFormat="1">
      <alignment vertical="center"/>
    </xf>
    <xf numFmtId="191" fontId="96" fillId="26" borderId="645" xfId="328" applyNumberFormat="1" applyFont="1" applyFill="1" applyBorder="1" applyAlignment="1">
      <alignment horizontal="center" vertical="center"/>
    </xf>
    <xf numFmtId="41" fontId="96" fillId="66" borderId="645" xfId="210" applyFont="1" applyFill="1" applyBorder="1" applyAlignment="1">
      <alignment horizontal="center" vertical="center"/>
    </xf>
    <xf numFmtId="197" fontId="91" fillId="66" borderId="645" xfId="328" applyNumberFormat="1" applyFill="1" applyBorder="1">
      <alignment vertical="center"/>
    </xf>
    <xf numFmtId="41" fontId="96" fillId="26" borderId="645" xfId="210" applyFont="1" applyFill="1" applyBorder="1" applyAlignment="1">
      <alignment horizontal="center" vertical="center"/>
    </xf>
    <xf numFmtId="0" fontId="91" fillId="0" borderId="0" xfId="328" applyFill="1">
      <alignment vertical="center"/>
    </xf>
    <xf numFmtId="43" fontId="96" fillId="26" borderId="645" xfId="210" applyNumberFormat="1" applyFont="1" applyFill="1" applyBorder="1" applyAlignment="1">
      <alignment horizontal="center" vertical="center"/>
    </xf>
    <xf numFmtId="41" fontId="91" fillId="0" borderId="0" xfId="328" applyNumberFormat="1" applyFill="1">
      <alignment vertical="center"/>
    </xf>
    <xf numFmtId="191" fontId="96" fillId="0" borderId="645" xfId="328" applyNumberFormat="1" applyFont="1" applyFill="1" applyBorder="1" applyAlignment="1">
      <alignment horizontal="center" vertical="center"/>
    </xf>
    <xf numFmtId="41" fontId="96" fillId="0" borderId="645" xfId="210" applyFont="1" applyFill="1" applyBorder="1" applyAlignment="1">
      <alignment horizontal="center" vertical="center"/>
    </xf>
    <xf numFmtId="43" fontId="96" fillId="0" borderId="645" xfId="210" applyNumberFormat="1" applyFont="1" applyFill="1" applyBorder="1" applyAlignment="1">
      <alignment horizontal="center" vertical="center"/>
    </xf>
    <xf numFmtId="43" fontId="91" fillId="0" borderId="0" xfId="328" applyNumberFormat="1">
      <alignment vertical="center"/>
    </xf>
    <xf numFmtId="0" fontId="91" fillId="66" borderId="0" xfId="328" applyFill="1" applyBorder="1">
      <alignment vertical="center"/>
    </xf>
    <xf numFmtId="14" fontId="96" fillId="0" borderId="645" xfId="328" applyNumberFormat="1" applyFont="1" applyFill="1" applyBorder="1" applyAlignment="1">
      <alignment horizontal="center" vertical="center"/>
    </xf>
    <xf numFmtId="191" fontId="96" fillId="64" borderId="645" xfId="328" applyNumberFormat="1" applyFont="1" applyFill="1" applyBorder="1" applyAlignment="1">
      <alignment horizontal="center" vertical="center"/>
    </xf>
    <xf numFmtId="41" fontId="96" fillId="64" borderId="645" xfId="210" applyFont="1" applyFill="1" applyBorder="1" applyAlignment="1">
      <alignment horizontal="center" vertical="center"/>
    </xf>
    <xf numFmtId="43" fontId="96" fillId="64" borderId="645" xfId="210" applyNumberFormat="1" applyFont="1" applyFill="1" applyBorder="1" applyAlignment="1">
      <alignment horizontal="center" vertical="center"/>
    </xf>
    <xf numFmtId="41" fontId="49" fillId="0" borderId="650" xfId="97" applyNumberFormat="1" applyFont="1" applyFill="1" applyBorder="1" applyAlignment="1" applyProtection="1">
      <alignment horizontal="center" vertical="center"/>
      <protection locked="0"/>
    </xf>
    <xf numFmtId="41" fontId="49" fillId="0" borderId="649" xfId="97" applyNumberFormat="1" applyFont="1" applyFill="1" applyBorder="1" applyAlignment="1" applyProtection="1">
      <alignment horizontal="center" vertical="center"/>
      <protection locked="0"/>
    </xf>
    <xf numFmtId="41" fontId="49" fillId="0" borderId="599" xfId="97" applyNumberFormat="1" applyFont="1" applyFill="1" applyBorder="1" applyAlignment="1" applyProtection="1">
      <alignment horizontal="center" vertical="center"/>
      <protection locked="0"/>
    </xf>
    <xf numFmtId="41" fontId="50" fillId="0" borderId="647" xfId="97" applyNumberFormat="1" applyFont="1" applyFill="1" applyBorder="1" applyAlignment="1" applyProtection="1">
      <alignment horizontal="center" vertical="center"/>
      <protection locked="0"/>
    </xf>
    <xf numFmtId="41" fontId="49" fillId="0" borderId="655" xfId="97" applyNumberFormat="1" applyFont="1" applyFill="1" applyBorder="1" applyAlignment="1" applyProtection="1">
      <alignment horizontal="center" vertical="center"/>
      <protection locked="0"/>
    </xf>
    <xf numFmtId="41" fontId="50" fillId="0" borderId="652" xfId="97" applyNumberFormat="1" applyFont="1" applyFill="1" applyBorder="1" applyAlignment="1" applyProtection="1">
      <alignment horizontal="center" vertical="center"/>
      <protection locked="0"/>
    </xf>
    <xf numFmtId="41" fontId="49" fillId="0" borderId="651" xfId="97" applyNumberFormat="1" applyFont="1" applyFill="1" applyBorder="1" applyAlignment="1" applyProtection="1">
      <alignment horizontal="center" vertical="center"/>
      <protection locked="0"/>
    </xf>
    <xf numFmtId="194" fontId="49" fillId="0" borderId="658" xfId="3" applyNumberFormat="1" applyFont="1" applyFill="1" applyBorder="1" applyAlignment="1">
      <alignment horizontal="center" vertical="center"/>
    </xf>
    <xf numFmtId="41" fontId="49" fillId="0" borderId="659" xfId="3" applyNumberFormat="1" applyFont="1" applyFill="1" applyBorder="1" applyAlignment="1">
      <alignment horizontal="center" vertical="center"/>
    </xf>
    <xf numFmtId="41" fontId="49" fillId="0" borderId="659" xfId="3" applyNumberFormat="1" applyFont="1" applyFill="1" applyBorder="1" applyAlignment="1">
      <alignment vertical="center"/>
    </xf>
    <xf numFmtId="41" fontId="49" fillId="0" borderId="660" xfId="1" applyFont="1" applyFill="1" applyBorder="1" applyAlignment="1">
      <alignment vertical="center"/>
    </xf>
    <xf numFmtId="41" fontId="49" fillId="0" borderId="661" xfId="3" applyNumberFormat="1" applyFont="1" applyFill="1" applyBorder="1" applyAlignment="1">
      <alignment horizontal="center" vertical="center"/>
    </xf>
    <xf numFmtId="41" fontId="49" fillId="0" borderId="662" xfId="3" applyNumberFormat="1" applyFont="1" applyFill="1" applyBorder="1" applyAlignment="1">
      <alignment horizontal="left" vertical="center"/>
    </xf>
    <xf numFmtId="41" fontId="49" fillId="0" borderId="648" xfId="97" applyNumberFormat="1" applyFont="1" applyFill="1" applyBorder="1" applyAlignment="1" applyProtection="1">
      <alignment horizontal="center" vertical="center"/>
      <protection locked="0"/>
    </xf>
    <xf numFmtId="41" fontId="49" fillId="0" borderId="663" xfId="97" applyNumberFormat="1" applyFont="1" applyFill="1" applyBorder="1" applyAlignment="1" applyProtection="1">
      <alignment horizontal="center" vertical="center"/>
      <protection locked="0"/>
    </xf>
    <xf numFmtId="41" fontId="49" fillId="0" borderId="664" xfId="97" applyNumberFormat="1" applyFont="1" applyFill="1" applyBorder="1" applyAlignment="1" applyProtection="1">
      <alignment horizontal="center" vertical="center"/>
      <protection locked="0"/>
    </xf>
    <xf numFmtId="41" fontId="49" fillId="0" borderId="656" xfId="97" applyNumberFormat="1" applyFont="1" applyFill="1" applyBorder="1" applyAlignment="1" applyProtection="1">
      <alignment horizontal="center" vertical="center"/>
      <protection locked="0"/>
    </xf>
    <xf numFmtId="41" fontId="50" fillId="0" borderId="653" xfId="97" applyNumberFormat="1" applyFont="1" applyFill="1" applyBorder="1" applyAlignment="1" applyProtection="1">
      <alignment horizontal="center" vertical="center"/>
      <protection locked="0"/>
    </xf>
    <xf numFmtId="41" fontId="49" fillId="0" borderId="654" xfId="97" applyNumberFormat="1" applyFont="1" applyFill="1" applyBorder="1" applyAlignment="1" applyProtection="1">
      <alignment horizontal="center" vertical="center"/>
      <protection locked="0"/>
    </xf>
    <xf numFmtId="41" fontId="49" fillId="0" borderId="665" xfId="3" applyNumberFormat="1" applyFont="1" applyFill="1" applyBorder="1" applyAlignment="1">
      <alignment horizontal="left" vertical="center"/>
    </xf>
    <xf numFmtId="41" fontId="49" fillId="0" borderId="666" xfId="94" applyNumberFormat="1" applyFont="1" applyFill="1" applyBorder="1" applyAlignment="1">
      <alignment horizontal="center" vertical="center"/>
    </xf>
    <xf numFmtId="41" fontId="49" fillId="0" borderId="579" xfId="94" applyNumberFormat="1" applyFont="1" applyFill="1" applyBorder="1" applyAlignment="1">
      <alignment horizontal="center" vertical="center"/>
    </xf>
    <xf numFmtId="194" fontId="49" fillId="0" borderId="579" xfId="97" applyNumberFormat="1" applyFont="1" applyFill="1" applyBorder="1" applyAlignment="1">
      <alignment horizontal="center" vertical="center"/>
    </xf>
    <xf numFmtId="41" fontId="49" fillId="0" borderId="580" xfId="97" applyNumberFormat="1" applyFont="1" applyFill="1" applyBorder="1" applyAlignment="1">
      <alignment vertical="center"/>
    </xf>
    <xf numFmtId="187" fontId="49" fillId="0" borderId="580" xfId="97" applyNumberFormat="1" applyFont="1" applyFill="1" applyBorder="1" applyAlignment="1">
      <alignment vertical="center"/>
    </xf>
    <xf numFmtId="41" fontId="49" fillId="0" borderId="667" xfId="97" applyNumberFormat="1" applyFont="1" applyFill="1" applyBorder="1" applyAlignment="1">
      <alignment vertical="center"/>
    </xf>
    <xf numFmtId="41" fontId="50" fillId="59" borderId="608" xfId="97" applyNumberFormat="1" applyFont="1" applyFill="1" applyBorder="1" applyAlignment="1" applyProtection="1">
      <alignment horizontal="center" vertical="center"/>
      <protection locked="0"/>
    </xf>
    <xf numFmtId="41" fontId="50" fillId="59" borderId="668" xfId="97" applyNumberFormat="1" applyFont="1" applyFill="1" applyBorder="1" applyAlignment="1" applyProtection="1">
      <alignment horizontal="center" vertical="center"/>
      <protection locked="0"/>
    </xf>
    <xf numFmtId="41" fontId="50" fillId="59" borderId="669" xfId="97" applyNumberFormat="1" applyFont="1" applyFill="1" applyBorder="1" applyAlignment="1" applyProtection="1">
      <alignment horizontal="center" vertical="center"/>
      <protection locked="0"/>
    </xf>
    <xf numFmtId="41" fontId="50" fillId="59" borderId="670" xfId="97" applyNumberFormat="1" applyFont="1" applyFill="1" applyBorder="1" applyAlignment="1" applyProtection="1">
      <alignment horizontal="center" vertical="center"/>
      <protection locked="0"/>
    </xf>
    <xf numFmtId="41" fontId="50" fillId="59" borderId="671" xfId="97" applyNumberFormat="1" applyFont="1" applyFill="1" applyBorder="1" applyAlignment="1" applyProtection="1">
      <alignment horizontal="center" vertical="center"/>
      <protection locked="0"/>
    </xf>
    <xf numFmtId="41" fontId="50" fillId="0" borderId="630" xfId="97" applyNumberFormat="1" applyFont="1" applyFill="1" applyBorder="1" applyAlignment="1" applyProtection="1">
      <alignment horizontal="center" vertical="center"/>
      <protection locked="0"/>
    </xf>
    <xf numFmtId="41" fontId="49" fillId="0" borderId="672" xfId="97" applyNumberFormat="1" applyFont="1" applyFill="1" applyBorder="1" applyAlignment="1" applyProtection="1">
      <alignment horizontal="center" vertical="center"/>
      <protection locked="0"/>
    </xf>
    <xf numFmtId="41" fontId="49" fillId="0" borderId="673" xfId="97" applyNumberFormat="1" applyFont="1" applyFill="1" applyBorder="1" applyAlignment="1" applyProtection="1">
      <alignment horizontal="center" vertical="center"/>
      <protection locked="0"/>
    </xf>
    <xf numFmtId="41" fontId="49" fillId="0" borderId="674" xfId="97" applyNumberFormat="1" applyFont="1" applyFill="1" applyBorder="1" applyAlignment="1" applyProtection="1">
      <alignment horizontal="center" vertical="center"/>
      <protection locked="0"/>
    </xf>
    <xf numFmtId="41" fontId="50" fillId="0" borderId="675" xfId="97" applyNumberFormat="1" applyFont="1" applyFill="1" applyBorder="1" applyAlignment="1" applyProtection="1">
      <alignment horizontal="center" vertical="center"/>
      <protection locked="0"/>
    </xf>
    <xf numFmtId="41" fontId="49" fillId="0" borderId="669" xfId="97" applyNumberFormat="1" applyFont="1" applyFill="1" applyBorder="1" applyAlignment="1" applyProtection="1">
      <alignment horizontal="center" vertical="center"/>
      <protection locked="0"/>
    </xf>
    <xf numFmtId="41" fontId="49" fillId="0" borderId="670" xfId="97" applyNumberFormat="1" applyFont="1" applyFill="1" applyBorder="1" applyAlignment="1" applyProtection="1">
      <alignment horizontal="center" vertical="center"/>
      <protection locked="0"/>
    </xf>
    <xf numFmtId="41" fontId="49" fillId="0" borderId="676" xfId="97" applyNumberFormat="1" applyFont="1" applyFill="1" applyBorder="1" applyAlignment="1" applyProtection="1">
      <alignment horizontal="center" vertical="center"/>
      <protection locked="0"/>
    </xf>
    <xf numFmtId="41" fontId="50" fillId="61" borderId="652" xfId="97" applyNumberFormat="1" applyFont="1" applyFill="1" applyBorder="1" applyAlignment="1" applyProtection="1">
      <alignment horizontal="center" vertical="center"/>
      <protection locked="0"/>
    </xf>
    <xf numFmtId="41" fontId="49" fillId="0" borderId="677" xfId="97" applyNumberFormat="1" applyFont="1" applyFill="1" applyBorder="1" applyAlignment="1" applyProtection="1">
      <alignment horizontal="center" vertical="center"/>
      <protection locked="0"/>
    </xf>
    <xf numFmtId="41" fontId="49" fillId="0" borderId="678" xfId="97" applyNumberFormat="1" applyFont="1" applyFill="1" applyBorder="1" applyAlignment="1" applyProtection="1">
      <alignment horizontal="center" vertical="center"/>
      <protection locked="0"/>
    </xf>
    <xf numFmtId="41" fontId="49" fillId="0" borderId="679" xfId="97" applyNumberFormat="1" applyFont="1" applyFill="1" applyBorder="1" applyAlignment="1" applyProtection="1">
      <alignment horizontal="center" vertical="center"/>
      <protection locked="0"/>
    </xf>
    <xf numFmtId="41" fontId="50" fillId="60" borderId="672" xfId="97" applyNumberFormat="1" applyFont="1" applyFill="1" applyBorder="1" applyAlignment="1" applyProtection="1">
      <alignment horizontal="center" vertical="center"/>
      <protection locked="0"/>
    </xf>
    <xf numFmtId="41" fontId="50" fillId="60" borderId="649" xfId="97" applyNumberFormat="1" applyFont="1" applyFill="1" applyBorder="1" applyAlignment="1" applyProtection="1">
      <alignment horizontal="center" vertical="center"/>
      <protection locked="0"/>
    </xf>
    <xf numFmtId="41" fontId="50" fillId="60" borderId="648" xfId="97" applyNumberFormat="1" applyFont="1" applyFill="1" applyBorder="1" applyAlignment="1" applyProtection="1">
      <alignment horizontal="center" vertical="center"/>
      <protection locked="0"/>
    </xf>
    <xf numFmtId="41" fontId="50" fillId="60" borderId="673" xfId="97" applyNumberFormat="1" applyFont="1" applyFill="1" applyBorder="1" applyAlignment="1" applyProtection="1">
      <alignment horizontal="center" vertical="center"/>
      <protection locked="0"/>
    </xf>
    <xf numFmtId="41" fontId="49" fillId="60" borderId="672" xfId="97" applyNumberFormat="1" applyFont="1" applyFill="1" applyBorder="1" applyAlignment="1" applyProtection="1">
      <alignment horizontal="center" vertical="center"/>
      <protection locked="0"/>
    </xf>
    <xf numFmtId="41" fontId="49" fillId="60" borderId="649" xfId="97" applyNumberFormat="1" applyFont="1" applyFill="1" applyBorder="1" applyAlignment="1" applyProtection="1">
      <alignment horizontal="center" vertical="center"/>
      <protection locked="0"/>
    </xf>
    <xf numFmtId="41" fontId="49" fillId="60" borderId="648" xfId="97" applyNumberFormat="1" applyFont="1" applyFill="1" applyBorder="1" applyAlignment="1" applyProtection="1">
      <alignment horizontal="center" vertical="center"/>
      <protection locked="0"/>
    </xf>
    <xf numFmtId="41" fontId="49" fillId="60" borderId="673" xfId="97" applyNumberFormat="1" applyFont="1" applyFill="1" applyBorder="1" applyAlignment="1" applyProtection="1">
      <alignment horizontal="center" vertical="center"/>
      <protection locked="0"/>
    </xf>
    <xf numFmtId="41" fontId="50" fillId="60" borderId="680" xfId="97" applyNumberFormat="1" applyFont="1" applyFill="1" applyBorder="1" applyAlignment="1" applyProtection="1">
      <alignment horizontal="center" vertical="center"/>
      <protection locked="0"/>
    </xf>
    <xf numFmtId="41" fontId="50" fillId="60" borderId="681" xfId="97" applyNumberFormat="1" applyFont="1" applyFill="1" applyBorder="1" applyAlignment="1" applyProtection="1">
      <alignment horizontal="center" vertical="center"/>
      <protection locked="0"/>
    </xf>
    <xf numFmtId="41" fontId="50" fillId="60" borderId="682" xfId="97" applyNumberFormat="1" applyFont="1" applyFill="1" applyBorder="1" applyAlignment="1" applyProtection="1">
      <alignment horizontal="center" vertical="center"/>
      <protection locked="0"/>
    </xf>
    <xf numFmtId="41" fontId="50" fillId="60" borderId="683" xfId="97" applyNumberFormat="1" applyFont="1" applyFill="1" applyBorder="1" applyAlignment="1" applyProtection="1">
      <alignment horizontal="center" vertical="center"/>
      <protection locked="0"/>
    </xf>
    <xf numFmtId="194" fontId="49" fillId="0" borderId="684" xfId="97" applyNumberFormat="1" applyFont="1" applyFill="1" applyBorder="1" applyAlignment="1">
      <alignment horizontal="center" vertical="center"/>
    </xf>
    <xf numFmtId="41" fontId="49" fillId="0" borderId="579" xfId="97" quotePrefix="1" applyNumberFormat="1" applyFont="1" applyFill="1" applyBorder="1" applyAlignment="1">
      <alignment vertical="center"/>
    </xf>
    <xf numFmtId="187" fontId="49" fillId="0" borderId="579" xfId="97" applyNumberFormat="1" applyFont="1" applyFill="1" applyBorder="1" applyAlignment="1">
      <alignment vertical="center"/>
    </xf>
    <xf numFmtId="194" fontId="49" fillId="0" borderId="694" xfId="97" applyNumberFormat="1" applyFont="1" applyFill="1" applyBorder="1" applyAlignment="1">
      <alignment horizontal="center" vertical="center"/>
    </xf>
    <xf numFmtId="41" fontId="49" fillId="0" borderId="695" xfId="97" quotePrefix="1" applyNumberFormat="1" applyFont="1" applyFill="1" applyBorder="1" applyAlignment="1">
      <alignment vertical="center"/>
    </xf>
    <xf numFmtId="187" fontId="49" fillId="0" borderId="695" xfId="97" applyNumberFormat="1" applyFont="1" applyFill="1" applyBorder="1" applyAlignment="1">
      <alignment vertical="center"/>
    </xf>
    <xf numFmtId="41" fontId="49" fillId="0" borderId="696" xfId="97" applyNumberFormat="1" applyFont="1" applyFill="1" applyBorder="1" applyAlignment="1">
      <alignment vertical="center"/>
    </xf>
    <xf numFmtId="41" fontId="49" fillId="0" borderId="698" xfId="97" applyNumberFormat="1" applyFont="1" applyFill="1" applyBorder="1" applyAlignment="1" applyProtection="1">
      <alignment horizontal="center" vertical="center"/>
      <protection locked="0"/>
    </xf>
    <xf numFmtId="41" fontId="49" fillId="0" borderId="697" xfId="97" applyNumberFormat="1" applyFont="1" applyFill="1" applyBorder="1" applyAlignment="1" applyProtection="1">
      <alignment horizontal="center" vertical="center"/>
      <protection locked="0"/>
    </xf>
    <xf numFmtId="41" fontId="49" fillId="0" borderId="657" xfId="97" applyNumberFormat="1" applyFont="1" applyFill="1" applyBorder="1" applyAlignment="1" applyProtection="1">
      <alignment horizontal="center" vertical="center"/>
      <protection locked="0"/>
    </xf>
    <xf numFmtId="41" fontId="49" fillId="0" borderId="699" xfId="97" applyNumberFormat="1" applyFont="1" applyFill="1" applyBorder="1" applyAlignment="1" applyProtection="1">
      <alignment horizontal="center" vertical="center"/>
      <protection locked="0"/>
    </xf>
    <xf numFmtId="41" fontId="49" fillId="0" borderId="701" xfId="97" applyNumberFormat="1" applyFont="1" applyFill="1" applyBorder="1" applyAlignment="1" applyProtection="1">
      <alignment horizontal="center" vertical="center"/>
      <protection locked="0"/>
    </xf>
    <xf numFmtId="41" fontId="49" fillId="0" borderId="702" xfId="97" applyNumberFormat="1" applyFont="1" applyFill="1" applyBorder="1" applyAlignment="1" applyProtection="1">
      <alignment horizontal="center" vertical="center"/>
      <protection locked="0"/>
    </xf>
    <xf numFmtId="41" fontId="49" fillId="0" borderId="704" xfId="97" applyNumberFormat="1" applyFont="1" applyFill="1" applyBorder="1" applyAlignment="1" applyProtection="1">
      <alignment horizontal="center" vertical="center"/>
      <protection locked="0"/>
    </xf>
    <xf numFmtId="41" fontId="49" fillId="61" borderId="697" xfId="97" applyNumberFormat="1" applyFont="1" applyFill="1" applyBorder="1" applyAlignment="1" applyProtection="1">
      <alignment horizontal="center" vertical="center"/>
      <protection locked="0"/>
    </xf>
    <xf numFmtId="41" fontId="49" fillId="0" borderId="705" xfId="97" applyNumberFormat="1" applyFont="1" applyFill="1" applyBorder="1" applyAlignment="1" applyProtection="1">
      <alignment horizontal="center" vertical="center"/>
      <protection locked="0"/>
    </xf>
    <xf numFmtId="41" fontId="49" fillId="61" borderId="704" xfId="97" applyNumberFormat="1" applyFont="1" applyFill="1" applyBorder="1" applyAlignment="1" applyProtection="1">
      <alignment horizontal="center" vertical="center"/>
      <protection locked="0"/>
    </xf>
    <xf numFmtId="41" fontId="49" fillId="61" borderId="702" xfId="97" applyNumberFormat="1" applyFont="1" applyFill="1" applyBorder="1" applyAlignment="1" applyProtection="1">
      <alignment horizontal="center" vertical="center"/>
      <protection locked="0"/>
    </xf>
    <xf numFmtId="41" fontId="49" fillId="0" borderId="703" xfId="97" applyNumberFormat="1" applyFont="1" applyFill="1" applyBorder="1" applyAlignment="1" applyProtection="1">
      <alignment horizontal="center" vertical="center"/>
      <protection locked="0"/>
    </xf>
    <xf numFmtId="41" fontId="49" fillId="0" borderId="700" xfId="97" applyNumberFormat="1" applyFont="1" applyFill="1" applyBorder="1" applyAlignment="1" applyProtection="1">
      <alignment horizontal="center" vertical="center"/>
      <protection locked="0"/>
    </xf>
    <xf numFmtId="14" fontId="52" fillId="0" borderId="0" xfId="110" quotePrefix="1" applyNumberFormat="1" applyFont="1" applyFill="1">
      <alignment vertical="center"/>
    </xf>
    <xf numFmtId="14" fontId="49" fillId="0" borderId="163" xfId="97" applyNumberFormat="1" applyFont="1" applyFill="1" applyBorder="1" applyAlignment="1">
      <alignment horizontal="center" vertical="center"/>
    </xf>
    <xf numFmtId="10" fontId="49" fillId="0" borderId="182" xfId="2" applyNumberFormat="1" applyFont="1" applyFill="1" applyBorder="1" applyAlignment="1">
      <alignment horizontal="center" vertical="center"/>
    </xf>
    <xf numFmtId="194" fontId="49" fillId="0" borderId="707" xfId="3" applyNumberFormat="1" applyFont="1" applyFill="1" applyBorder="1" applyAlignment="1">
      <alignment horizontal="center" vertical="center"/>
    </xf>
    <xf numFmtId="41" fontId="49" fillId="0" borderId="708" xfId="3" applyNumberFormat="1" applyFont="1" applyFill="1" applyBorder="1" applyAlignment="1">
      <alignment horizontal="center" vertical="center"/>
    </xf>
    <xf numFmtId="41" fontId="49" fillId="0" borderId="708" xfId="3" applyNumberFormat="1" applyFont="1" applyFill="1" applyBorder="1" applyAlignment="1">
      <alignment vertical="center"/>
    </xf>
    <xf numFmtId="41" fontId="49" fillId="0" borderId="709" xfId="1" applyFont="1" applyFill="1" applyBorder="1" applyAlignment="1">
      <alignment vertical="center"/>
    </xf>
    <xf numFmtId="41" fontId="49" fillId="0" borderId="706" xfId="3" applyNumberFormat="1" applyFont="1" applyFill="1" applyBorder="1" applyAlignment="1">
      <alignment horizontal="center" vertical="center"/>
    </xf>
    <xf numFmtId="0" fontId="137" fillId="0" borderId="0" xfId="355" applyFont="1">
      <alignment vertical="center"/>
    </xf>
    <xf numFmtId="0" fontId="55" fillId="0" borderId="0" xfId="355" applyAlignment="1">
      <alignment horizontal="center" vertical="center"/>
    </xf>
    <xf numFmtId="0" fontId="55" fillId="0" borderId="0" xfId="355">
      <alignment vertical="center"/>
    </xf>
    <xf numFmtId="186" fontId="0" fillId="0" borderId="0" xfId="356" applyNumberFormat="1" applyFont="1">
      <alignment vertical="center"/>
    </xf>
    <xf numFmtId="189" fontId="0" fillId="0" borderId="0" xfId="357" applyNumberFormat="1" applyFont="1">
      <alignment vertical="center"/>
    </xf>
    <xf numFmtId="41" fontId="0" fillId="0" borderId="0" xfId="356" applyFont="1">
      <alignment vertical="center"/>
    </xf>
    <xf numFmtId="0" fontId="55" fillId="0" borderId="0" xfId="355" applyAlignment="1">
      <alignment horizontal="right" vertical="center"/>
    </xf>
    <xf numFmtId="0" fontId="55" fillId="59" borderId="645" xfId="355" applyFill="1" applyBorder="1" applyAlignment="1">
      <alignment horizontal="center" vertical="center" wrapText="1"/>
    </xf>
    <xf numFmtId="0" fontId="55" fillId="59" borderId="645" xfId="355" applyFill="1" applyBorder="1" applyAlignment="1">
      <alignment horizontal="center" vertical="center"/>
    </xf>
    <xf numFmtId="186" fontId="0" fillId="59" borderId="645" xfId="356" applyNumberFormat="1" applyFont="1" applyFill="1" applyBorder="1" applyAlignment="1">
      <alignment horizontal="center" vertical="center" wrapText="1"/>
    </xf>
    <xf numFmtId="189" fontId="0" fillId="59" borderId="645" xfId="357" applyNumberFormat="1" applyFont="1" applyFill="1" applyBorder="1" applyAlignment="1">
      <alignment horizontal="center" vertical="center" wrapText="1"/>
    </xf>
    <xf numFmtId="41" fontId="0" fillId="59" borderId="645" xfId="356" applyFont="1" applyFill="1" applyBorder="1" applyAlignment="1">
      <alignment horizontal="center" vertical="center" wrapText="1"/>
    </xf>
    <xf numFmtId="41" fontId="137" fillId="59" borderId="645" xfId="356" applyFont="1" applyFill="1" applyBorder="1" applyAlignment="1">
      <alignment horizontal="center" vertical="center" wrapText="1"/>
    </xf>
    <xf numFmtId="0" fontId="55" fillId="0" borderId="645" xfId="355" applyBorder="1">
      <alignment vertical="center"/>
    </xf>
    <xf numFmtId="186" fontId="0" fillId="0" borderId="645" xfId="356" applyNumberFormat="1" applyFont="1" applyBorder="1" applyAlignment="1">
      <alignment horizontal="center" vertical="center"/>
    </xf>
    <xf numFmtId="41" fontId="0" fillId="0" borderId="645" xfId="356" applyNumberFormat="1" applyFont="1" applyBorder="1" applyAlignment="1">
      <alignment horizontal="center" vertical="center"/>
    </xf>
    <xf numFmtId="186" fontId="0" fillId="0" borderId="645" xfId="356" applyNumberFormat="1" applyFont="1" applyBorder="1">
      <alignment vertical="center"/>
    </xf>
    <xf numFmtId="189" fontId="0" fillId="0" borderId="645" xfId="357" applyNumberFormat="1" applyFont="1" applyBorder="1">
      <alignment vertical="center"/>
    </xf>
    <xf numFmtId="41" fontId="0" fillId="0" borderId="645" xfId="356" applyFont="1" applyBorder="1">
      <alignment vertical="center"/>
    </xf>
    <xf numFmtId="41" fontId="137" fillId="59" borderId="645" xfId="356" applyFont="1" applyFill="1" applyBorder="1">
      <alignment vertical="center"/>
    </xf>
    <xf numFmtId="43" fontId="55" fillId="0" borderId="0" xfId="355" applyNumberFormat="1">
      <alignment vertical="center"/>
    </xf>
    <xf numFmtId="186" fontId="0" fillId="66" borderId="645" xfId="356" applyNumberFormat="1" applyFont="1" applyFill="1" applyBorder="1" applyAlignment="1">
      <alignment horizontal="center" vertical="center"/>
    </xf>
    <xf numFmtId="41" fontId="0" fillId="66" borderId="645" xfId="356" applyNumberFormat="1" applyFont="1" applyFill="1" applyBorder="1" applyAlignment="1">
      <alignment horizontal="center" vertical="center"/>
    </xf>
    <xf numFmtId="0" fontId="55" fillId="0" borderId="645" xfId="355" applyBorder="1" applyAlignment="1">
      <alignment horizontal="center" vertical="center"/>
    </xf>
    <xf numFmtId="41" fontId="144" fillId="59" borderId="645" xfId="356" applyFont="1" applyFill="1" applyBorder="1">
      <alignment vertical="center"/>
    </xf>
    <xf numFmtId="41" fontId="50" fillId="0" borderId="710" xfId="97" applyNumberFormat="1" applyFont="1" applyFill="1" applyBorder="1" applyAlignment="1" applyProtection="1">
      <alignment horizontal="center" vertical="center"/>
      <protection locked="0"/>
    </xf>
    <xf numFmtId="41" fontId="49" fillId="0" borderId="711" xfId="97" applyNumberFormat="1" applyFont="1" applyFill="1" applyBorder="1" applyAlignment="1" applyProtection="1">
      <alignment horizontal="center" vertical="center"/>
      <protection locked="0"/>
    </xf>
    <xf numFmtId="41" fontId="50" fillId="0" borderId="617" xfId="97" applyNumberFormat="1" applyFont="1" applyFill="1" applyBorder="1" applyAlignment="1" applyProtection="1">
      <alignment horizontal="center" vertical="center"/>
      <protection locked="0"/>
    </xf>
    <xf numFmtId="41" fontId="50" fillId="0" borderId="600" xfId="97" applyNumberFormat="1" applyFont="1" applyFill="1" applyBorder="1" applyAlignment="1" applyProtection="1">
      <alignment horizontal="center" vertical="center"/>
      <protection locked="0"/>
    </xf>
    <xf numFmtId="41" fontId="50" fillId="0" borderId="691" xfId="97" applyNumberFormat="1" applyFont="1" applyFill="1" applyBorder="1" applyAlignment="1" applyProtection="1">
      <alignment horizontal="center" vertical="center"/>
      <protection locked="0"/>
    </xf>
    <xf numFmtId="41" fontId="49" fillId="0" borderId="706" xfId="97" applyNumberFormat="1" applyFont="1" applyFill="1" applyBorder="1" applyAlignment="1">
      <alignment vertical="center"/>
    </xf>
    <xf numFmtId="194" fontId="49" fillId="0" borderId="695" xfId="97" applyNumberFormat="1" applyFont="1" applyFill="1" applyBorder="1" applyAlignment="1">
      <alignment horizontal="center" vertical="center"/>
    </xf>
    <xf numFmtId="187" fontId="49" fillId="0" borderId="706" xfId="97" applyNumberFormat="1" applyFont="1" applyFill="1" applyBorder="1" applyAlignment="1">
      <alignment vertical="center"/>
    </xf>
    <xf numFmtId="41" fontId="49" fillId="0" borderId="712" xfId="97" applyNumberFormat="1" applyFont="1" applyFill="1" applyBorder="1" applyAlignment="1">
      <alignment vertical="center"/>
    </xf>
    <xf numFmtId="41" fontId="56" fillId="0" borderId="714" xfId="1" applyFont="1" applyFill="1" applyBorder="1" applyAlignment="1">
      <alignment vertical="center"/>
    </xf>
    <xf numFmtId="41" fontId="56" fillId="0" borderId="28" xfId="1" applyFont="1" applyFill="1" applyBorder="1" applyAlignment="1">
      <alignment horizontal="center" vertical="center"/>
    </xf>
    <xf numFmtId="41" fontId="56" fillId="0" borderId="461" xfId="1" applyFont="1" applyFill="1" applyBorder="1" applyAlignment="1">
      <alignment vertical="center"/>
    </xf>
    <xf numFmtId="41" fontId="56" fillId="0" borderId="715" xfId="1" applyFont="1" applyFill="1" applyBorder="1" applyAlignment="1">
      <alignment vertical="center"/>
    </xf>
    <xf numFmtId="41" fontId="56" fillId="0" borderId="715" xfId="1" applyFont="1" applyFill="1" applyBorder="1" applyAlignment="1">
      <alignment horizontal="center" vertical="center"/>
    </xf>
    <xf numFmtId="41" fontId="49" fillId="0" borderId="116" xfId="3" applyNumberFormat="1" applyFont="1" applyFill="1" applyBorder="1" applyAlignment="1">
      <alignment horizontal="center" vertical="center" shrinkToFit="1"/>
    </xf>
    <xf numFmtId="194" fontId="49" fillId="0" borderId="727" xfId="97" applyNumberFormat="1" applyFont="1" applyFill="1" applyBorder="1" applyAlignment="1">
      <alignment horizontal="center" vertical="center"/>
    </xf>
    <xf numFmtId="41" fontId="49" fillId="0" borderId="728" xfId="97" quotePrefix="1" applyNumberFormat="1" applyFont="1" applyFill="1" applyBorder="1" applyAlignment="1">
      <alignment vertical="center"/>
    </xf>
    <xf numFmtId="187" fontId="49" fillId="0" borderId="728" xfId="97" applyNumberFormat="1" applyFont="1" applyFill="1" applyBorder="1" applyAlignment="1">
      <alignment vertical="center"/>
    </xf>
    <xf numFmtId="41" fontId="49" fillId="0" borderId="729" xfId="97" applyNumberFormat="1" applyFont="1" applyFill="1" applyBorder="1" applyAlignment="1">
      <alignment vertical="center"/>
    </xf>
    <xf numFmtId="41" fontId="50" fillId="59" borderId="722" xfId="97" applyNumberFormat="1" applyFont="1" applyFill="1" applyBorder="1" applyAlignment="1" applyProtection="1">
      <alignment horizontal="center" vertical="center"/>
      <protection locked="0"/>
    </xf>
    <xf numFmtId="41" fontId="50" fillId="59" borderId="723" xfId="97" applyNumberFormat="1" applyFont="1" applyFill="1" applyBorder="1" applyAlignment="1" applyProtection="1">
      <alignment horizontal="center" vertical="center"/>
      <protection locked="0"/>
    </xf>
    <xf numFmtId="41" fontId="50" fillId="59" borderId="724" xfId="97" applyNumberFormat="1" applyFont="1" applyFill="1" applyBorder="1" applyAlignment="1" applyProtection="1">
      <alignment horizontal="center" vertical="center"/>
      <protection locked="0"/>
    </xf>
    <xf numFmtId="41" fontId="50" fillId="59" borderId="730" xfId="97" applyNumberFormat="1" applyFont="1" applyFill="1" applyBorder="1" applyAlignment="1" applyProtection="1">
      <alignment horizontal="center" vertical="center"/>
      <protection locked="0"/>
    </xf>
    <xf numFmtId="41" fontId="49" fillId="0" borderId="719" xfId="97" applyNumberFormat="1" applyFont="1" applyFill="1" applyBorder="1" applyAlignment="1" applyProtection="1">
      <alignment horizontal="center" vertical="center"/>
      <protection locked="0"/>
    </xf>
    <xf numFmtId="41" fontId="49" fillId="0" borderId="731" xfId="97" applyNumberFormat="1" applyFont="1" applyFill="1" applyBorder="1" applyAlignment="1" applyProtection="1">
      <alignment horizontal="center" vertical="center"/>
      <protection locked="0"/>
    </xf>
    <xf numFmtId="41" fontId="49" fillId="0" borderId="718" xfId="97" applyNumberFormat="1" applyFont="1" applyFill="1" applyBorder="1" applyAlignment="1" applyProtection="1">
      <alignment horizontal="center" vertical="center"/>
      <protection locked="0"/>
    </xf>
    <xf numFmtId="41" fontId="49" fillId="0" borderId="721" xfId="97" applyNumberFormat="1" applyFont="1" applyFill="1" applyBorder="1" applyAlignment="1" applyProtection="1">
      <alignment horizontal="center" vertical="center"/>
      <protection locked="0"/>
    </xf>
    <xf numFmtId="41" fontId="49" fillId="0" borderId="732" xfId="97" applyNumberFormat="1" applyFont="1" applyFill="1" applyBorder="1" applyAlignment="1" applyProtection="1">
      <alignment horizontal="center" vertical="center"/>
      <protection locked="0"/>
    </xf>
    <xf numFmtId="41" fontId="50" fillId="0" borderId="733" xfId="97" applyNumberFormat="1" applyFont="1" applyFill="1" applyBorder="1" applyAlignment="1" applyProtection="1">
      <alignment horizontal="center" vertical="center"/>
      <protection locked="0"/>
    </xf>
    <xf numFmtId="41" fontId="49" fillId="0" borderId="722" xfId="97" applyNumberFormat="1" applyFont="1" applyFill="1" applyBorder="1" applyAlignment="1" applyProtection="1">
      <alignment horizontal="center" vertical="center"/>
      <protection locked="0"/>
    </xf>
    <xf numFmtId="41" fontId="49" fillId="0" borderId="723" xfId="97" applyNumberFormat="1" applyFont="1" applyFill="1" applyBorder="1" applyAlignment="1" applyProtection="1">
      <alignment horizontal="center" vertical="center"/>
      <protection locked="0"/>
    </xf>
    <xf numFmtId="41" fontId="49" fillId="0" borderId="734" xfId="97" applyNumberFormat="1" applyFont="1" applyFill="1" applyBorder="1" applyAlignment="1" applyProtection="1">
      <alignment horizontal="center" vertical="center"/>
      <protection locked="0"/>
    </xf>
    <xf numFmtId="41" fontId="49" fillId="0" borderId="726" xfId="97" applyNumberFormat="1" applyFont="1" applyFill="1" applyBorder="1" applyAlignment="1" applyProtection="1">
      <alignment horizontal="center" vertical="center"/>
      <protection locked="0"/>
    </xf>
    <xf numFmtId="41" fontId="49" fillId="0" borderId="725" xfId="97" applyNumberFormat="1" applyFont="1" applyFill="1" applyBorder="1" applyAlignment="1" applyProtection="1">
      <alignment horizontal="center" vertical="center"/>
      <protection locked="0"/>
    </xf>
    <xf numFmtId="41" fontId="49" fillId="0" borderId="735" xfId="97" applyNumberFormat="1" applyFont="1" applyFill="1" applyBorder="1" applyAlignment="1" applyProtection="1">
      <alignment horizontal="center" vertical="center"/>
      <protection locked="0"/>
    </xf>
    <xf numFmtId="41" fontId="50" fillId="60" borderId="719" xfId="97" applyNumberFormat="1" applyFont="1" applyFill="1" applyBorder="1" applyAlignment="1" applyProtection="1">
      <alignment horizontal="center" vertical="center"/>
      <protection locked="0"/>
    </xf>
    <xf numFmtId="41" fontId="50" fillId="60" borderId="718" xfId="97" applyNumberFormat="1" applyFont="1" applyFill="1" applyBorder="1" applyAlignment="1" applyProtection="1">
      <alignment horizontal="center" vertical="center"/>
      <protection locked="0"/>
    </xf>
    <xf numFmtId="41" fontId="50" fillId="60" borderId="720" xfId="97" applyNumberFormat="1" applyFont="1" applyFill="1" applyBorder="1" applyAlignment="1" applyProtection="1">
      <alignment horizontal="center" vertical="center"/>
      <protection locked="0"/>
    </xf>
    <xf numFmtId="41" fontId="50" fillId="60" borderId="731" xfId="97" applyNumberFormat="1" applyFont="1" applyFill="1" applyBorder="1" applyAlignment="1" applyProtection="1">
      <alignment horizontal="center" vertical="center"/>
      <protection locked="0"/>
    </xf>
    <xf numFmtId="41" fontId="49" fillId="60" borderId="719" xfId="97" applyNumberFormat="1" applyFont="1" applyFill="1" applyBorder="1" applyAlignment="1" applyProtection="1">
      <alignment horizontal="center" vertical="center"/>
      <protection locked="0"/>
    </xf>
    <xf numFmtId="41" fontId="49" fillId="60" borderId="718" xfId="97" applyNumberFormat="1" applyFont="1" applyFill="1" applyBorder="1" applyAlignment="1" applyProtection="1">
      <alignment horizontal="center" vertical="center"/>
      <protection locked="0"/>
    </xf>
    <xf numFmtId="41" fontId="49" fillId="60" borderId="720" xfId="97" applyNumberFormat="1" applyFont="1" applyFill="1" applyBorder="1" applyAlignment="1" applyProtection="1">
      <alignment horizontal="center" vertical="center"/>
      <protection locked="0"/>
    </xf>
    <xf numFmtId="41" fontId="49" fillId="60" borderId="731" xfId="97" applyNumberFormat="1" applyFont="1" applyFill="1" applyBorder="1" applyAlignment="1" applyProtection="1">
      <alignment horizontal="center" vertical="center"/>
      <protection locked="0"/>
    </xf>
    <xf numFmtId="41" fontId="50" fillId="60" borderId="736" xfId="97" applyNumberFormat="1" applyFont="1" applyFill="1" applyBorder="1" applyAlignment="1" applyProtection="1">
      <alignment horizontal="center" vertical="center"/>
      <protection locked="0"/>
    </xf>
    <xf numFmtId="41" fontId="50" fillId="60" borderId="737" xfId="97" applyNumberFormat="1" applyFont="1" applyFill="1" applyBorder="1" applyAlignment="1" applyProtection="1">
      <alignment horizontal="center" vertical="center"/>
      <protection locked="0"/>
    </xf>
    <xf numFmtId="41" fontId="50" fillId="60" borderId="738" xfId="97" applyNumberFormat="1" applyFont="1" applyFill="1" applyBorder="1" applyAlignment="1" applyProtection="1">
      <alignment horizontal="center" vertical="center"/>
      <protection locked="0"/>
    </xf>
    <xf numFmtId="41" fontId="50" fillId="60" borderId="739" xfId="97" applyNumberFormat="1" applyFont="1" applyFill="1" applyBorder="1" applyAlignment="1" applyProtection="1">
      <alignment horizontal="center" vertical="center"/>
      <protection locked="0"/>
    </xf>
    <xf numFmtId="41" fontId="49" fillId="0" borderId="728" xfId="97" applyNumberFormat="1" applyFont="1" applyFill="1" applyBorder="1" applyAlignment="1">
      <alignment vertical="center"/>
    </xf>
    <xf numFmtId="41" fontId="49" fillId="0" borderId="727" xfId="97" applyNumberFormat="1" applyFont="1" applyFill="1" applyBorder="1" applyAlignment="1">
      <alignment horizontal="center" vertical="center"/>
    </xf>
    <xf numFmtId="41" fontId="50" fillId="0" borderId="234" xfId="97" applyNumberFormat="1" applyFont="1" applyFill="1" applyBorder="1" applyAlignment="1">
      <alignment horizontal="center" vertical="center"/>
    </xf>
    <xf numFmtId="41" fontId="49" fillId="0" borderId="211" xfId="97" applyNumberFormat="1" applyFont="1" applyFill="1" applyBorder="1" applyAlignment="1">
      <alignment horizontal="center" vertical="center"/>
    </xf>
    <xf numFmtId="41" fontId="57" fillId="60" borderId="162" xfId="109" applyNumberFormat="1" applyFont="1" applyFill="1" applyBorder="1" applyAlignment="1">
      <alignment horizontal="center" vertical="center"/>
    </xf>
    <xf numFmtId="41" fontId="49" fillId="0" borderId="386" xfId="97" applyNumberFormat="1" applyFont="1" applyFill="1" applyBorder="1" applyAlignment="1">
      <alignment horizontal="center" vertical="center"/>
    </xf>
    <xf numFmtId="41" fontId="49" fillId="0" borderId="646" xfId="97" applyNumberFormat="1" applyFont="1" applyFill="1" applyBorder="1" applyAlignment="1">
      <alignment horizontal="center" vertical="center"/>
    </xf>
    <xf numFmtId="41" fontId="49" fillId="0" borderId="742" xfId="97" applyNumberFormat="1" applyFont="1" applyFill="1" applyBorder="1" applyAlignment="1">
      <alignment horizontal="center" vertical="center"/>
    </xf>
    <xf numFmtId="41" fontId="49" fillId="0" borderId="741" xfId="97" applyNumberFormat="1" applyFont="1" applyFill="1" applyBorder="1" applyAlignment="1">
      <alignment horizontal="right" vertical="center"/>
    </xf>
    <xf numFmtId="41" fontId="49" fillId="0" borderId="741" xfId="97" applyNumberFormat="1" applyFont="1" applyFill="1" applyBorder="1" applyAlignment="1">
      <alignment horizontal="center" vertical="center"/>
    </xf>
    <xf numFmtId="41" fontId="49" fillId="0" borderId="740" xfId="97" applyNumberFormat="1" applyFont="1" applyFill="1" applyBorder="1" applyAlignment="1">
      <alignment horizontal="center" vertical="center"/>
    </xf>
    <xf numFmtId="194" fontId="49" fillId="0" borderId="743" xfId="97" applyNumberFormat="1" applyFont="1" applyFill="1" applyBorder="1" applyAlignment="1">
      <alignment horizontal="center" vertical="center"/>
    </xf>
    <xf numFmtId="41" fontId="49" fillId="0" borderId="743" xfId="97" applyNumberFormat="1" applyFont="1" applyFill="1" applyBorder="1" applyAlignment="1">
      <alignment horizontal="center" vertical="center"/>
    </xf>
    <xf numFmtId="193" fontId="49" fillId="0" borderId="744" xfId="2" applyNumberFormat="1" applyFont="1" applyFill="1" applyBorder="1" applyAlignment="1">
      <alignment vertical="center"/>
    </xf>
    <xf numFmtId="41" fontId="49" fillId="0" borderId="399" xfId="97" quotePrefix="1" applyNumberFormat="1" applyFont="1" applyFill="1" applyBorder="1" applyAlignment="1">
      <alignment vertical="center"/>
    </xf>
    <xf numFmtId="41" fontId="50" fillId="0" borderId="745" xfId="97" applyNumberFormat="1" applyFont="1" applyFill="1" applyBorder="1" applyAlignment="1" applyProtection="1">
      <alignment horizontal="center" vertical="center"/>
      <protection locked="0"/>
    </xf>
    <xf numFmtId="41" fontId="49" fillId="0" borderId="747" xfId="97" applyNumberFormat="1" applyFont="1" applyFill="1" applyBorder="1" applyAlignment="1" applyProtection="1">
      <alignment horizontal="center" vertical="center"/>
      <protection locked="0"/>
    </xf>
    <xf numFmtId="41" fontId="49" fillId="0" borderId="746" xfId="97" applyNumberFormat="1" applyFont="1" applyFill="1" applyBorder="1" applyAlignment="1" applyProtection="1">
      <alignment horizontal="center" vertical="center"/>
      <protection locked="0"/>
    </xf>
    <xf numFmtId="41" fontId="49" fillId="0" borderId="763" xfId="97" applyNumberFormat="1" applyFont="1" applyFill="1" applyBorder="1" applyAlignment="1" applyProtection="1">
      <alignment horizontal="center" vertical="center"/>
      <protection locked="0"/>
    </xf>
    <xf numFmtId="41" fontId="50" fillId="0" borderId="755" xfId="97" applyNumberFormat="1" applyFont="1" applyFill="1" applyBorder="1" applyAlignment="1" applyProtection="1">
      <alignment horizontal="center" vertical="center"/>
      <protection locked="0"/>
    </xf>
    <xf numFmtId="41" fontId="49" fillId="0" borderId="764" xfId="97" applyNumberFormat="1" applyFont="1" applyFill="1" applyBorder="1" applyAlignment="1" applyProtection="1">
      <alignment horizontal="center" vertical="center"/>
      <protection locked="0"/>
    </xf>
    <xf numFmtId="41" fontId="50" fillId="0" borderId="756" xfId="97" applyNumberFormat="1" applyFont="1" applyFill="1" applyBorder="1" applyAlignment="1" applyProtection="1">
      <alignment horizontal="center" vertical="center"/>
      <protection locked="0"/>
    </xf>
    <xf numFmtId="41" fontId="49" fillId="0" borderId="748" xfId="97" applyNumberFormat="1" applyFont="1" applyFill="1" applyBorder="1" applyAlignment="1" applyProtection="1">
      <alignment horizontal="center" vertical="center"/>
      <protection locked="0"/>
    </xf>
    <xf numFmtId="41" fontId="56" fillId="0" borderId="693" xfId="1" applyFont="1" applyFill="1" applyBorder="1" applyAlignment="1">
      <alignment vertical="center"/>
    </xf>
    <xf numFmtId="41" fontId="49" fillId="0" borderId="765" xfId="3" applyNumberFormat="1" applyFont="1" applyFill="1" applyBorder="1" applyAlignment="1">
      <alignment horizontal="center" vertical="center" shrinkToFit="1"/>
    </xf>
    <xf numFmtId="41" fontId="49" fillId="0" borderId="765" xfId="3" applyNumberFormat="1" applyFont="1" applyFill="1" applyBorder="1" applyAlignment="1">
      <alignment horizontal="center" vertical="center"/>
    </xf>
    <xf numFmtId="41" fontId="49" fillId="0" borderId="766" xfId="3" applyNumberFormat="1" applyFont="1" applyFill="1" applyBorder="1" applyAlignment="1">
      <alignment vertical="center"/>
    </xf>
    <xf numFmtId="41" fontId="49" fillId="0" borderId="766" xfId="3" applyNumberFormat="1" applyFont="1" applyFill="1" applyBorder="1" applyAlignment="1">
      <alignment horizontal="center" vertical="center"/>
    </xf>
    <xf numFmtId="41" fontId="49" fillId="0" borderId="716" xfId="3" applyNumberFormat="1" applyFont="1" applyFill="1" applyBorder="1" applyAlignment="1">
      <alignment horizontal="center" vertical="center"/>
    </xf>
    <xf numFmtId="41" fontId="49" fillId="0" borderId="386" xfId="3" applyNumberFormat="1" applyFont="1" applyFill="1" applyBorder="1" applyAlignment="1">
      <alignment vertical="center"/>
    </xf>
    <xf numFmtId="41" fontId="50" fillId="0" borderId="768" xfId="3" applyNumberFormat="1" applyFont="1" applyFill="1" applyBorder="1" applyAlignment="1">
      <alignment horizontal="center" vertical="center"/>
    </xf>
    <xf numFmtId="41" fontId="50" fillId="0" borderId="769" xfId="3" applyNumberFormat="1" applyFont="1" applyFill="1" applyBorder="1" applyAlignment="1">
      <alignment horizontal="center" vertical="center"/>
    </xf>
    <xf numFmtId="41" fontId="50" fillId="0" borderId="770" xfId="3" applyNumberFormat="1" applyFont="1" applyFill="1" applyBorder="1" applyAlignment="1">
      <alignment horizontal="center" vertical="center"/>
    </xf>
    <xf numFmtId="41" fontId="49" fillId="0" borderId="772" xfId="3" applyNumberFormat="1" applyFont="1" applyFill="1" applyBorder="1" applyAlignment="1">
      <alignment horizontal="left" vertical="center" shrinkToFit="1"/>
    </xf>
    <xf numFmtId="41" fontId="49" fillId="0" borderId="774" xfId="3" applyNumberFormat="1" applyFont="1" applyFill="1" applyBorder="1" applyAlignment="1">
      <alignment horizontal="right" vertical="center" shrinkToFit="1"/>
    </xf>
    <xf numFmtId="41" fontId="49" fillId="0" borderId="775" xfId="3" applyNumberFormat="1" applyFont="1" applyFill="1" applyBorder="1" applyAlignment="1">
      <alignment horizontal="center" vertical="center"/>
    </xf>
    <xf numFmtId="41" fontId="49" fillId="0" borderId="772" xfId="3" applyNumberFormat="1" applyFont="1" applyFill="1" applyBorder="1" applyAlignment="1">
      <alignment horizontal="left" vertical="center"/>
    </xf>
    <xf numFmtId="41" fontId="49" fillId="0" borderId="771" xfId="3" applyNumberFormat="1" applyFont="1" applyFill="1" applyBorder="1" applyAlignment="1">
      <alignment horizontal="center" vertical="center" shrinkToFit="1"/>
    </xf>
    <xf numFmtId="41" fontId="50" fillId="0" borderId="259" xfId="3" applyNumberFormat="1" applyFont="1" applyFill="1" applyBorder="1" applyAlignment="1">
      <alignment horizontal="right" vertical="center"/>
    </xf>
    <xf numFmtId="41" fontId="50" fillId="0" borderId="777" xfId="3" applyNumberFormat="1" applyFont="1" applyFill="1" applyBorder="1" applyAlignment="1">
      <alignment vertical="center"/>
    </xf>
    <xf numFmtId="41" fontId="48" fillId="0" borderId="0" xfId="3" applyNumberFormat="1" applyFont="1" applyFill="1" applyAlignment="1">
      <alignment horizontal="left" vertical="center" shrinkToFit="1"/>
    </xf>
    <xf numFmtId="41" fontId="49" fillId="0" borderId="0" xfId="3" applyNumberFormat="1" applyFont="1" applyFill="1" applyAlignment="1" applyProtection="1">
      <alignment horizontal="center" vertical="center" shrinkToFit="1"/>
      <protection locked="0"/>
    </xf>
    <xf numFmtId="41" fontId="49" fillId="0" borderId="0" xfId="3" applyNumberFormat="1" applyFont="1" applyFill="1" applyAlignment="1" applyProtection="1">
      <alignment horizontal="left" vertical="center" shrinkToFit="1"/>
      <protection locked="0"/>
    </xf>
    <xf numFmtId="41" fontId="49" fillId="0" borderId="0" xfId="1" applyFont="1" applyFill="1" applyAlignment="1" applyProtection="1">
      <alignment horizontal="center" vertical="center" shrinkToFit="1"/>
      <protection locked="0"/>
    </xf>
    <xf numFmtId="10" fontId="50" fillId="0" borderId="0" xfId="2" applyNumberFormat="1" applyFont="1" applyFill="1" applyAlignment="1" applyProtection="1">
      <alignment horizontal="center" vertical="center" shrinkToFit="1"/>
      <protection locked="0"/>
    </xf>
    <xf numFmtId="41" fontId="50" fillId="0" borderId="767" xfId="3" applyNumberFormat="1" applyFont="1" applyFill="1" applyBorder="1" applyAlignment="1">
      <alignment horizontal="center" vertical="center" shrinkToFit="1"/>
    </xf>
    <xf numFmtId="41" fontId="50" fillId="0" borderId="768" xfId="3" applyNumberFormat="1" applyFont="1" applyFill="1" applyBorder="1" applyAlignment="1">
      <alignment horizontal="center" vertical="center" shrinkToFit="1"/>
    </xf>
    <xf numFmtId="41" fontId="49" fillId="0" borderId="773" xfId="3" applyNumberFormat="1" applyFont="1" applyFill="1" applyBorder="1" applyAlignment="1">
      <alignment horizontal="center" vertical="center" shrinkToFit="1"/>
    </xf>
    <xf numFmtId="41" fontId="49" fillId="0" borderId="716" xfId="3" applyNumberFormat="1" applyFont="1" applyFill="1" applyBorder="1" applyAlignment="1">
      <alignment horizontal="center" vertical="center" shrinkToFit="1"/>
    </xf>
    <xf numFmtId="41" fontId="49" fillId="0" borderId="140" xfId="3" applyNumberFormat="1" applyFont="1" applyFill="1" applyBorder="1" applyAlignment="1">
      <alignment horizontal="center" vertical="center" shrinkToFit="1"/>
    </xf>
    <xf numFmtId="41" fontId="50" fillId="0" borderId="776" xfId="3" applyNumberFormat="1" applyFont="1" applyFill="1" applyBorder="1" applyAlignment="1">
      <alignment horizontal="center" vertical="center" shrinkToFit="1"/>
    </xf>
    <xf numFmtId="41" fontId="49" fillId="0" borderId="780" xfId="97" applyNumberFormat="1" applyFont="1" applyFill="1" applyBorder="1" applyAlignment="1" applyProtection="1">
      <alignment horizontal="center" vertical="center"/>
      <protection locked="0"/>
    </xf>
    <xf numFmtId="41" fontId="49" fillId="0" borderId="779" xfId="97" applyNumberFormat="1" applyFont="1" applyFill="1" applyBorder="1" applyAlignment="1" applyProtection="1">
      <alignment horizontal="center" vertical="center"/>
      <protection locked="0"/>
    </xf>
    <xf numFmtId="41" fontId="49" fillId="0" borderId="778" xfId="97" applyNumberFormat="1" applyFont="1" applyFill="1" applyBorder="1" applyAlignment="1" applyProtection="1">
      <alignment horizontal="center" vertical="center"/>
      <protection locked="0"/>
    </xf>
    <xf numFmtId="41" fontId="49" fillId="0" borderId="781" xfId="97" applyNumberFormat="1" applyFont="1" applyFill="1" applyBorder="1" applyAlignment="1" applyProtection="1">
      <alignment horizontal="center" vertical="center"/>
      <protection locked="0"/>
    </xf>
    <xf numFmtId="41" fontId="49" fillId="0" borderId="784" xfId="97" applyNumberFormat="1" applyFont="1" applyFill="1" applyBorder="1" applyAlignment="1" applyProtection="1">
      <alignment horizontal="center" vertical="center"/>
      <protection locked="0"/>
    </xf>
    <xf numFmtId="41" fontId="49" fillId="0" borderId="785" xfId="97" applyNumberFormat="1" applyFont="1" applyFill="1" applyBorder="1" applyAlignment="1" applyProtection="1">
      <alignment horizontal="center" vertical="center"/>
      <protection locked="0"/>
    </xf>
    <xf numFmtId="41" fontId="49" fillId="0" borderId="786" xfId="97" applyNumberFormat="1" applyFont="1" applyFill="1" applyBorder="1" applyAlignment="1" applyProtection="1">
      <alignment horizontal="center" vertical="center"/>
      <protection locked="0"/>
    </xf>
    <xf numFmtId="41" fontId="49" fillId="0" borderId="782" xfId="97" applyNumberFormat="1" applyFont="1" applyFill="1" applyBorder="1" applyAlignment="1" applyProtection="1">
      <alignment horizontal="center" vertical="center"/>
      <protection locked="0"/>
    </xf>
    <xf numFmtId="41" fontId="49" fillId="0" borderId="783" xfId="97" applyNumberFormat="1" applyFont="1" applyFill="1" applyBorder="1" applyAlignment="1" applyProtection="1">
      <alignment horizontal="center" vertical="center"/>
      <protection locked="0"/>
    </xf>
    <xf numFmtId="41" fontId="49" fillId="0" borderId="787" xfId="3" applyNumberFormat="1" applyFont="1" applyFill="1" applyBorder="1" applyAlignment="1">
      <alignment horizontal="center" vertical="center" shrinkToFit="1"/>
    </xf>
    <xf numFmtId="41" fontId="49" fillId="0" borderId="788" xfId="3" applyNumberFormat="1" applyFont="1" applyFill="1" applyBorder="1" applyAlignment="1">
      <alignment horizontal="center" vertical="center" shrinkToFit="1"/>
    </xf>
    <xf numFmtId="41" fontId="49" fillId="0" borderId="788" xfId="3" applyNumberFormat="1" applyFont="1" applyFill="1" applyBorder="1" applyAlignment="1">
      <alignment horizontal="center" vertical="center"/>
    </xf>
    <xf numFmtId="41" fontId="49" fillId="0" borderId="789" xfId="3" applyNumberFormat="1" applyFont="1" applyFill="1" applyBorder="1" applyAlignment="1">
      <alignment horizontal="left" vertical="center" shrinkToFit="1"/>
    </xf>
    <xf numFmtId="194" fontId="49" fillId="0" borderId="798" xfId="97" applyNumberFormat="1" applyFont="1" applyFill="1" applyBorder="1" applyAlignment="1">
      <alignment horizontal="center" vertical="center"/>
    </xf>
    <xf numFmtId="41" fontId="49" fillId="0" borderId="799" xfId="97" quotePrefix="1" applyNumberFormat="1" applyFont="1" applyFill="1" applyBorder="1" applyAlignment="1">
      <alignment vertical="center"/>
    </xf>
    <xf numFmtId="187" fontId="49" fillId="0" borderId="799" xfId="97" applyNumberFormat="1" applyFont="1" applyFill="1" applyBorder="1" applyAlignment="1">
      <alignment vertical="center"/>
    </xf>
    <xf numFmtId="41" fontId="49" fillId="0" borderId="800" xfId="97" applyNumberFormat="1" applyFont="1" applyFill="1" applyBorder="1" applyAlignment="1">
      <alignment vertical="center"/>
    </xf>
    <xf numFmtId="194" fontId="49" fillId="0" borderId="802" xfId="97" applyNumberFormat="1" applyFont="1" applyFill="1" applyBorder="1" applyAlignment="1">
      <alignment horizontal="center" vertical="center"/>
    </xf>
    <xf numFmtId="41" fontId="49" fillId="0" borderId="803" xfId="97" quotePrefix="1" applyNumberFormat="1" applyFont="1" applyFill="1" applyBorder="1" applyAlignment="1">
      <alignment vertical="center"/>
    </xf>
    <xf numFmtId="187" fontId="49" fillId="0" borderId="803" xfId="97" applyNumberFormat="1" applyFont="1" applyFill="1" applyBorder="1" applyAlignment="1">
      <alignment vertical="center"/>
    </xf>
    <xf numFmtId="41" fontId="49" fillId="0" borderId="804" xfId="97" applyNumberFormat="1" applyFont="1" applyFill="1" applyBorder="1" applyAlignment="1">
      <alignment vertical="center"/>
    </xf>
    <xf numFmtId="41" fontId="50" fillId="59" borderId="809" xfId="97" applyNumberFormat="1" applyFont="1" applyFill="1" applyBorder="1" applyAlignment="1" applyProtection="1">
      <alignment horizontal="center" vertical="center"/>
      <protection locked="0"/>
    </xf>
    <xf numFmtId="41" fontId="50" fillId="59" borderId="810" xfId="97" applyNumberFormat="1" applyFont="1" applyFill="1" applyBorder="1" applyAlignment="1" applyProtection="1">
      <alignment horizontal="center" vertical="center"/>
      <protection locked="0"/>
    </xf>
    <xf numFmtId="41" fontId="50" fillId="59" borderId="811" xfId="97" applyNumberFormat="1" applyFont="1" applyFill="1" applyBorder="1" applyAlignment="1" applyProtection="1">
      <alignment horizontal="center" vertical="center"/>
      <protection locked="0"/>
    </xf>
    <xf numFmtId="41" fontId="49" fillId="0" borderId="806" xfId="97" applyNumberFormat="1" applyFont="1" applyFill="1" applyBorder="1" applyAlignment="1" applyProtection="1">
      <alignment horizontal="center" vertical="center"/>
      <protection locked="0"/>
    </xf>
    <xf numFmtId="41" fontId="49" fillId="0" borderId="812" xfId="97" applyNumberFormat="1" applyFont="1" applyFill="1" applyBorder="1" applyAlignment="1" applyProtection="1">
      <alignment horizontal="center" vertical="center"/>
      <protection locked="0"/>
    </xf>
    <xf numFmtId="41" fontId="49" fillId="0" borderId="807" xfId="97" applyNumberFormat="1" applyFont="1" applyFill="1" applyBorder="1" applyAlignment="1" applyProtection="1">
      <alignment horizontal="center" vertical="center"/>
      <protection locked="0"/>
    </xf>
    <xf numFmtId="41" fontId="49" fillId="0" borderId="795" xfId="97" applyNumberFormat="1" applyFont="1" applyFill="1" applyBorder="1" applyAlignment="1" applyProtection="1">
      <alignment horizontal="center" vertical="center"/>
      <protection locked="0"/>
    </xf>
    <xf numFmtId="41" fontId="49" fillId="0" borderId="813" xfId="97" applyNumberFormat="1" applyFont="1" applyFill="1" applyBorder="1" applyAlignment="1" applyProtection="1">
      <alignment horizontal="center" vertical="center"/>
      <protection locked="0"/>
    </xf>
    <xf numFmtId="41" fontId="49" fillId="0" borderId="814" xfId="97" applyNumberFormat="1" applyFont="1" applyFill="1" applyBorder="1" applyAlignment="1" applyProtection="1">
      <alignment horizontal="center" vertical="center"/>
      <protection locked="0"/>
    </xf>
    <xf numFmtId="41" fontId="49" fillId="0" borderId="809" xfId="97" applyNumberFormat="1" applyFont="1" applyFill="1" applyBorder="1" applyAlignment="1" applyProtection="1">
      <alignment horizontal="center" vertical="center"/>
      <protection locked="0"/>
    </xf>
    <xf numFmtId="41" fontId="49" fillId="0" borderId="810" xfId="97" applyNumberFormat="1" applyFont="1" applyFill="1" applyBorder="1" applyAlignment="1" applyProtection="1">
      <alignment horizontal="center" vertical="center"/>
      <protection locked="0"/>
    </xf>
    <xf numFmtId="41" fontId="49" fillId="0" borderId="815" xfId="97" applyNumberFormat="1" applyFont="1" applyFill="1" applyBorder="1" applyAlignment="1" applyProtection="1">
      <alignment horizontal="center" vertical="center"/>
      <protection locked="0"/>
    </xf>
    <xf numFmtId="41" fontId="49" fillId="0" borderId="816" xfId="97" applyNumberFormat="1" applyFont="1" applyFill="1" applyBorder="1" applyAlignment="1" applyProtection="1">
      <alignment horizontal="center" vertical="center"/>
      <protection locked="0"/>
    </xf>
    <xf numFmtId="41" fontId="49" fillId="0" borderId="808" xfId="97" applyNumberFormat="1" applyFont="1" applyFill="1" applyBorder="1" applyAlignment="1" applyProtection="1">
      <alignment horizontal="center" vertical="center"/>
      <protection locked="0"/>
    </xf>
    <xf numFmtId="41" fontId="49" fillId="0" borderId="817" xfId="97" applyNumberFormat="1" applyFont="1" applyFill="1" applyBorder="1" applyAlignment="1" applyProtection="1">
      <alignment horizontal="center" vertical="center"/>
      <protection locked="0"/>
    </xf>
    <xf numFmtId="41" fontId="50" fillId="60" borderId="806" xfId="97" applyNumberFormat="1" applyFont="1" applyFill="1" applyBorder="1" applyAlignment="1" applyProtection="1">
      <alignment horizontal="center" vertical="center"/>
      <protection locked="0"/>
    </xf>
    <xf numFmtId="41" fontId="50" fillId="60" borderId="807" xfId="97" applyNumberFormat="1" applyFont="1" applyFill="1" applyBorder="1" applyAlignment="1" applyProtection="1">
      <alignment horizontal="center" vertical="center"/>
      <protection locked="0"/>
    </xf>
    <xf numFmtId="41" fontId="50" fillId="60" borderId="805" xfId="97" applyNumberFormat="1" applyFont="1" applyFill="1" applyBorder="1" applyAlignment="1" applyProtection="1">
      <alignment horizontal="center" vertical="center"/>
      <protection locked="0"/>
    </xf>
    <xf numFmtId="41" fontId="50" fillId="60" borderId="812" xfId="97" applyNumberFormat="1" applyFont="1" applyFill="1" applyBorder="1" applyAlignment="1" applyProtection="1">
      <alignment horizontal="center" vertical="center"/>
      <protection locked="0"/>
    </xf>
    <xf numFmtId="41" fontId="49" fillId="60" borderId="806" xfId="97" applyNumberFormat="1" applyFont="1" applyFill="1" applyBorder="1" applyAlignment="1" applyProtection="1">
      <alignment horizontal="center" vertical="center"/>
      <protection locked="0"/>
    </xf>
    <xf numFmtId="41" fontId="49" fillId="60" borderId="807" xfId="97" applyNumberFormat="1" applyFont="1" applyFill="1" applyBorder="1" applyAlignment="1" applyProtection="1">
      <alignment horizontal="center" vertical="center"/>
      <protection locked="0"/>
    </xf>
    <xf numFmtId="41" fontId="49" fillId="60" borderId="805" xfId="97" applyNumberFormat="1" applyFont="1" applyFill="1" applyBorder="1" applyAlignment="1" applyProtection="1">
      <alignment horizontal="center" vertical="center"/>
      <protection locked="0"/>
    </xf>
    <xf numFmtId="41" fontId="49" fillId="60" borderId="812" xfId="97" applyNumberFormat="1" applyFont="1" applyFill="1" applyBorder="1" applyAlignment="1" applyProtection="1">
      <alignment horizontal="center" vertical="center"/>
      <protection locked="0"/>
    </xf>
    <xf numFmtId="41" fontId="50" fillId="60" borderId="818" xfId="97" applyNumberFormat="1" applyFont="1" applyFill="1" applyBorder="1" applyAlignment="1" applyProtection="1">
      <alignment horizontal="center" vertical="center"/>
      <protection locked="0"/>
    </xf>
    <xf numFmtId="41" fontId="50" fillId="60" borderId="819" xfId="97" applyNumberFormat="1" applyFont="1" applyFill="1" applyBorder="1" applyAlignment="1" applyProtection="1">
      <alignment horizontal="center" vertical="center"/>
      <protection locked="0"/>
    </xf>
    <xf numFmtId="41" fontId="50" fillId="60" borderId="820" xfId="97" applyNumberFormat="1" applyFont="1" applyFill="1" applyBorder="1" applyAlignment="1" applyProtection="1">
      <alignment horizontal="center" vertical="center"/>
      <protection locked="0"/>
    </xf>
    <xf numFmtId="41" fontId="50" fillId="60" borderId="821" xfId="97" applyNumberFormat="1" applyFont="1" applyFill="1" applyBorder="1" applyAlignment="1" applyProtection="1">
      <alignment horizontal="center" vertical="center"/>
      <protection locked="0"/>
    </xf>
    <xf numFmtId="194" fontId="49" fillId="0" borderId="822" xfId="97" applyNumberFormat="1" applyFont="1" applyFill="1" applyBorder="1" applyAlignment="1">
      <alignment horizontal="center" vertical="center"/>
    </xf>
    <xf numFmtId="41" fontId="49" fillId="0" borderId="822" xfId="97" quotePrefix="1" applyNumberFormat="1" applyFont="1" applyFill="1" applyBorder="1" applyAlignment="1">
      <alignment vertical="center"/>
    </xf>
    <xf numFmtId="187" fontId="49" fillId="0" borderId="822" xfId="97" applyNumberFormat="1" applyFont="1" applyFill="1" applyBorder="1" applyAlignment="1">
      <alignment vertical="center"/>
    </xf>
    <xf numFmtId="41" fontId="49" fillId="0" borderId="823" xfId="97" applyNumberFormat="1" applyFont="1" applyFill="1" applyBorder="1" applyAlignment="1">
      <alignment vertical="center"/>
    </xf>
    <xf numFmtId="41" fontId="49" fillId="0" borderId="118" xfId="3" applyNumberFormat="1" applyFont="1" applyFill="1" applyBorder="1" applyAlignment="1">
      <alignment vertical="center"/>
    </xf>
    <xf numFmtId="41" fontId="49" fillId="0" borderId="825" xfId="3" applyNumberFormat="1" applyFont="1" applyFill="1" applyBorder="1" applyAlignment="1">
      <alignment horizontal="center" vertical="center" shrinkToFit="1"/>
    </xf>
    <xf numFmtId="41" fontId="49" fillId="0" borderId="826" xfId="3" applyNumberFormat="1" applyFont="1" applyFill="1" applyBorder="1" applyAlignment="1">
      <alignment horizontal="center" vertical="center" shrinkToFit="1"/>
    </xf>
    <xf numFmtId="41" fontId="49" fillId="0" borderId="826" xfId="3" applyNumberFormat="1" applyFont="1" applyFill="1" applyBorder="1" applyAlignment="1">
      <alignment horizontal="center" vertical="center"/>
    </xf>
    <xf numFmtId="41" fontId="49" fillId="0" borderId="827" xfId="3" applyNumberFormat="1" applyFont="1" applyFill="1" applyBorder="1" applyAlignment="1">
      <alignment vertical="center"/>
    </xf>
    <xf numFmtId="41" fontId="49" fillId="0" borderId="828" xfId="3" applyNumberFormat="1" applyFont="1" applyFill="1" applyBorder="1" applyAlignment="1">
      <alignment horizontal="center" vertical="center" shrinkToFit="1"/>
    </xf>
    <xf numFmtId="41" fontId="49" fillId="0" borderId="829" xfId="3" applyNumberFormat="1" applyFont="1" applyFill="1" applyBorder="1" applyAlignment="1">
      <alignment horizontal="center" vertical="center" shrinkToFit="1"/>
    </xf>
    <xf numFmtId="41" fontId="49" fillId="0" borderId="829" xfId="3" applyNumberFormat="1" applyFont="1" applyFill="1" applyBorder="1" applyAlignment="1">
      <alignment horizontal="center" vertical="center"/>
    </xf>
    <xf numFmtId="41" fontId="49" fillId="0" borderId="830" xfId="3" applyNumberFormat="1" applyFont="1" applyFill="1" applyBorder="1" applyAlignment="1">
      <alignment vertical="center"/>
    </xf>
    <xf numFmtId="41" fontId="49" fillId="0" borderId="831" xfId="3" applyNumberFormat="1" applyFont="1" applyFill="1" applyBorder="1" applyAlignment="1">
      <alignment horizontal="left" vertical="center"/>
    </xf>
    <xf numFmtId="41" fontId="49" fillId="0" borderId="831" xfId="3" applyNumberFormat="1" applyFont="1" applyFill="1" applyBorder="1" applyAlignment="1">
      <alignment horizontal="left" vertical="center" shrinkToFit="1"/>
    </xf>
    <xf numFmtId="41" fontId="49" fillId="0" borderId="834" xfId="97" applyNumberFormat="1" applyFont="1" applyFill="1" applyBorder="1" applyAlignment="1" applyProtection="1">
      <alignment horizontal="center" vertical="center"/>
      <protection locked="0"/>
    </xf>
    <xf numFmtId="41" fontId="49" fillId="0" borderId="833" xfId="97" applyNumberFormat="1" applyFont="1" applyFill="1" applyBorder="1" applyAlignment="1" applyProtection="1">
      <alignment horizontal="center" vertical="center"/>
      <protection locked="0"/>
    </xf>
    <xf numFmtId="41" fontId="49" fillId="0" borderId="832" xfId="97" applyNumberFormat="1" applyFont="1" applyFill="1" applyBorder="1" applyAlignment="1" applyProtection="1">
      <alignment horizontal="center" vertical="center"/>
      <protection locked="0"/>
    </xf>
    <xf numFmtId="41" fontId="49" fillId="0" borderId="835" xfId="97" applyNumberFormat="1" applyFont="1" applyFill="1" applyBorder="1" applyAlignment="1" applyProtection="1">
      <alignment horizontal="center" vertical="center"/>
      <protection locked="0"/>
    </xf>
    <xf numFmtId="41" fontId="49" fillId="0" borderId="838" xfId="97" applyNumberFormat="1" applyFont="1" applyFill="1" applyBorder="1" applyAlignment="1" applyProtection="1">
      <alignment horizontal="center" vertical="center"/>
      <protection locked="0"/>
    </xf>
    <xf numFmtId="41" fontId="49" fillId="0" borderId="839" xfId="97" applyNumberFormat="1" applyFont="1" applyFill="1" applyBorder="1" applyAlignment="1" applyProtection="1">
      <alignment horizontal="center" vertical="center"/>
      <protection locked="0"/>
    </xf>
    <xf numFmtId="41" fontId="49" fillId="0" borderId="840" xfId="97" applyNumberFormat="1" applyFont="1" applyFill="1" applyBorder="1" applyAlignment="1" applyProtection="1">
      <alignment horizontal="center" vertical="center"/>
      <protection locked="0"/>
    </xf>
    <xf numFmtId="41" fontId="49" fillId="0" borderId="836" xfId="97" applyNumberFormat="1" applyFont="1" applyFill="1" applyBorder="1" applyAlignment="1" applyProtection="1">
      <alignment horizontal="center" vertical="center"/>
      <protection locked="0"/>
    </xf>
    <xf numFmtId="41" fontId="49" fillId="0" borderId="837" xfId="97" applyNumberFormat="1" applyFont="1" applyFill="1" applyBorder="1" applyAlignment="1" applyProtection="1">
      <alignment horizontal="center" vertical="center"/>
      <protection locked="0"/>
    </xf>
    <xf numFmtId="41" fontId="49" fillId="0" borderId="153" xfId="1" applyFont="1" applyFill="1" applyBorder="1" applyAlignment="1">
      <alignment vertical="center"/>
    </xf>
    <xf numFmtId="194" fontId="49" fillId="0" borderId="844" xfId="97" applyNumberFormat="1" applyFont="1" applyFill="1" applyBorder="1" applyAlignment="1">
      <alignment horizontal="center" vertical="center"/>
    </xf>
    <xf numFmtId="41" fontId="49" fillId="0" borderId="845" xfId="97" quotePrefix="1" applyNumberFormat="1" applyFont="1" applyFill="1" applyBorder="1" applyAlignment="1">
      <alignment vertical="center"/>
    </xf>
    <xf numFmtId="187" fontId="49" fillId="0" borderId="845" xfId="97" applyNumberFormat="1" applyFont="1" applyFill="1" applyBorder="1" applyAlignment="1">
      <alignment vertical="center"/>
    </xf>
    <xf numFmtId="41" fontId="49" fillId="0" borderId="846" xfId="97" applyNumberFormat="1" applyFont="1" applyFill="1" applyBorder="1" applyAlignment="1">
      <alignment vertical="center"/>
    </xf>
    <xf numFmtId="41" fontId="49" fillId="0" borderId="0" xfId="3" applyNumberFormat="1" applyFont="1" applyFill="1" applyAlignment="1" applyProtection="1">
      <alignment horizontal="right" vertical="center"/>
      <protection locked="0"/>
    </xf>
    <xf numFmtId="14" fontId="49" fillId="0" borderId="858" xfId="97" applyNumberFormat="1" applyFont="1" applyFill="1" applyBorder="1" applyAlignment="1">
      <alignment horizontal="center" vertical="center"/>
    </xf>
    <xf numFmtId="14" fontId="49" fillId="0" borderId="859" xfId="119" applyNumberFormat="1" applyFont="1" applyFill="1" applyBorder="1" applyAlignment="1">
      <alignment horizontal="center" vertical="center"/>
    </xf>
    <xf numFmtId="41" fontId="50" fillId="59" borderId="853" xfId="97" applyNumberFormat="1" applyFont="1" applyFill="1" applyBorder="1" applyAlignment="1" applyProtection="1">
      <alignment horizontal="center" vertical="center"/>
      <protection locked="0"/>
    </xf>
    <xf numFmtId="41" fontId="50" fillId="59" borderId="854" xfId="97" applyNumberFormat="1" applyFont="1" applyFill="1" applyBorder="1" applyAlignment="1" applyProtection="1">
      <alignment horizontal="center" vertical="center"/>
      <protection locked="0"/>
    </xf>
    <xf numFmtId="41" fontId="50" fillId="59" borderId="855" xfId="97" applyNumberFormat="1" applyFont="1" applyFill="1" applyBorder="1" applyAlignment="1" applyProtection="1">
      <alignment horizontal="center" vertical="center"/>
      <protection locked="0"/>
    </xf>
    <xf numFmtId="41" fontId="49" fillId="0" borderId="848" xfId="97" applyNumberFormat="1" applyFont="1" applyFill="1" applyBorder="1" applyAlignment="1" applyProtection="1">
      <alignment horizontal="center" vertical="center"/>
      <protection locked="0"/>
    </xf>
    <xf numFmtId="41" fontId="49" fillId="0" borderId="863" xfId="97" applyNumberFormat="1" applyFont="1" applyFill="1" applyBorder="1" applyAlignment="1" applyProtection="1">
      <alignment horizontal="center" vertical="center"/>
      <protection locked="0"/>
    </xf>
    <xf numFmtId="41" fontId="49" fillId="0" borderId="849" xfId="97" applyNumberFormat="1" applyFont="1" applyFill="1" applyBorder="1" applyAlignment="1" applyProtection="1">
      <alignment horizontal="center" vertical="center"/>
      <protection locked="0"/>
    </xf>
    <xf numFmtId="41" fontId="49" fillId="0" borderId="850" xfId="97" applyNumberFormat="1" applyFont="1" applyFill="1" applyBorder="1" applyAlignment="1" applyProtection="1">
      <alignment horizontal="center" vertical="center"/>
      <protection locked="0"/>
    </xf>
    <xf numFmtId="41" fontId="49" fillId="0" borderId="852" xfId="97" applyNumberFormat="1" applyFont="1" applyFill="1" applyBorder="1" applyAlignment="1" applyProtection="1">
      <alignment horizontal="center" vertical="center"/>
      <protection locked="0"/>
    </xf>
    <xf numFmtId="41" fontId="49" fillId="0" borderId="860" xfId="97" applyNumberFormat="1" applyFont="1" applyFill="1" applyBorder="1" applyAlignment="1" applyProtection="1">
      <alignment horizontal="center" vertical="center"/>
      <protection locked="0"/>
    </xf>
    <xf numFmtId="41" fontId="49" fillId="0" borderId="864" xfId="97" applyNumberFormat="1" applyFont="1" applyFill="1" applyBorder="1" applyAlignment="1" applyProtection="1">
      <alignment horizontal="center" vertical="center"/>
      <protection locked="0"/>
    </xf>
    <xf numFmtId="41" fontId="49" fillId="0" borderId="853" xfId="97" applyNumberFormat="1" applyFont="1" applyFill="1" applyBorder="1" applyAlignment="1" applyProtection="1">
      <alignment horizontal="center" vertical="center"/>
      <protection locked="0"/>
    </xf>
    <xf numFmtId="41" fontId="49" fillId="0" borderId="854" xfId="97" applyNumberFormat="1" applyFont="1" applyFill="1" applyBorder="1" applyAlignment="1" applyProtection="1">
      <alignment horizontal="center" vertical="center"/>
      <protection locked="0"/>
    </xf>
    <xf numFmtId="41" fontId="49" fillId="0" borderId="855" xfId="97" applyNumberFormat="1" applyFont="1" applyFill="1" applyBorder="1" applyAlignment="1" applyProtection="1">
      <alignment horizontal="center" vertical="center"/>
      <protection locked="0"/>
    </xf>
    <xf numFmtId="41" fontId="49" fillId="0" borderId="865" xfId="97" applyNumberFormat="1" applyFont="1" applyFill="1" applyBorder="1" applyAlignment="1" applyProtection="1">
      <alignment horizontal="center" vertical="center"/>
      <protection locked="0"/>
    </xf>
    <xf numFmtId="41" fontId="49" fillId="0" borderId="857" xfId="97" applyNumberFormat="1" applyFont="1" applyFill="1" applyBorder="1" applyAlignment="1" applyProtection="1">
      <alignment horizontal="center" vertical="center"/>
      <protection locked="0"/>
    </xf>
    <xf numFmtId="41" fontId="49" fillId="0" borderId="856" xfId="97" applyNumberFormat="1" applyFont="1" applyFill="1" applyBorder="1" applyAlignment="1" applyProtection="1">
      <alignment horizontal="center" vertical="center"/>
      <protection locked="0"/>
    </xf>
    <xf numFmtId="41" fontId="49" fillId="0" borderId="866" xfId="97" applyNumberFormat="1" applyFont="1" applyFill="1" applyBorder="1" applyAlignment="1" applyProtection="1">
      <alignment horizontal="center" vertical="center"/>
      <protection locked="0"/>
    </xf>
    <xf numFmtId="41" fontId="49" fillId="0" borderId="867" xfId="97" applyNumberFormat="1" applyFont="1" applyFill="1" applyBorder="1" applyAlignment="1" applyProtection="1">
      <alignment horizontal="center" vertical="center"/>
      <protection locked="0"/>
    </xf>
    <xf numFmtId="41" fontId="50" fillId="60" borderId="848" xfId="97" applyNumberFormat="1" applyFont="1" applyFill="1" applyBorder="1" applyAlignment="1" applyProtection="1">
      <alignment horizontal="center" vertical="center"/>
      <protection locked="0"/>
    </xf>
    <xf numFmtId="41" fontId="50" fillId="60" borderId="849" xfId="97" applyNumberFormat="1" applyFont="1" applyFill="1" applyBorder="1" applyAlignment="1" applyProtection="1">
      <alignment horizontal="center" vertical="center"/>
      <protection locked="0"/>
    </xf>
    <xf numFmtId="41" fontId="50" fillId="60" borderId="850" xfId="97" applyNumberFormat="1" applyFont="1" applyFill="1" applyBorder="1" applyAlignment="1" applyProtection="1">
      <alignment horizontal="center" vertical="center"/>
      <protection locked="0"/>
    </xf>
    <xf numFmtId="41" fontId="50" fillId="60" borderId="863" xfId="97" applyNumberFormat="1" applyFont="1" applyFill="1" applyBorder="1" applyAlignment="1" applyProtection="1">
      <alignment horizontal="center" vertical="center"/>
      <protection locked="0"/>
    </xf>
    <xf numFmtId="41" fontId="49" fillId="60" borderId="848" xfId="97" applyNumberFormat="1" applyFont="1" applyFill="1" applyBorder="1" applyAlignment="1" applyProtection="1">
      <alignment horizontal="center" vertical="center"/>
      <protection locked="0"/>
    </xf>
    <xf numFmtId="41" fontId="49" fillId="60" borderId="849" xfId="97" applyNumberFormat="1" applyFont="1" applyFill="1" applyBorder="1" applyAlignment="1" applyProtection="1">
      <alignment horizontal="center" vertical="center"/>
      <protection locked="0"/>
    </xf>
    <xf numFmtId="41" fontId="49" fillId="60" borderId="850" xfId="97" applyNumberFormat="1" applyFont="1" applyFill="1" applyBorder="1" applyAlignment="1" applyProtection="1">
      <alignment horizontal="center" vertical="center"/>
      <protection locked="0"/>
    </xf>
    <xf numFmtId="41" fontId="49" fillId="60" borderId="863" xfId="97" applyNumberFormat="1" applyFont="1" applyFill="1" applyBorder="1" applyAlignment="1" applyProtection="1">
      <alignment horizontal="center" vertical="center"/>
      <protection locked="0"/>
    </xf>
    <xf numFmtId="41" fontId="50" fillId="60" borderId="868" xfId="97" applyNumberFormat="1" applyFont="1" applyFill="1" applyBorder="1" applyAlignment="1" applyProtection="1">
      <alignment horizontal="center" vertical="center"/>
      <protection locked="0"/>
    </xf>
    <xf numFmtId="41" fontId="50" fillId="60" borderId="869" xfId="97" applyNumberFormat="1" applyFont="1" applyFill="1" applyBorder="1" applyAlignment="1" applyProtection="1">
      <alignment horizontal="center" vertical="center"/>
      <protection locked="0"/>
    </xf>
    <xf numFmtId="41" fontId="50" fillId="60" borderId="870" xfId="97" applyNumberFormat="1" applyFont="1" applyFill="1" applyBorder="1" applyAlignment="1" applyProtection="1">
      <alignment horizontal="center" vertical="center"/>
      <protection locked="0"/>
    </xf>
    <xf numFmtId="41" fontId="50" fillId="60" borderId="871" xfId="97" applyNumberFormat="1" applyFont="1" applyFill="1" applyBorder="1" applyAlignment="1" applyProtection="1">
      <alignment horizontal="center" vertical="center"/>
      <protection locked="0"/>
    </xf>
    <xf numFmtId="187" fontId="49" fillId="0" borderId="872" xfId="97" applyNumberFormat="1" applyFont="1" applyFill="1" applyBorder="1" applyAlignment="1">
      <alignment vertical="center"/>
    </xf>
    <xf numFmtId="41" fontId="49" fillId="0" borderId="873" xfId="97" applyNumberFormat="1" applyFont="1" applyFill="1" applyBorder="1" applyAlignment="1">
      <alignment vertical="center"/>
    </xf>
    <xf numFmtId="194" fontId="49" fillId="0" borderId="872" xfId="97" applyNumberFormat="1" applyFont="1" applyFill="1" applyBorder="1" applyAlignment="1">
      <alignment horizontal="center" vertical="center"/>
    </xf>
    <xf numFmtId="41" fontId="49" fillId="0" borderId="872" xfId="97" quotePrefix="1" applyNumberFormat="1" applyFont="1" applyFill="1" applyBorder="1" applyAlignment="1">
      <alignment vertical="center"/>
    </xf>
    <xf numFmtId="41" fontId="49" fillId="0" borderId="328" xfId="97" applyNumberFormat="1" applyFont="1" applyFill="1" applyBorder="1" applyAlignment="1">
      <alignment horizontal="center" vertical="center"/>
    </xf>
    <xf numFmtId="41" fontId="49" fillId="0" borderId="115" xfId="97" applyNumberFormat="1" applyFont="1" applyFill="1" applyBorder="1" applyAlignment="1">
      <alignment horizontal="center" vertical="center"/>
    </xf>
    <xf numFmtId="41" fontId="56" fillId="0" borderId="851" xfId="1" applyFont="1" applyFill="1" applyBorder="1" applyAlignment="1">
      <alignment vertical="center"/>
    </xf>
    <xf numFmtId="41" fontId="56" fillId="0" borderId="843" xfId="1" applyFont="1" applyFill="1" applyBorder="1" applyAlignment="1">
      <alignment vertical="center"/>
    </xf>
    <xf numFmtId="41" fontId="56" fillId="0" borderId="717" xfId="1" applyFont="1" applyFill="1" applyBorder="1" applyAlignment="1">
      <alignment vertical="center"/>
    </xf>
    <xf numFmtId="185" fontId="49" fillId="0" borderId="875" xfId="97" applyNumberFormat="1" applyFont="1" applyFill="1" applyBorder="1" applyAlignment="1">
      <alignment horizontal="center" vertical="center"/>
    </xf>
    <xf numFmtId="41" fontId="49" fillId="0" borderId="876" xfId="97" applyNumberFormat="1" applyFont="1" applyFill="1" applyBorder="1" applyAlignment="1">
      <alignment vertical="center"/>
    </xf>
    <xf numFmtId="41" fontId="49" fillId="0" borderId="875" xfId="97" applyNumberFormat="1" applyFont="1" applyFill="1" applyBorder="1" applyAlignment="1">
      <alignment horizontal="center" vertical="center"/>
    </xf>
    <xf numFmtId="14" fontId="49" fillId="0" borderId="4" xfId="3" quotePrefix="1" applyNumberFormat="1" applyFont="1" applyFill="1" applyBorder="1" applyAlignment="1">
      <alignment horizontal="center" vertical="center"/>
    </xf>
    <xf numFmtId="0" fontId="61" fillId="0" borderId="0" xfId="0" applyFont="1">
      <alignment vertical="center"/>
    </xf>
    <xf numFmtId="0" fontId="61" fillId="0" borderId="0" xfId="0" applyFont="1" applyFill="1">
      <alignment vertical="center"/>
    </xf>
    <xf numFmtId="41" fontId="61" fillId="0" borderId="0" xfId="0" applyNumberFormat="1" applyFont="1" applyFill="1">
      <alignment vertical="center"/>
    </xf>
    <xf numFmtId="43" fontId="61" fillId="0" borderId="0" xfId="0" applyNumberFormat="1" applyFont="1" applyFill="1">
      <alignment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 indent="6"/>
    </xf>
    <xf numFmtId="0" fontId="61" fillId="0" borderId="0" xfId="0" quotePrefix="1" applyFont="1" applyAlignment="1">
      <alignment horizontal="left" vertical="center"/>
    </xf>
    <xf numFmtId="0" fontId="60" fillId="0" borderId="0" xfId="0" quotePrefix="1" applyFont="1" applyAlignment="1">
      <alignment horizontal="right" vertical="center"/>
    </xf>
    <xf numFmtId="0" fontId="61" fillId="0" borderId="0" xfId="0" applyFont="1" applyAlignment="1">
      <alignment horizontal="left" vertical="center"/>
    </xf>
    <xf numFmtId="0" fontId="147" fillId="26" borderId="0" xfId="0" applyFont="1" applyFill="1" applyAlignment="1">
      <alignment horizontal="center" vertical="center"/>
    </xf>
    <xf numFmtId="0" fontId="60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indent="4"/>
    </xf>
    <xf numFmtId="0" fontId="61" fillId="0" borderId="0" xfId="0" quotePrefix="1" applyFont="1" applyAlignment="1">
      <alignment horizontal="right" vertical="center"/>
    </xf>
    <xf numFmtId="41" fontId="61" fillId="0" borderId="0" xfId="0" applyNumberFormat="1" applyFont="1">
      <alignment vertical="center"/>
    </xf>
    <xf numFmtId="41" fontId="61" fillId="0" borderId="0" xfId="0" quotePrefix="1" applyNumberFormat="1" applyFont="1" applyAlignment="1">
      <alignment horizontal="right" vertical="center"/>
    </xf>
    <xf numFmtId="0" fontId="60" fillId="0" borderId="0" xfId="0" applyFont="1">
      <alignment vertical="center"/>
    </xf>
    <xf numFmtId="41" fontId="146" fillId="26" borderId="0" xfId="0" applyNumberFormat="1" applyFont="1" applyFill="1">
      <alignment vertical="center"/>
    </xf>
    <xf numFmtId="0" fontId="147" fillId="0" borderId="0" xfId="0" applyFont="1" applyFill="1" applyAlignment="1">
      <alignment horizontal="center" vertical="center"/>
    </xf>
    <xf numFmtId="0" fontId="61" fillId="0" borderId="0" xfId="0" quotePrefix="1" applyFont="1" applyAlignment="1">
      <alignment horizontal="center" vertical="center"/>
    </xf>
    <xf numFmtId="0" fontId="147" fillId="0" borderId="0" xfId="0" quotePrefix="1" applyFont="1" applyAlignment="1">
      <alignment horizontal="center" vertical="center"/>
    </xf>
    <xf numFmtId="41" fontId="61" fillId="0" borderId="0" xfId="0" applyNumberFormat="1" applyFont="1" applyAlignment="1">
      <alignment horizontal="center" vertical="center"/>
    </xf>
    <xf numFmtId="41" fontId="147" fillId="0" borderId="0" xfId="0" applyNumberFormat="1" applyFont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137" fillId="66" borderId="0" xfId="0" quotePrefix="1" applyFont="1" applyFill="1" applyBorder="1" applyAlignment="1">
      <alignment horizontal="left" vertical="center"/>
    </xf>
    <xf numFmtId="0" fontId="61" fillId="0" borderId="0" xfId="0" applyFont="1" applyBorder="1">
      <alignment vertical="center"/>
    </xf>
    <xf numFmtId="43" fontId="61" fillId="0" borderId="0" xfId="0" applyNumberFormat="1" applyFont="1" applyAlignment="1">
      <alignment horizontal="center" vertical="center"/>
    </xf>
    <xf numFmtId="200" fontId="90" fillId="0" borderId="0" xfId="3" applyNumberFormat="1" applyFont="1" applyAlignment="1">
      <alignment vertical="center"/>
    </xf>
    <xf numFmtId="186" fontId="67" fillId="0" borderId="0" xfId="359" applyNumberFormat="1" applyFont="1" applyAlignment="1">
      <alignment horizontal="center" vertical="center"/>
    </xf>
    <xf numFmtId="200" fontId="67" fillId="0" borderId="0" xfId="359" applyFont="1" applyAlignment="1">
      <alignment horizontal="center" vertical="center"/>
    </xf>
    <xf numFmtId="188" fontId="67" fillId="0" borderId="0" xfId="359" applyNumberFormat="1" applyFont="1" applyAlignment="1">
      <alignment horizontal="center" vertical="center"/>
    </xf>
    <xf numFmtId="200" fontId="48" fillId="0" borderId="0" xfId="3" applyNumberFormat="1" applyFont="1" applyAlignment="1">
      <alignment vertical="center"/>
    </xf>
    <xf numFmtId="186" fontId="66" fillId="59" borderId="901" xfId="359" applyNumberFormat="1" applyFont="1" applyFill="1" applyBorder="1" applyAlignment="1">
      <alignment horizontal="center" vertical="center"/>
    </xf>
    <xf numFmtId="200" fontId="66" fillId="59" borderId="902" xfId="359" applyFont="1" applyFill="1" applyBorder="1" applyAlignment="1">
      <alignment horizontal="center" vertical="center"/>
    </xf>
    <xf numFmtId="186" fontId="66" fillId="59" borderId="903" xfId="359" applyNumberFormat="1" applyFont="1" applyFill="1" applyBorder="1" applyAlignment="1">
      <alignment horizontal="center" vertical="center"/>
    </xf>
    <xf numFmtId="186" fontId="66" fillId="59" borderId="904" xfId="359" applyNumberFormat="1" applyFont="1" applyFill="1" applyBorder="1" applyAlignment="1">
      <alignment horizontal="center" vertical="center"/>
    </xf>
    <xf numFmtId="186" fontId="66" fillId="59" borderId="905" xfId="359" applyNumberFormat="1" applyFont="1" applyFill="1" applyBorder="1" applyAlignment="1">
      <alignment horizontal="center" vertical="center"/>
    </xf>
    <xf numFmtId="186" fontId="66" fillId="59" borderId="906" xfId="359" applyNumberFormat="1" applyFont="1" applyFill="1" applyBorder="1" applyAlignment="1">
      <alignment horizontal="center" vertical="center"/>
    </xf>
    <xf numFmtId="0" fontId="66" fillId="60" borderId="189" xfId="177" applyFont="1" applyFill="1" applyBorder="1" applyAlignment="1">
      <alignment horizontal="center" vertical="center"/>
    </xf>
    <xf numFmtId="186" fontId="67" fillId="60" borderId="190" xfId="359" applyNumberFormat="1" applyFont="1" applyFill="1" applyBorder="1" applyAlignment="1">
      <alignment horizontal="center" vertical="center"/>
    </xf>
    <xf numFmtId="200" fontId="67" fillId="60" borderId="191" xfId="359" applyFont="1" applyFill="1" applyBorder="1" applyAlignment="1">
      <alignment horizontal="center" vertical="center"/>
    </xf>
    <xf numFmtId="186" fontId="67" fillId="60" borderId="192" xfId="359" applyNumberFormat="1" applyFont="1" applyFill="1" applyBorder="1" applyAlignment="1">
      <alignment horizontal="center" vertical="center"/>
    </xf>
    <xf numFmtId="186" fontId="67" fillId="60" borderId="193" xfId="359" applyNumberFormat="1" applyFont="1" applyFill="1" applyBorder="1" applyAlignment="1">
      <alignment horizontal="center" vertical="center"/>
    </xf>
    <xf numFmtId="186" fontId="67" fillId="60" borderId="194" xfId="359" applyNumberFormat="1" applyFont="1" applyFill="1" applyBorder="1" applyAlignment="1">
      <alignment horizontal="center" vertical="center"/>
    </xf>
    <xf numFmtId="186" fontId="67" fillId="60" borderId="195" xfId="359" applyNumberFormat="1" applyFont="1" applyFill="1" applyBorder="1" applyAlignment="1">
      <alignment horizontal="center" vertical="center"/>
    </xf>
    <xf numFmtId="186" fontId="67" fillId="0" borderId="896" xfId="359" applyNumberFormat="1" applyFont="1" applyBorder="1" applyAlignment="1">
      <alignment horizontal="center" vertical="center"/>
    </xf>
    <xf numFmtId="200" fontId="67" fillId="0" borderId="756" xfId="359" applyFont="1" applyBorder="1" applyAlignment="1">
      <alignment horizontal="center" vertical="center"/>
    </xf>
    <xf numFmtId="186" fontId="67" fillId="0" borderId="894" xfId="359" applyNumberFormat="1" applyFont="1" applyBorder="1" applyAlignment="1">
      <alignment horizontal="center" vertical="center"/>
    </xf>
    <xf numFmtId="186" fontId="67" fillId="0" borderId="893" xfId="359" applyNumberFormat="1" applyFont="1" applyBorder="1" applyAlignment="1">
      <alignment horizontal="center" vertical="center"/>
    </xf>
    <xf numFmtId="186" fontId="67" fillId="0" borderId="895" xfId="359" applyNumberFormat="1" applyFont="1" applyBorder="1" applyAlignment="1">
      <alignment horizontal="center" vertical="center"/>
    </xf>
    <xf numFmtId="186" fontId="67" fillId="0" borderId="907" xfId="359" applyNumberFormat="1" applyFont="1" applyBorder="1" applyAlignment="1">
      <alignment horizontal="center" vertical="center"/>
    </xf>
    <xf numFmtId="200" fontId="67" fillId="0" borderId="908" xfId="359" applyFont="1" applyBorder="1" applyAlignment="1">
      <alignment horizontal="center" vertical="center"/>
    </xf>
    <xf numFmtId="186" fontId="67" fillId="0" borderId="909" xfId="359" applyNumberFormat="1" applyFont="1" applyBorder="1" applyAlignment="1">
      <alignment horizontal="center" vertical="center"/>
    </xf>
    <xf numFmtId="186" fontId="67" fillId="0" borderId="886" xfId="359" applyNumberFormat="1" applyFont="1" applyBorder="1" applyAlignment="1">
      <alignment horizontal="center" vertical="center"/>
    </xf>
    <xf numFmtId="200" fontId="67" fillId="0" borderId="897" xfId="359" applyFont="1" applyBorder="1" applyAlignment="1">
      <alignment horizontal="center" vertical="center"/>
    </xf>
    <xf numFmtId="186" fontId="67" fillId="0" borderId="887" xfId="359" applyNumberFormat="1" applyFont="1" applyBorder="1" applyAlignment="1">
      <alignment horizontal="center" vertical="center"/>
    </xf>
    <xf numFmtId="186" fontId="67" fillId="0" borderId="888" xfId="359" applyNumberFormat="1" applyFont="1" applyBorder="1" applyAlignment="1">
      <alignment horizontal="center" vertical="center"/>
    </xf>
    <xf numFmtId="200" fontId="67" fillId="0" borderId="889" xfId="359" applyFont="1" applyBorder="1" applyAlignment="1">
      <alignment horizontal="center" vertical="center"/>
    </xf>
    <xf numFmtId="186" fontId="67" fillId="0" borderId="910" xfId="359" applyNumberFormat="1" applyFont="1" applyBorder="1" applyAlignment="1">
      <alignment horizontal="center" vertical="center"/>
    </xf>
    <xf numFmtId="186" fontId="67" fillId="0" borderId="795" xfId="359" applyNumberFormat="1" applyFont="1" applyBorder="1" applyAlignment="1">
      <alignment horizontal="center" vertical="center"/>
    </xf>
    <xf numFmtId="200" fontId="67" fillId="0" borderId="861" xfId="359" applyFont="1" applyBorder="1" applyAlignment="1">
      <alignment horizontal="center" vertical="center"/>
    </xf>
    <xf numFmtId="186" fontId="67" fillId="0" borderId="860" xfId="359" applyNumberFormat="1" applyFont="1" applyBorder="1" applyAlignment="1">
      <alignment horizontal="center" vertical="center"/>
    </xf>
    <xf numFmtId="186" fontId="67" fillId="0" borderId="842" xfId="359" applyNumberFormat="1" applyFont="1" applyBorder="1" applyAlignment="1">
      <alignment horizontal="center" vertical="center"/>
    </xf>
    <xf numFmtId="186" fontId="67" fillId="0" borderId="862" xfId="359" applyNumberFormat="1" applyFont="1" applyBorder="1" applyAlignment="1">
      <alignment horizontal="center" vertical="center"/>
    </xf>
    <xf numFmtId="186" fontId="67" fillId="0" borderId="911" xfId="359" applyNumberFormat="1" applyFont="1" applyBorder="1" applyAlignment="1">
      <alignment horizontal="center" vertical="center"/>
    </xf>
    <xf numFmtId="200" fontId="67" fillId="0" borderId="0" xfId="177" applyNumberFormat="1" applyFont="1" applyFill="1" applyAlignment="1">
      <alignment horizontal="center" vertical="center"/>
    </xf>
    <xf numFmtId="186" fontId="66" fillId="61" borderId="685" xfId="359" applyNumberFormat="1" applyFont="1" applyFill="1" applyBorder="1" applyAlignment="1">
      <alignment horizontal="center" vertical="center"/>
    </xf>
    <xf numFmtId="200" fontId="66" fillId="61" borderId="686" xfId="359" applyFont="1" applyFill="1" applyBorder="1" applyAlignment="1">
      <alignment horizontal="center" vertical="center"/>
    </xf>
    <xf numFmtId="186" fontId="66" fillId="61" borderId="687" xfId="359" applyNumberFormat="1" applyFont="1" applyFill="1" applyBorder="1" applyAlignment="1">
      <alignment horizontal="center" vertical="center"/>
    </xf>
    <xf numFmtId="186" fontId="66" fillId="61" borderId="688" xfId="359" applyNumberFormat="1" applyFont="1" applyFill="1" applyBorder="1" applyAlignment="1">
      <alignment horizontal="center" vertical="center"/>
    </xf>
    <xf numFmtId="186" fontId="66" fillId="61" borderId="689" xfId="359" applyNumberFormat="1" applyFont="1" applyFill="1" applyBorder="1" applyAlignment="1">
      <alignment horizontal="center" vertical="center"/>
    </xf>
    <xf numFmtId="186" fontId="66" fillId="61" borderId="690" xfId="359" applyNumberFormat="1" applyFont="1" applyFill="1" applyBorder="1" applyAlignment="1">
      <alignment horizontal="center" vertical="center"/>
    </xf>
    <xf numFmtId="199" fontId="67" fillId="0" borderId="0" xfId="177" applyNumberFormat="1" applyFont="1" applyAlignment="1">
      <alignment horizontal="center" vertical="center"/>
    </xf>
    <xf numFmtId="186" fontId="67" fillId="0" borderId="692" xfId="359" applyNumberFormat="1" applyFont="1" applyBorder="1" applyAlignment="1">
      <alignment horizontal="center" vertical="center"/>
    </xf>
    <xf numFmtId="199" fontId="67" fillId="0" borderId="0" xfId="177" applyNumberFormat="1" applyFont="1" applyFill="1" applyAlignment="1">
      <alignment horizontal="center" vertical="center"/>
    </xf>
    <xf numFmtId="186" fontId="67" fillId="0" borderId="890" xfId="359" applyNumberFormat="1" applyFont="1" applyBorder="1" applyAlignment="1">
      <alignment horizontal="center" vertical="center"/>
    </xf>
    <xf numFmtId="200" fontId="67" fillId="0" borderId="66" xfId="359" applyFont="1" applyBorder="1" applyAlignment="1">
      <alignment horizontal="center" vertical="center"/>
    </xf>
    <xf numFmtId="186" fontId="67" fillId="0" borderId="884" xfId="359" applyNumberFormat="1" applyFont="1" applyBorder="1" applyAlignment="1">
      <alignment horizontal="center" vertical="center"/>
    </xf>
    <xf numFmtId="186" fontId="67" fillId="0" borderId="891" xfId="359" applyNumberFormat="1" applyFont="1" applyBorder="1" applyAlignment="1">
      <alignment horizontal="center" vertical="center"/>
    </xf>
    <xf numFmtId="186" fontId="67" fillId="0" borderId="885" xfId="359" applyNumberFormat="1" applyFont="1" applyBorder="1" applyAlignment="1">
      <alignment horizontal="center" vertical="center"/>
    </xf>
    <xf numFmtId="186" fontId="67" fillId="0" borderId="196" xfId="359" applyNumberFormat="1" applyFont="1" applyBorder="1" applyAlignment="1">
      <alignment horizontal="center" vertical="center"/>
    </xf>
    <xf numFmtId="186" fontId="67" fillId="0" borderId="878" xfId="359" applyNumberFormat="1" applyFont="1" applyBorder="1" applyAlignment="1">
      <alignment horizontal="center" vertical="center"/>
    </xf>
    <xf numFmtId="200" fontId="67" fillId="0" borderId="898" xfId="359" applyFont="1" applyBorder="1" applyAlignment="1">
      <alignment horizontal="center" vertical="center"/>
    </xf>
    <xf numFmtId="186" fontId="67" fillId="0" borderId="879" xfId="359" applyNumberFormat="1" applyFont="1" applyBorder="1" applyAlignment="1">
      <alignment horizontal="center" vertical="center"/>
    </xf>
    <xf numFmtId="186" fontId="67" fillId="0" borderId="880" xfId="359" applyNumberFormat="1" applyFont="1" applyBorder="1" applyAlignment="1">
      <alignment horizontal="center" vertical="center"/>
    </xf>
    <xf numFmtId="186" fontId="67" fillId="0" borderId="881" xfId="359" applyNumberFormat="1" applyFont="1" applyBorder="1" applyAlignment="1">
      <alignment horizontal="center" vertical="center"/>
    </xf>
    <xf numFmtId="186" fontId="67" fillId="0" borderId="913" xfId="359" applyNumberFormat="1" applyFont="1" applyBorder="1" applyAlignment="1">
      <alignment horizontal="center" vertical="center"/>
    </xf>
    <xf numFmtId="186" fontId="67" fillId="0" borderId="692" xfId="359" applyNumberFormat="1" applyFont="1" applyFill="1" applyBorder="1" applyAlignment="1">
      <alignment horizontal="center" vertical="center"/>
    </xf>
    <xf numFmtId="186" fontId="67" fillId="0" borderId="196" xfId="359" applyNumberFormat="1" applyFont="1" applyFill="1" applyBorder="1" applyAlignment="1">
      <alignment horizontal="center" vertical="center"/>
    </xf>
    <xf numFmtId="0" fontId="10" fillId="0" borderId="0" xfId="360" applyFill="1"/>
    <xf numFmtId="186" fontId="67" fillId="0" borderId="889" xfId="359" applyNumberFormat="1" applyFont="1" applyBorder="1" applyAlignment="1">
      <alignment horizontal="center" vertical="center"/>
    </xf>
    <xf numFmtId="186" fontId="67" fillId="0" borderId="910" xfId="359" applyNumberFormat="1" applyFont="1" applyFill="1" applyBorder="1" applyAlignment="1">
      <alignment horizontal="center" vertical="center"/>
    </xf>
    <xf numFmtId="186" fontId="67" fillId="0" borderId="913" xfId="359" applyNumberFormat="1" applyFont="1" applyFill="1" applyBorder="1" applyAlignment="1">
      <alignment horizontal="center" vertical="center"/>
    </xf>
    <xf numFmtId="186" fontId="66" fillId="0" borderId="0" xfId="359" applyNumberFormat="1" applyFont="1" applyAlignment="1">
      <alignment horizontal="center" vertical="center"/>
    </xf>
    <xf numFmtId="0" fontId="66" fillId="0" borderId="0" xfId="177" applyFont="1" applyFill="1" applyAlignment="1">
      <alignment horizontal="center" vertical="center"/>
    </xf>
    <xf numFmtId="0" fontId="66" fillId="26" borderId="914" xfId="177" applyFont="1" applyFill="1" applyBorder="1" applyAlignment="1">
      <alignment horizontal="center" vertical="center"/>
    </xf>
    <xf numFmtId="186" fontId="66" fillId="26" borderId="753" xfId="359" applyNumberFormat="1" applyFont="1" applyFill="1" applyBorder="1" applyAlignment="1">
      <alignment horizontal="center" vertical="center"/>
    </xf>
    <xf numFmtId="200" fontId="66" fillId="26" borderId="750" xfId="359" applyFont="1" applyFill="1" applyBorder="1" applyAlignment="1">
      <alignment horizontal="center" vertical="center"/>
    </xf>
    <xf numFmtId="186" fontId="66" fillId="26" borderId="751" xfId="359" applyNumberFormat="1" applyFont="1" applyFill="1" applyBorder="1" applyAlignment="1">
      <alignment horizontal="center" vertical="center"/>
    </xf>
    <xf numFmtId="186" fontId="66" fillId="26" borderId="749" xfId="359" applyNumberFormat="1" applyFont="1" applyFill="1" applyBorder="1" applyAlignment="1">
      <alignment horizontal="center" vertical="center"/>
    </xf>
    <xf numFmtId="186" fontId="66" fillId="26" borderId="752" xfId="359" applyNumberFormat="1" applyFont="1" applyFill="1" applyBorder="1" applyAlignment="1">
      <alignment horizontal="center" vertical="center"/>
    </xf>
    <xf numFmtId="186" fontId="66" fillId="26" borderId="754" xfId="359" applyNumberFormat="1" applyFont="1" applyFill="1" applyBorder="1" applyAlignment="1">
      <alignment horizontal="center" vertical="center"/>
    </xf>
    <xf numFmtId="0" fontId="66" fillId="0" borderId="0" xfId="177" applyFont="1" applyAlignment="1">
      <alignment horizontal="left" vertical="center"/>
    </xf>
    <xf numFmtId="200" fontId="66" fillId="0" borderId="0" xfId="359" applyFont="1" applyAlignment="1">
      <alignment horizontal="center" vertical="center"/>
    </xf>
    <xf numFmtId="186" fontId="67" fillId="0" borderId="892" xfId="359" applyNumberFormat="1" applyFont="1" applyBorder="1" applyAlignment="1">
      <alignment horizontal="center" vertical="center"/>
    </xf>
    <xf numFmtId="43" fontId="66" fillId="0" borderId="892" xfId="177" applyNumberFormat="1" applyFont="1" applyFill="1" applyBorder="1" applyAlignment="1">
      <alignment vertical="center"/>
    </xf>
    <xf numFmtId="43" fontId="66" fillId="0" borderId="892" xfId="177" applyNumberFormat="1" applyFont="1" applyFill="1" applyBorder="1" applyAlignment="1">
      <alignment horizontal="center" vertical="center"/>
    </xf>
    <xf numFmtId="43" fontId="66" fillId="0" borderId="0" xfId="177" applyNumberFormat="1" applyFont="1" applyFill="1" applyAlignment="1">
      <alignment horizontal="center" vertical="center"/>
    </xf>
    <xf numFmtId="199" fontId="66" fillId="0" borderId="0" xfId="177" applyNumberFormat="1" applyFont="1" applyFill="1" applyAlignment="1">
      <alignment horizontal="center" vertical="center"/>
    </xf>
    <xf numFmtId="44" fontId="66" fillId="0" borderId="0" xfId="177" applyNumberFormat="1" applyFont="1" applyFill="1" applyAlignment="1">
      <alignment horizontal="center" vertical="center"/>
    </xf>
    <xf numFmtId="41" fontId="49" fillId="0" borderId="892" xfId="3" quotePrefix="1" applyNumberFormat="1" applyFont="1" applyFill="1" applyBorder="1" applyAlignment="1" applyProtection="1">
      <alignment horizontal="center" vertical="center"/>
      <protection locked="0"/>
    </xf>
    <xf numFmtId="41" fontId="49" fillId="0" borderId="892" xfId="3" applyNumberFormat="1" applyFont="1" applyFill="1" applyBorder="1" applyAlignment="1" applyProtection="1">
      <alignment horizontal="center" vertical="center"/>
      <protection locked="0"/>
    </xf>
    <xf numFmtId="41" fontId="50" fillId="0" borderId="892" xfId="3" applyNumberFormat="1" applyFont="1" applyFill="1" applyBorder="1" applyAlignment="1" applyProtection="1">
      <alignment horizontal="center" vertical="center"/>
      <protection locked="0"/>
    </xf>
    <xf numFmtId="41" fontId="49" fillId="0" borderId="844" xfId="3" applyNumberFormat="1" applyFont="1" applyFill="1" applyBorder="1" applyAlignment="1">
      <alignment horizontal="center" vertical="center"/>
    </xf>
    <xf numFmtId="41" fontId="49" fillId="0" borderId="846" xfId="3" applyNumberFormat="1" applyFont="1" applyFill="1" applyBorder="1" applyAlignment="1">
      <alignment horizontal="left" vertical="center"/>
    </xf>
    <xf numFmtId="14" fontId="49" fillId="0" borderId="49" xfId="3" applyNumberFormat="1" applyFont="1" applyFill="1" applyBorder="1" applyAlignment="1">
      <alignment horizontal="center" vertical="center"/>
    </xf>
    <xf numFmtId="41" fontId="49" fillId="0" borderId="918" xfId="97" applyNumberFormat="1" applyFont="1" applyFill="1" applyBorder="1" applyAlignment="1">
      <alignment horizontal="center" vertical="center"/>
    </xf>
    <xf numFmtId="14" fontId="49" fillId="0" borderId="846" xfId="97" applyNumberFormat="1" applyFont="1" applyFill="1" applyBorder="1" applyAlignment="1">
      <alignment horizontal="center" vertical="center"/>
    </xf>
    <xf numFmtId="41" fontId="49" fillId="0" borderId="872" xfId="97" applyNumberFormat="1" applyFont="1" applyFill="1" applyBorder="1" applyAlignment="1">
      <alignment horizontal="right" vertical="center"/>
    </xf>
    <xf numFmtId="41" fontId="49" fillId="0" borderId="845" xfId="97" applyNumberFormat="1" applyFont="1" applyFill="1" applyBorder="1" applyAlignment="1">
      <alignment horizontal="right" vertical="center"/>
    </xf>
    <xf numFmtId="41" fontId="49" fillId="0" borderId="920" xfId="97" applyNumberFormat="1" applyFont="1" applyFill="1" applyBorder="1" applyAlignment="1">
      <alignment horizontal="center" vertical="center"/>
    </xf>
    <xf numFmtId="41" fontId="49" fillId="0" borderId="921" xfId="97" applyNumberFormat="1" applyFont="1" applyFill="1" applyBorder="1" applyAlignment="1">
      <alignment horizontal="center" vertical="center"/>
    </xf>
    <xf numFmtId="41" fontId="57" fillId="0" borderId="919" xfId="97" applyNumberFormat="1" applyFont="1" applyFill="1" applyBorder="1" applyAlignment="1" applyProtection="1">
      <alignment vertical="center"/>
      <protection locked="0"/>
    </xf>
    <xf numFmtId="194" fontId="49" fillId="0" borderId="924" xfId="97" applyNumberFormat="1" applyFont="1" applyFill="1" applyBorder="1" applyAlignment="1">
      <alignment horizontal="center" vertical="center"/>
    </xf>
    <xf numFmtId="194" fontId="49" fillId="0" borderId="926" xfId="97" applyNumberFormat="1" applyFont="1" applyFill="1" applyBorder="1" applyAlignment="1">
      <alignment horizontal="center" vertical="center"/>
    </xf>
    <xf numFmtId="41" fontId="49" fillId="0" borderId="926" xfId="97" applyNumberFormat="1" applyFont="1" applyFill="1" applyBorder="1" applyAlignment="1">
      <alignment horizontal="center" vertical="center"/>
    </xf>
    <xf numFmtId="193" fontId="49" fillId="0" borderId="927" xfId="2" applyNumberFormat="1" applyFont="1" applyFill="1" applyBorder="1" applyAlignment="1">
      <alignment vertical="center"/>
    </xf>
    <xf numFmtId="41" fontId="49" fillId="0" borderId="931" xfId="97" applyNumberFormat="1" applyFont="1" applyFill="1" applyBorder="1" applyAlignment="1">
      <alignment horizontal="right" vertical="center"/>
    </xf>
    <xf numFmtId="41" fontId="50" fillId="0" borderId="933" xfId="97" applyNumberFormat="1" applyFont="1" applyFill="1" applyBorder="1" applyAlignment="1">
      <alignment horizontal="center" vertical="center"/>
    </xf>
    <xf numFmtId="41" fontId="50" fillId="0" borderId="934" xfId="97" applyNumberFormat="1" applyFont="1" applyFill="1" applyBorder="1" applyAlignment="1">
      <alignment horizontal="center" vertical="center"/>
    </xf>
    <xf numFmtId="41" fontId="50" fillId="0" borderId="935" xfId="97" applyNumberFormat="1" applyFont="1" applyFill="1" applyBorder="1" applyAlignment="1">
      <alignment horizontal="center" vertical="center"/>
    </xf>
    <xf numFmtId="41" fontId="50" fillId="0" borderId="936" xfId="97" applyNumberFormat="1" applyFont="1" applyFill="1" applyBorder="1" applyAlignment="1">
      <alignment horizontal="center" vertical="center"/>
    </xf>
    <xf numFmtId="41" fontId="50" fillId="0" borderId="937" xfId="97" applyNumberFormat="1" applyFont="1" applyFill="1" applyBorder="1" applyAlignment="1">
      <alignment horizontal="center" vertical="center"/>
    </xf>
    <xf numFmtId="41" fontId="50" fillId="0" borderId="938" xfId="97" applyNumberFormat="1" applyFont="1" applyFill="1" applyBorder="1" applyAlignment="1">
      <alignment horizontal="center" vertical="center"/>
    </xf>
    <xf numFmtId="41" fontId="50" fillId="0" borderId="939" xfId="97" applyNumberFormat="1" applyFont="1" applyFill="1" applyBorder="1" applyAlignment="1">
      <alignment horizontal="center" vertical="center"/>
    </xf>
    <xf numFmtId="41" fontId="49" fillId="0" borderId="942" xfId="97" applyNumberFormat="1" applyFont="1" applyFill="1" applyBorder="1" applyAlignment="1">
      <alignment horizontal="right" vertical="center"/>
    </xf>
    <xf numFmtId="41" fontId="49" fillId="0" borderId="943" xfId="97" applyNumberFormat="1" applyFont="1" applyFill="1" applyBorder="1" applyAlignment="1">
      <alignment horizontal="center" vertical="center"/>
    </xf>
    <xf numFmtId="41" fontId="50" fillId="0" borderId="597" xfId="97" applyNumberFormat="1" applyFont="1" applyFill="1" applyBorder="1" applyAlignment="1">
      <alignment vertical="center"/>
    </xf>
    <xf numFmtId="41" fontId="50" fillId="0" borderId="945" xfId="97" applyNumberFormat="1" applyFont="1" applyFill="1" applyBorder="1" applyAlignment="1">
      <alignment horizontal="center" vertical="center"/>
    </xf>
    <xf numFmtId="41" fontId="50" fillId="0" borderId="945" xfId="97" applyNumberFormat="1" applyFont="1" applyFill="1" applyBorder="1" applyAlignment="1">
      <alignment horizontal="center" vertical="center" wrapText="1"/>
    </xf>
    <xf numFmtId="41" fontId="50" fillId="0" borderId="944" xfId="97" applyNumberFormat="1" applyFont="1" applyFill="1" applyBorder="1" applyAlignment="1">
      <alignment horizontal="center" vertical="center" wrapText="1"/>
    </xf>
    <xf numFmtId="41" fontId="50" fillId="0" borderId="946" xfId="97" applyNumberFormat="1" applyFont="1" applyFill="1" applyBorder="1" applyAlignment="1">
      <alignment horizontal="center" vertical="center"/>
    </xf>
    <xf numFmtId="187" fontId="67" fillId="0" borderId="137" xfId="1" applyNumberFormat="1" applyFont="1" applyFill="1" applyBorder="1" applyAlignment="1">
      <alignment vertical="center"/>
    </xf>
    <xf numFmtId="41" fontId="67" fillId="0" borderId="137" xfId="1" applyFont="1" applyFill="1" applyBorder="1" applyAlignment="1">
      <alignment vertical="center"/>
    </xf>
    <xf numFmtId="187" fontId="67" fillId="0" borderId="693" xfId="1" applyNumberFormat="1" applyFont="1" applyFill="1" applyBorder="1" applyAlignment="1">
      <alignment vertical="center"/>
    </xf>
    <xf numFmtId="41" fontId="49" fillId="0" borderId="950" xfId="97" applyNumberFormat="1" applyFont="1" applyFill="1" applyBorder="1" applyAlignment="1">
      <alignment horizontal="center" vertical="center"/>
    </xf>
    <xf numFmtId="41" fontId="49" fillId="0" borderId="949" xfId="97" applyNumberFormat="1" applyFont="1" applyFill="1" applyBorder="1" applyAlignment="1">
      <alignment vertical="center"/>
    </xf>
    <xf numFmtId="41" fontId="49" fillId="0" borderId="948" xfId="97" applyNumberFormat="1" applyFont="1" applyFill="1" applyBorder="1" applyAlignment="1">
      <alignment horizontal="right" vertical="center"/>
    </xf>
    <xf numFmtId="41" fontId="49" fillId="0" borderId="951" xfId="97" applyNumberFormat="1" applyFont="1" applyFill="1" applyBorder="1" applyAlignment="1">
      <alignment horizontal="center" vertical="center"/>
    </xf>
    <xf numFmtId="41" fontId="49" fillId="0" borderId="952" xfId="97" applyNumberFormat="1" applyFont="1" applyFill="1" applyBorder="1" applyAlignment="1">
      <alignment vertical="center"/>
    </xf>
    <xf numFmtId="41" fontId="49" fillId="0" borderId="947" xfId="97" applyNumberFormat="1" applyFont="1" applyFill="1" applyBorder="1" applyAlignment="1">
      <alignment horizontal="right" vertical="center"/>
    </xf>
    <xf numFmtId="41" fontId="50" fillId="0" borderId="944" xfId="97" applyNumberFormat="1" applyFont="1" applyFill="1" applyBorder="1" applyAlignment="1">
      <alignment horizontal="center" vertical="center"/>
    </xf>
    <xf numFmtId="41" fontId="50" fillId="0" borderId="944" xfId="97" applyNumberFormat="1" applyFont="1" applyFill="1" applyBorder="1" applyAlignment="1">
      <alignment horizontal="right" vertical="center"/>
    </xf>
    <xf numFmtId="41" fontId="50" fillId="0" borderId="946" xfId="97" applyNumberFormat="1" applyFont="1" applyFill="1" applyBorder="1" applyAlignment="1">
      <alignment vertical="center"/>
    </xf>
    <xf numFmtId="194" fontId="49" fillId="0" borderId="949" xfId="97" applyNumberFormat="1" applyFont="1" applyFill="1" applyBorder="1" applyAlignment="1">
      <alignment vertical="center"/>
    </xf>
    <xf numFmtId="41" fontId="49" fillId="0" borderId="950" xfId="97" quotePrefix="1" applyNumberFormat="1" applyFont="1" applyFill="1" applyBorder="1" applyAlignment="1">
      <alignment horizontal="center" vertical="center"/>
    </xf>
    <xf numFmtId="194" fontId="49" fillId="0" borderId="949" xfId="97" applyNumberFormat="1" applyFont="1" applyFill="1" applyBorder="1" applyAlignment="1">
      <alignment horizontal="center" vertical="center"/>
    </xf>
    <xf numFmtId="194" fontId="49" fillId="0" borderId="952" xfId="97" applyNumberFormat="1" applyFont="1" applyFill="1" applyBorder="1" applyAlignment="1">
      <alignment vertical="center"/>
    </xf>
    <xf numFmtId="194" fontId="49" fillId="0" borderId="955" xfId="97" applyNumberFormat="1" applyFont="1" applyFill="1" applyBorder="1" applyAlignment="1">
      <alignment horizontal="center" vertical="center"/>
    </xf>
    <xf numFmtId="41" fontId="49" fillId="0" borderId="956" xfId="97" applyNumberFormat="1" applyFont="1" applyFill="1" applyBorder="1" applyAlignment="1">
      <alignment horizontal="center" vertical="center"/>
    </xf>
    <xf numFmtId="41" fontId="49" fillId="0" borderId="955" xfId="97" applyNumberFormat="1" applyFont="1" applyFill="1" applyBorder="1" applyAlignment="1">
      <alignment vertical="center"/>
    </xf>
    <xf numFmtId="41" fontId="49" fillId="0" borderId="957" xfId="97" applyNumberFormat="1" applyFont="1" applyFill="1" applyBorder="1" applyAlignment="1">
      <alignment horizontal="right" vertical="center"/>
    </xf>
    <xf numFmtId="41" fontId="49" fillId="0" borderId="844" xfId="97" applyNumberFormat="1" applyFont="1" applyFill="1" applyBorder="1" applyAlignment="1">
      <alignment horizontal="center" vertical="center"/>
    </xf>
    <xf numFmtId="41" fontId="49" fillId="0" borderId="844" xfId="97" quotePrefix="1" applyNumberFormat="1" applyFont="1" applyFill="1" applyBorder="1" applyAlignment="1">
      <alignment horizontal="center" vertical="center"/>
    </xf>
    <xf numFmtId="41" fontId="49" fillId="0" borderId="845" xfId="97" applyNumberFormat="1" applyFont="1" applyFill="1" applyBorder="1" applyAlignment="1">
      <alignment vertical="center"/>
    </xf>
    <xf numFmtId="41" fontId="49" fillId="0" borderId="845" xfId="97" applyNumberFormat="1" applyFont="1" applyFill="1" applyBorder="1" applyAlignment="1">
      <alignment horizontal="center" vertical="center"/>
    </xf>
    <xf numFmtId="194" fontId="49" fillId="0" borderId="845" xfId="97" applyNumberFormat="1" applyFont="1" applyFill="1" applyBorder="1" applyAlignment="1">
      <alignment vertical="center"/>
    </xf>
    <xf numFmtId="41" fontId="57" fillId="60" borderId="954" xfId="109" applyNumberFormat="1" applyFont="1" applyFill="1" applyBorder="1" applyAlignment="1">
      <alignment vertical="center"/>
    </xf>
    <xf numFmtId="41" fontId="56" fillId="0" borderId="961" xfId="109" applyNumberFormat="1" applyFont="1" applyFill="1" applyBorder="1" applyAlignment="1">
      <alignment horizontal="center" vertical="center"/>
    </xf>
    <xf numFmtId="41" fontId="56" fillId="0" borderId="962" xfId="109" applyNumberFormat="1" applyFont="1" applyFill="1" applyBorder="1" applyAlignment="1">
      <alignment horizontal="center" vertical="center"/>
    </xf>
    <xf numFmtId="41" fontId="56" fillId="60" borderId="960" xfId="109" applyNumberFormat="1" applyFont="1" applyFill="1" applyBorder="1" applyAlignment="1">
      <alignment vertical="center"/>
    </xf>
    <xf numFmtId="41" fontId="49" fillId="0" borderId="948" xfId="97" applyNumberFormat="1" applyFont="1" applyFill="1" applyBorder="1" applyAlignment="1">
      <alignment horizontal="center" vertical="center"/>
    </xf>
    <xf numFmtId="41" fontId="49" fillId="0" borderId="874" xfId="97" applyNumberFormat="1" applyFont="1" applyFill="1" applyBorder="1" applyAlignment="1">
      <alignment horizontal="right" vertical="center"/>
    </xf>
    <xf numFmtId="194" fontId="49" fillId="0" borderId="931" xfId="97" applyNumberFormat="1" applyFont="1" applyFill="1" applyBorder="1" applyAlignment="1">
      <alignment vertical="center"/>
    </xf>
    <xf numFmtId="41" fontId="49" fillId="0" borderId="963" xfId="97" applyNumberFormat="1" applyFont="1" applyFill="1" applyBorder="1" applyAlignment="1">
      <alignment horizontal="center" vertical="center"/>
    </xf>
    <xf numFmtId="41" fontId="49" fillId="0" borderId="931" xfId="97" applyNumberFormat="1" applyFont="1" applyFill="1" applyBorder="1" applyAlignment="1">
      <alignment vertical="center"/>
    </xf>
    <xf numFmtId="41" fontId="49" fillId="0" borderId="930" xfId="97" applyNumberFormat="1" applyFont="1" applyFill="1" applyBorder="1" applyAlignment="1">
      <alignment horizontal="right" vertical="center"/>
    </xf>
    <xf numFmtId="41" fontId="151" fillId="0" borderId="845" xfId="97" applyNumberFormat="1" applyFont="1" applyFill="1" applyBorder="1" applyAlignment="1">
      <alignment vertical="center"/>
    </xf>
    <xf numFmtId="41" fontId="49" fillId="0" borderId="953" xfId="97" applyNumberFormat="1" applyFont="1" applyFill="1" applyBorder="1" applyAlignment="1">
      <alignment vertical="center"/>
    </xf>
    <xf numFmtId="194" fontId="49" fillId="0" borderId="953" xfId="97" applyNumberFormat="1" applyFont="1" applyFill="1" applyBorder="1" applyAlignment="1">
      <alignment horizontal="center" vertical="center"/>
    </xf>
    <xf numFmtId="41" fontId="49" fillId="0" borderId="964" xfId="97" quotePrefix="1" applyNumberFormat="1" applyFont="1" applyFill="1" applyBorder="1" applyAlignment="1">
      <alignment horizontal="center" vertical="center"/>
    </xf>
    <xf numFmtId="41" fontId="49" fillId="0" borderId="965" xfId="97" applyNumberFormat="1" applyFont="1" applyFill="1" applyBorder="1" applyAlignment="1">
      <alignment horizontal="right" vertical="center"/>
    </xf>
    <xf numFmtId="41" fontId="56" fillId="0" borderId="967" xfId="1" applyFont="1" applyFill="1" applyBorder="1" applyAlignment="1">
      <alignment vertical="center"/>
    </xf>
    <xf numFmtId="41" fontId="56" fillId="0" borderId="968" xfId="1" applyFont="1" applyFill="1" applyBorder="1" applyAlignment="1">
      <alignment vertical="center"/>
    </xf>
    <xf numFmtId="41" fontId="56" fillId="0" borderId="969" xfId="1" applyFont="1" applyFill="1" applyBorder="1" applyAlignment="1">
      <alignment vertical="center"/>
    </xf>
    <xf numFmtId="41" fontId="56" fillId="0" borderId="970" xfId="1" applyFont="1" applyFill="1" applyBorder="1" applyAlignment="1">
      <alignment vertical="center"/>
    </xf>
    <xf numFmtId="41" fontId="56" fillId="0" borderId="958" xfId="1" applyFont="1" applyFill="1" applyBorder="1" applyAlignment="1">
      <alignment vertical="center"/>
    </xf>
    <xf numFmtId="41" fontId="56" fillId="0" borderId="883" xfId="1" applyFont="1" applyFill="1" applyBorder="1" applyAlignment="1">
      <alignment vertical="center"/>
    </xf>
    <xf numFmtId="41" fontId="56" fillId="0" borderId="966" xfId="1" applyFont="1" applyFill="1" applyBorder="1" applyAlignment="1">
      <alignment vertical="center"/>
    </xf>
    <xf numFmtId="41" fontId="57" fillId="0" borderId="967" xfId="1" applyFont="1" applyFill="1" applyBorder="1" applyAlignment="1">
      <alignment vertical="center"/>
    </xf>
    <xf numFmtId="187" fontId="67" fillId="0" borderId="841" xfId="1" applyNumberFormat="1" applyFont="1" applyFill="1" applyBorder="1" applyAlignment="1">
      <alignment vertical="center"/>
    </xf>
    <xf numFmtId="41" fontId="67" fillId="0" borderId="841" xfId="1" applyFont="1" applyFill="1" applyBorder="1" applyAlignment="1">
      <alignment vertical="center"/>
    </xf>
    <xf numFmtId="41" fontId="93" fillId="0" borderId="0" xfId="1" applyFont="1" applyFill="1" applyAlignment="1">
      <alignment vertical="center"/>
    </xf>
    <xf numFmtId="41" fontId="49" fillId="0" borderId="971" xfId="97" applyNumberFormat="1" applyFont="1" applyFill="1" applyBorder="1" applyAlignment="1">
      <alignment horizontal="right" vertical="center"/>
    </xf>
    <xf numFmtId="41" fontId="49" fillId="0" borderId="972" xfId="97" applyNumberFormat="1" applyFont="1" applyFill="1" applyBorder="1" applyAlignment="1">
      <alignment horizontal="right" vertical="center"/>
    </xf>
    <xf numFmtId="194" fontId="49" fillId="0" borderId="949" xfId="97" applyNumberFormat="1" applyFont="1" applyFill="1" applyBorder="1" applyAlignment="1">
      <alignment horizontal="center" vertical="center"/>
    </xf>
    <xf numFmtId="41" fontId="49" fillId="0" borderId="973" xfId="97" applyNumberFormat="1" applyFont="1" applyFill="1" applyBorder="1" applyAlignment="1">
      <alignment horizontal="center" vertical="center"/>
    </xf>
    <xf numFmtId="41" fontId="49" fillId="0" borderId="973" xfId="97" quotePrefix="1" applyNumberFormat="1" applyFont="1" applyFill="1" applyBorder="1" applyAlignment="1">
      <alignment vertical="center"/>
    </xf>
    <xf numFmtId="187" fontId="49" fillId="0" borderId="973" xfId="97" applyNumberFormat="1" applyFont="1" applyFill="1" applyBorder="1" applyAlignment="1">
      <alignment vertical="center"/>
    </xf>
    <xf numFmtId="41" fontId="49" fillId="0" borderId="972" xfId="97" applyNumberFormat="1" applyFont="1" applyFill="1" applyBorder="1" applyAlignment="1">
      <alignment vertical="center"/>
    </xf>
    <xf numFmtId="41" fontId="49" fillId="0" borderId="971" xfId="97" applyNumberFormat="1" applyFont="1" applyFill="1" applyBorder="1" applyAlignment="1">
      <alignment horizontal="center" vertical="center"/>
    </xf>
    <xf numFmtId="194" fontId="49" fillId="0" borderId="971" xfId="97" applyNumberFormat="1" applyFont="1" applyFill="1" applyBorder="1" applyAlignment="1">
      <alignment horizontal="center" vertical="center"/>
    </xf>
    <xf numFmtId="41" fontId="49" fillId="0" borderId="976" xfId="97" applyNumberFormat="1" applyFont="1" applyFill="1" applyBorder="1" applyAlignment="1">
      <alignment horizontal="center" vertical="center"/>
    </xf>
    <xf numFmtId="41" fontId="49" fillId="0" borderId="976" xfId="97" quotePrefix="1" applyNumberFormat="1" applyFont="1" applyFill="1" applyBorder="1" applyAlignment="1">
      <alignment horizontal="center" vertical="center"/>
    </xf>
    <xf numFmtId="41" fontId="49" fillId="0" borderId="971" xfId="97" applyNumberFormat="1" applyFont="1" applyFill="1" applyBorder="1" applyAlignment="1">
      <alignment vertical="center"/>
    </xf>
    <xf numFmtId="41" fontId="49" fillId="0" borderId="974" xfId="97" applyNumberFormat="1" applyFont="1" applyFill="1" applyBorder="1" applyAlignment="1">
      <alignment horizontal="right" vertical="center"/>
    </xf>
    <xf numFmtId="41" fontId="49" fillId="0" borderId="971" xfId="97" quotePrefix="1" applyNumberFormat="1" applyFont="1" applyFill="1" applyBorder="1" applyAlignment="1">
      <alignment horizontal="center" vertical="center"/>
    </xf>
    <xf numFmtId="194" fontId="49" fillId="0" borderId="975" xfId="97" applyNumberFormat="1" applyFont="1" applyFill="1" applyBorder="1" applyAlignment="1">
      <alignment horizontal="center" vertical="center"/>
    </xf>
    <xf numFmtId="41" fontId="49" fillId="0" borderId="964" xfId="97" applyNumberFormat="1" applyFont="1" applyFill="1" applyBorder="1" applyAlignment="1">
      <alignment horizontal="center" vertical="center"/>
    </xf>
    <xf numFmtId="41" fontId="49" fillId="0" borderId="975" xfId="97" applyNumberFormat="1" applyFont="1" applyFill="1" applyBorder="1" applyAlignment="1">
      <alignment vertical="center"/>
    </xf>
    <xf numFmtId="41" fontId="152" fillId="0" borderId="831" xfId="3" applyNumberFormat="1" applyFont="1" applyFill="1" applyBorder="1" applyAlignment="1">
      <alignment horizontal="left" vertical="center"/>
    </xf>
    <xf numFmtId="41" fontId="145" fillId="0" borderId="0" xfId="361" applyFont="1">
      <alignment vertical="center"/>
    </xf>
    <xf numFmtId="41" fontId="61" fillId="0" borderId="0" xfId="361" applyFont="1" applyFill="1">
      <alignment vertical="center"/>
    </xf>
    <xf numFmtId="41" fontId="61" fillId="0" borderId="0" xfId="361" applyFont="1">
      <alignment vertical="center"/>
    </xf>
    <xf numFmtId="41" fontId="61" fillId="0" borderId="0" xfId="361" applyFont="1" applyAlignment="1">
      <alignment horizontal="center" vertical="center"/>
    </xf>
    <xf numFmtId="41" fontId="146" fillId="0" borderId="0" xfId="361" applyFont="1" applyFill="1">
      <alignment vertical="center"/>
    </xf>
    <xf numFmtId="41" fontId="146" fillId="26" borderId="0" xfId="361" applyFont="1" applyFill="1" applyBorder="1">
      <alignment vertical="center"/>
    </xf>
    <xf numFmtId="41" fontId="146" fillId="0" borderId="0" xfId="361" applyFont="1" applyAlignment="1">
      <alignment horizontal="center" vertical="center"/>
    </xf>
    <xf numFmtId="41" fontId="61" fillId="0" borderId="0" xfId="361" applyFont="1" applyBorder="1">
      <alignment vertical="center"/>
    </xf>
    <xf numFmtId="41" fontId="61" fillId="0" borderId="0" xfId="361" quotePrefix="1" applyFont="1" applyAlignment="1">
      <alignment horizontal="right" vertical="center"/>
    </xf>
    <xf numFmtId="41" fontId="146" fillId="26" borderId="0" xfId="361" applyFont="1" applyFill="1" applyAlignment="1">
      <alignment horizontal="center" vertical="center"/>
    </xf>
    <xf numFmtId="41" fontId="146" fillId="0" borderId="0" xfId="361" applyFont="1" applyFill="1" applyAlignment="1">
      <alignment horizontal="left" vertical="center"/>
    </xf>
    <xf numFmtId="41" fontId="147" fillId="26" borderId="0" xfId="361" applyFont="1" applyFill="1" applyBorder="1">
      <alignment vertical="center"/>
    </xf>
    <xf numFmtId="41" fontId="61" fillId="0" borderId="0" xfId="361" applyFont="1" applyBorder="1" applyAlignment="1">
      <alignment horizontal="center" vertical="center"/>
    </xf>
    <xf numFmtId="41" fontId="121" fillId="0" borderId="0" xfId="361" applyFont="1" applyAlignment="1">
      <alignment horizontal="center" vertical="center"/>
    </xf>
    <xf numFmtId="41" fontId="60" fillId="0" borderId="0" xfId="361" applyFont="1" applyFill="1" applyBorder="1" applyAlignment="1">
      <alignment horizontal="center" vertical="center"/>
    </xf>
    <xf numFmtId="41" fontId="61" fillId="0" borderId="0" xfId="361" applyNumberFormat="1" applyFont="1" applyBorder="1" applyAlignment="1">
      <alignment horizontal="center" vertical="center"/>
    </xf>
    <xf numFmtId="41" fontId="60" fillId="0" borderId="0" xfId="361" applyFont="1" applyBorder="1" applyAlignment="1">
      <alignment horizontal="center" vertical="center"/>
    </xf>
    <xf numFmtId="41" fontId="148" fillId="0" borderId="0" xfId="361" applyFont="1">
      <alignment vertical="center"/>
    </xf>
    <xf numFmtId="41" fontId="61" fillId="0" borderId="0" xfId="361" quotePrefix="1" applyFont="1" applyAlignment="1">
      <alignment horizontal="center" vertical="center"/>
    </xf>
    <xf numFmtId="41" fontId="49" fillId="0" borderId="982" xfId="97" quotePrefix="1" applyNumberFormat="1" applyFont="1" applyFill="1" applyBorder="1" applyAlignment="1">
      <alignment vertical="center"/>
    </xf>
    <xf numFmtId="41" fontId="49" fillId="0" borderId="983" xfId="97" applyNumberFormat="1" applyFont="1" applyFill="1" applyBorder="1" applyAlignment="1">
      <alignment horizontal="center" vertical="center"/>
    </xf>
    <xf numFmtId="41" fontId="49" fillId="0" borderId="983" xfId="97" quotePrefix="1" applyNumberFormat="1" applyFont="1" applyFill="1" applyBorder="1" applyAlignment="1">
      <alignment vertical="center"/>
    </xf>
    <xf numFmtId="187" fontId="49" fillId="0" borderId="983" xfId="97" applyNumberFormat="1" applyFont="1" applyFill="1" applyBorder="1" applyAlignment="1">
      <alignment vertical="center"/>
    </xf>
    <xf numFmtId="41" fontId="49" fillId="0" borderId="874" xfId="97" applyNumberFormat="1" applyFont="1" applyFill="1" applyBorder="1" applyAlignment="1">
      <alignment vertical="center"/>
    </xf>
    <xf numFmtId="187" fontId="49" fillId="0" borderId="874" xfId="97" applyNumberFormat="1" applyFont="1" applyFill="1" applyBorder="1" applyAlignment="1">
      <alignment vertical="center"/>
    </xf>
    <xf numFmtId="41" fontId="49" fillId="0" borderId="987" xfId="97" quotePrefix="1" applyNumberFormat="1" applyFont="1" applyFill="1" applyBorder="1" applyAlignment="1">
      <alignment horizontal="center" vertical="center"/>
    </xf>
    <xf numFmtId="41" fontId="57" fillId="0" borderId="988" xfId="1" applyFont="1" applyFill="1" applyBorder="1" applyAlignment="1">
      <alignment vertical="center"/>
    </xf>
    <xf numFmtId="41" fontId="56" fillId="0" borderId="988" xfId="1" applyFont="1" applyFill="1" applyBorder="1" applyAlignment="1">
      <alignment vertical="center"/>
    </xf>
    <xf numFmtId="41" fontId="56" fillId="0" borderId="990" xfId="1" applyFont="1" applyFill="1" applyBorder="1" applyAlignment="1">
      <alignment vertical="center"/>
    </xf>
    <xf numFmtId="41" fontId="56" fillId="0" borderId="989" xfId="1" applyFont="1" applyFill="1" applyBorder="1" applyAlignment="1">
      <alignment vertical="center"/>
    </xf>
    <xf numFmtId="41" fontId="57" fillId="0" borderId="991" xfId="1" applyFont="1" applyFill="1" applyBorder="1" applyAlignment="1">
      <alignment vertical="center"/>
    </xf>
    <xf numFmtId="41" fontId="57" fillId="0" borderId="992" xfId="1" applyFont="1" applyFill="1" applyBorder="1" applyAlignment="1">
      <alignment horizontal="center" vertical="center"/>
    </xf>
    <xf numFmtId="41" fontId="56" fillId="0" borderId="991" xfId="1" applyFont="1" applyFill="1" applyBorder="1" applyAlignment="1">
      <alignment vertical="center"/>
    </xf>
    <xf numFmtId="41" fontId="67" fillId="0" borderId="991" xfId="1" applyFont="1" applyFill="1" applyBorder="1" applyAlignment="1">
      <alignment vertical="center"/>
    </xf>
    <xf numFmtId="41" fontId="57" fillId="0" borderId="993" xfId="1" applyFont="1" applyFill="1" applyBorder="1" applyAlignment="1">
      <alignment vertical="center"/>
    </xf>
    <xf numFmtId="41" fontId="56" fillId="0" borderId="994" xfId="1" applyFont="1" applyFill="1" applyBorder="1" applyAlignment="1">
      <alignment vertical="center"/>
    </xf>
    <xf numFmtId="41" fontId="56" fillId="0" borderId="877" xfId="1" applyFont="1" applyFill="1" applyBorder="1" applyAlignment="1">
      <alignment vertical="center"/>
    </xf>
    <xf numFmtId="41" fontId="56" fillId="0" borderId="984" xfId="1" applyFont="1" applyFill="1" applyBorder="1" applyAlignment="1">
      <alignment vertical="center"/>
    </xf>
    <xf numFmtId="41" fontId="56" fillId="0" borderId="985" xfId="1" applyFont="1" applyFill="1" applyBorder="1" applyAlignment="1">
      <alignment vertical="center"/>
    </xf>
    <xf numFmtId="41" fontId="93" fillId="0" borderId="984" xfId="1" applyFont="1" applyFill="1" applyBorder="1" applyAlignment="1">
      <alignment vertical="center"/>
    </xf>
    <xf numFmtId="41" fontId="57" fillId="0" borderId="891" xfId="1" applyFont="1" applyFill="1" applyBorder="1" applyAlignment="1">
      <alignment vertical="center"/>
    </xf>
    <xf numFmtId="194" fontId="49" fillId="0" borderId="987" xfId="3" applyNumberFormat="1" applyFont="1" applyFill="1" applyBorder="1" applyAlignment="1">
      <alignment horizontal="center" vertical="center"/>
    </xf>
    <xf numFmtId="41" fontId="49" fillId="0" borderId="995" xfId="3" applyNumberFormat="1" applyFont="1" applyFill="1" applyBorder="1" applyAlignment="1">
      <alignment horizontal="center" vertical="center"/>
    </xf>
    <xf numFmtId="41" fontId="49" fillId="0" borderId="995" xfId="3" applyNumberFormat="1" applyFont="1" applyFill="1" applyBorder="1" applyAlignment="1">
      <alignment vertical="center"/>
    </xf>
    <xf numFmtId="41" fontId="49" fillId="0" borderId="996" xfId="1" applyFont="1" applyFill="1" applyBorder="1" applyAlignment="1">
      <alignment vertical="center"/>
    </xf>
    <xf numFmtId="186" fontId="67" fillId="0" borderId="997" xfId="359" applyNumberFormat="1" applyFont="1" applyBorder="1" applyAlignment="1">
      <alignment horizontal="center" vertical="center"/>
    </xf>
    <xf numFmtId="200" fontId="67" fillId="0" borderId="998" xfId="359" applyFont="1" applyBorder="1" applyAlignment="1">
      <alignment horizontal="center" vertical="center"/>
    </xf>
    <xf numFmtId="186" fontId="67" fillId="0" borderId="999" xfId="359" applyNumberFormat="1" applyFont="1" applyBorder="1" applyAlignment="1">
      <alignment horizontal="center" vertical="center"/>
    </xf>
    <xf numFmtId="186" fontId="67" fillId="0" borderId="1000" xfId="359" applyNumberFormat="1" applyFont="1" applyBorder="1" applyAlignment="1">
      <alignment horizontal="center" vertical="center"/>
    </xf>
    <xf numFmtId="200" fontId="67" fillId="0" borderId="1001" xfId="359" applyFont="1" applyBorder="1" applyAlignment="1">
      <alignment horizontal="center" vertical="center"/>
    </xf>
    <xf numFmtId="186" fontId="67" fillId="0" borderId="1002" xfId="359" applyNumberFormat="1" applyFont="1" applyBorder="1" applyAlignment="1">
      <alignment horizontal="center" vertical="center"/>
    </xf>
    <xf numFmtId="186" fontId="67" fillId="0" borderId="1003" xfId="359" applyNumberFormat="1" applyFont="1" applyBorder="1" applyAlignment="1">
      <alignment horizontal="center" vertical="center"/>
    </xf>
    <xf numFmtId="200" fontId="67" fillId="0" borderId="1004" xfId="359" applyFont="1" applyBorder="1" applyAlignment="1">
      <alignment horizontal="center" vertical="center"/>
    </xf>
    <xf numFmtId="186" fontId="67" fillId="0" borderId="1005" xfId="359" applyNumberFormat="1" applyFont="1" applyBorder="1" applyAlignment="1">
      <alignment horizontal="center" vertical="center"/>
    </xf>
    <xf numFmtId="186" fontId="67" fillId="0" borderId="1006" xfId="359" applyNumberFormat="1" applyFont="1" applyBorder="1" applyAlignment="1">
      <alignment horizontal="center" vertical="center"/>
    </xf>
    <xf numFmtId="200" fontId="67" fillId="0" borderId="1007" xfId="359" applyFont="1" applyBorder="1" applyAlignment="1">
      <alignment horizontal="center" vertical="center"/>
    </xf>
    <xf numFmtId="186" fontId="67" fillId="0" borderId="1008" xfId="359" applyNumberFormat="1" applyFont="1" applyBorder="1" applyAlignment="1">
      <alignment horizontal="center" vertical="center"/>
    </xf>
    <xf numFmtId="186" fontId="67" fillId="0" borderId="1009" xfId="359" applyNumberFormat="1" applyFont="1" applyBorder="1" applyAlignment="1">
      <alignment horizontal="center" vertical="center"/>
    </xf>
    <xf numFmtId="186" fontId="67" fillId="0" borderId="1010" xfId="359" applyNumberFormat="1" applyFont="1" applyBorder="1" applyAlignment="1">
      <alignment horizontal="center" vertical="center"/>
    </xf>
    <xf numFmtId="186" fontId="67" fillId="0" borderId="1011" xfId="359" applyNumberFormat="1" applyFont="1" applyBorder="1" applyAlignment="1">
      <alignment horizontal="center" vertical="center"/>
    </xf>
    <xf numFmtId="41" fontId="49" fillId="0" borderId="1013" xfId="97" applyNumberFormat="1" applyFont="1" applyFill="1" applyBorder="1" applyAlignment="1">
      <alignment horizontal="right" vertical="center"/>
    </xf>
    <xf numFmtId="194" fontId="49" fillId="0" borderId="1013" xfId="97" applyNumberFormat="1" applyFont="1" applyFill="1" applyBorder="1" applyAlignment="1">
      <alignment horizontal="center" vertical="center"/>
    </xf>
    <xf numFmtId="41" fontId="49" fillId="0" borderId="1014" xfId="97" applyNumberFormat="1" applyFont="1" applyFill="1" applyBorder="1" applyAlignment="1">
      <alignment horizontal="center" vertical="center"/>
    </xf>
    <xf numFmtId="41" fontId="49" fillId="0" borderId="1013" xfId="97" applyNumberFormat="1" applyFont="1" applyFill="1" applyBorder="1" applyAlignment="1">
      <alignment vertical="center"/>
    </xf>
    <xf numFmtId="14" fontId="49" fillId="0" borderId="716" xfId="3" applyNumberFormat="1" applyFont="1" applyFill="1" applyBorder="1" applyAlignment="1">
      <alignment horizontal="center" vertical="center"/>
    </xf>
    <xf numFmtId="41" fontId="49" fillId="0" borderId="646" xfId="3" applyNumberFormat="1" applyFont="1" applyFill="1" applyBorder="1" applyAlignment="1">
      <alignment horizontal="left" vertical="center"/>
    </xf>
    <xf numFmtId="187" fontId="49" fillId="0" borderId="1012" xfId="97" applyNumberFormat="1" applyFont="1" applyFill="1" applyBorder="1" applyAlignment="1">
      <alignment vertical="center"/>
    </xf>
    <xf numFmtId="41" fontId="49" fillId="0" borderId="1015" xfId="97" applyNumberFormat="1" applyFont="1" applyFill="1" applyBorder="1" applyAlignment="1">
      <alignment vertical="center"/>
    </xf>
    <xf numFmtId="41" fontId="49" fillId="0" borderId="1012" xfId="97" applyNumberFormat="1" applyFont="1" applyFill="1" applyBorder="1" applyAlignment="1">
      <alignment horizontal="center" vertical="center"/>
    </xf>
    <xf numFmtId="187" fontId="49" fillId="0" borderId="1015" xfId="97" applyNumberFormat="1" applyFont="1" applyFill="1" applyBorder="1" applyAlignment="1">
      <alignment vertical="center"/>
    </xf>
    <xf numFmtId="41" fontId="49" fillId="0" borderId="375" xfId="3" applyNumberFormat="1" applyFont="1" applyFill="1" applyBorder="1" applyAlignment="1" applyProtection="1">
      <alignment vertical="center"/>
      <protection locked="0"/>
    </xf>
    <xf numFmtId="190" fontId="49" fillId="0" borderId="1016" xfId="3" applyNumberFormat="1" applyFont="1" applyFill="1" applyBorder="1" applyAlignment="1">
      <alignment horizontal="center" vertical="center"/>
    </xf>
    <xf numFmtId="41" fontId="49" fillId="0" borderId="859" xfId="3" applyNumberFormat="1" applyFont="1" applyFill="1" applyBorder="1" applyAlignment="1">
      <alignment horizontal="center" vertical="center"/>
    </xf>
    <xf numFmtId="194" fontId="49" fillId="0" borderId="1017" xfId="3" applyNumberFormat="1" applyFont="1" applyFill="1" applyBorder="1" applyAlignment="1">
      <alignment horizontal="center" vertical="center"/>
    </xf>
    <xf numFmtId="14" fontId="49" fillId="0" borderId="1021" xfId="97" applyNumberFormat="1" applyFont="1" applyFill="1" applyBorder="1" applyAlignment="1">
      <alignment horizontal="center" vertical="center"/>
    </xf>
    <xf numFmtId="41" fontId="49" fillId="0" borderId="4" xfId="97" quotePrefix="1" applyNumberFormat="1" applyFont="1" applyFill="1" applyBorder="1" applyAlignment="1">
      <alignment horizontal="center" vertical="center"/>
    </xf>
    <xf numFmtId="41" fontId="49" fillId="0" borderId="955" xfId="97" applyNumberFormat="1" applyFont="1" applyFill="1" applyBorder="1" applyAlignment="1">
      <alignment horizontal="center" vertical="center"/>
    </xf>
    <xf numFmtId="41" fontId="49" fillId="0" borderId="1022" xfId="97" applyNumberFormat="1" applyFont="1" applyFill="1" applyBorder="1" applyAlignment="1">
      <alignment horizontal="center" vertical="center"/>
    </xf>
    <xf numFmtId="41" fontId="49" fillId="0" borderId="1024" xfId="97" applyNumberFormat="1" applyFont="1" applyFill="1" applyBorder="1" applyAlignment="1">
      <alignment horizontal="center" vertical="center"/>
    </xf>
    <xf numFmtId="41" fontId="49" fillId="0" borderId="932" xfId="97" applyNumberFormat="1" applyFont="1" applyFill="1" applyBorder="1" applyAlignment="1">
      <alignment vertical="center"/>
    </xf>
    <xf numFmtId="194" fontId="49" fillId="0" borderId="1014" xfId="97" applyNumberFormat="1" applyFont="1" applyFill="1" applyBorder="1" applyAlignment="1">
      <alignment horizontal="center" vertical="center"/>
    </xf>
    <xf numFmtId="41" fontId="93" fillId="0" borderId="426" xfId="109" applyNumberFormat="1" applyFont="1" applyFill="1" applyBorder="1" applyAlignment="1">
      <alignment vertical="center"/>
    </xf>
    <xf numFmtId="187" fontId="49" fillId="0" borderId="61" xfId="97" applyNumberFormat="1" applyFont="1" applyFill="1" applyBorder="1" applyAlignment="1">
      <alignment vertical="center"/>
    </xf>
    <xf numFmtId="187" fontId="49" fillId="0" borderId="1023" xfId="97" applyNumberFormat="1" applyFont="1" applyFill="1" applyBorder="1" applyAlignment="1">
      <alignment vertical="center"/>
    </xf>
    <xf numFmtId="41" fontId="49" fillId="0" borderId="1025" xfId="97" applyNumberFormat="1" applyFont="1" applyFill="1" applyBorder="1" applyAlignment="1">
      <alignment vertical="center"/>
    </xf>
    <xf numFmtId="41" fontId="50" fillId="0" borderId="1031" xfId="97" applyNumberFormat="1" applyFont="1" applyFill="1" applyBorder="1" applyAlignment="1">
      <alignment horizontal="center" vertical="center"/>
    </xf>
    <xf numFmtId="41" fontId="49" fillId="0" borderId="1032" xfId="97" applyNumberFormat="1" applyFont="1" applyFill="1" applyBorder="1" applyAlignment="1">
      <alignment horizontal="center" vertical="center"/>
    </xf>
    <xf numFmtId="41" fontId="49" fillId="0" borderId="1033" xfId="97" applyNumberFormat="1" applyFont="1" applyFill="1" applyBorder="1" applyAlignment="1">
      <alignment horizontal="center" vertical="center"/>
    </xf>
    <xf numFmtId="41" fontId="153" fillId="0" borderId="0" xfId="361" applyFont="1" applyAlignment="1">
      <alignment horizontal="center" vertical="center"/>
    </xf>
    <xf numFmtId="196" fontId="61" fillId="0" borderId="0" xfId="0" applyNumberFormat="1" applyFont="1" applyFill="1">
      <alignment vertical="center"/>
    </xf>
    <xf numFmtId="0" fontId="61" fillId="73" borderId="1036" xfId="0" applyFont="1" applyFill="1" applyBorder="1" applyAlignment="1">
      <alignment horizontal="center" vertical="center"/>
    </xf>
    <xf numFmtId="41" fontId="61" fillId="73" borderId="1036" xfId="361" applyFont="1" applyFill="1" applyBorder="1" applyAlignment="1">
      <alignment horizontal="center" vertical="center"/>
    </xf>
    <xf numFmtId="0" fontId="61" fillId="0" borderId="1036" xfId="0" applyFont="1" applyFill="1" applyBorder="1" applyAlignment="1">
      <alignment horizontal="center" vertical="center"/>
    </xf>
    <xf numFmtId="41" fontId="61" fillId="0" borderId="1036" xfId="0" applyNumberFormat="1" applyFont="1" applyFill="1" applyBorder="1" applyAlignment="1">
      <alignment horizontal="center" vertical="center"/>
    </xf>
    <xf numFmtId="41" fontId="61" fillId="0" borderId="1036" xfId="361" applyFont="1" applyFill="1" applyBorder="1" applyAlignment="1">
      <alignment horizontal="center" vertical="center"/>
    </xf>
    <xf numFmtId="0" fontId="61" fillId="0" borderId="0" xfId="0" quotePrefix="1" applyFont="1">
      <alignment vertical="center"/>
    </xf>
    <xf numFmtId="41" fontId="142" fillId="0" borderId="0" xfId="361" applyFont="1" applyFill="1" applyBorder="1">
      <alignment vertical="center"/>
    </xf>
    <xf numFmtId="41" fontId="60" fillId="70" borderId="1036" xfId="361" applyFont="1" applyFill="1" applyBorder="1" applyAlignment="1">
      <alignment horizontal="center" vertical="center"/>
    </xf>
    <xf numFmtId="41" fontId="60" fillId="0" borderId="1028" xfId="361" applyFont="1" applyFill="1" applyBorder="1" applyAlignment="1">
      <alignment horizontal="center" vertical="center"/>
    </xf>
    <xf numFmtId="0" fontId="61" fillId="0" borderId="1036" xfId="0" applyFont="1" applyBorder="1" applyAlignment="1">
      <alignment horizontal="center" vertical="center"/>
    </xf>
    <xf numFmtId="41" fontId="61" fillId="0" borderId="1036" xfId="361" applyFont="1" applyBorder="1">
      <alignment vertical="center"/>
    </xf>
    <xf numFmtId="41" fontId="61" fillId="0" borderId="1028" xfId="361" applyFont="1" applyFill="1" applyBorder="1" applyAlignment="1">
      <alignment horizontal="center" vertical="center"/>
    </xf>
    <xf numFmtId="0" fontId="60" fillId="71" borderId="1036" xfId="0" applyFont="1" applyFill="1" applyBorder="1" applyAlignment="1">
      <alignment horizontal="center" vertical="center"/>
    </xf>
    <xf numFmtId="41" fontId="61" fillId="0" borderId="1036" xfId="0" applyNumberFormat="1" applyFont="1" applyBorder="1">
      <alignment vertical="center"/>
    </xf>
    <xf numFmtId="41" fontId="61" fillId="0" borderId="1036" xfId="361" applyFont="1" applyBorder="1" applyAlignment="1">
      <alignment horizontal="center" vertical="center"/>
    </xf>
    <xf numFmtId="0" fontId="61" fillId="0" borderId="1036" xfId="0" applyFont="1" applyBorder="1">
      <alignment vertical="center"/>
    </xf>
    <xf numFmtId="41" fontId="61" fillId="0" borderId="1036" xfId="361" applyNumberFormat="1" applyFont="1" applyBorder="1" applyAlignment="1">
      <alignment horizontal="center" vertical="center"/>
    </xf>
    <xf numFmtId="41" fontId="60" fillId="0" borderId="1036" xfId="361" applyFont="1" applyBorder="1" applyAlignment="1">
      <alignment horizontal="center" vertical="center"/>
    </xf>
    <xf numFmtId="41" fontId="49" fillId="0" borderId="1040" xfId="97" applyNumberFormat="1" applyFont="1" applyFill="1" applyBorder="1" applyAlignment="1">
      <alignment horizontal="center" vertical="center"/>
    </xf>
    <xf numFmtId="41" fontId="56" fillId="0" borderId="887" xfId="1" applyFont="1" applyFill="1" applyBorder="1" applyAlignment="1">
      <alignment vertical="center"/>
    </xf>
    <xf numFmtId="41" fontId="56" fillId="0" borderId="1041" xfId="1" applyFont="1" applyFill="1" applyBorder="1" applyAlignment="1">
      <alignment vertical="center"/>
    </xf>
    <xf numFmtId="41" fontId="49" fillId="0" borderId="1042" xfId="3" applyNumberFormat="1" applyFont="1" applyFill="1" applyBorder="1" applyAlignment="1">
      <alignment horizontal="center" vertical="center"/>
    </xf>
    <xf numFmtId="14" fontId="49" fillId="0" borderId="1042" xfId="3" applyNumberFormat="1" applyFont="1" applyFill="1" applyBorder="1" applyAlignment="1">
      <alignment horizontal="center" vertical="center"/>
    </xf>
    <xf numFmtId="41" fontId="49" fillId="0" borderId="1043" xfId="3" applyNumberFormat="1" applyFont="1" applyFill="1" applyBorder="1" applyAlignment="1">
      <alignment vertical="center"/>
    </xf>
    <xf numFmtId="41" fontId="49" fillId="0" borderId="1044" xfId="3" applyNumberFormat="1" applyFont="1" applyFill="1" applyBorder="1" applyAlignment="1">
      <alignment horizontal="left" vertical="center"/>
    </xf>
    <xf numFmtId="0" fontId="60" fillId="70" borderId="1036" xfId="0" quotePrefix="1" applyFont="1" applyFill="1" applyBorder="1" applyAlignment="1">
      <alignment horizontal="center" vertical="center"/>
    </xf>
    <xf numFmtId="194" fontId="49" fillId="0" borderId="1042" xfId="3" applyNumberFormat="1" applyFont="1" applyFill="1" applyBorder="1" applyAlignment="1">
      <alignment horizontal="center" vertical="center"/>
    </xf>
    <xf numFmtId="41" fontId="49" fillId="0" borderId="1045" xfId="3" applyNumberFormat="1" applyFont="1" applyFill="1" applyBorder="1" applyAlignment="1">
      <alignment horizontal="center" vertical="center"/>
    </xf>
    <xf numFmtId="41" fontId="49" fillId="0" borderId="1045" xfId="3" applyNumberFormat="1" applyFont="1" applyFill="1" applyBorder="1" applyAlignment="1">
      <alignment vertical="center"/>
    </xf>
    <xf numFmtId="41" fontId="49" fillId="0" borderId="1046" xfId="1" applyFont="1" applyFill="1" applyBorder="1" applyAlignment="1">
      <alignment vertical="center"/>
    </xf>
    <xf numFmtId="41" fontId="49" fillId="0" borderId="1047" xfId="3" applyNumberFormat="1" applyFont="1" applyFill="1" applyBorder="1" applyAlignment="1">
      <alignment horizontal="center" vertical="center"/>
    </xf>
    <xf numFmtId="0" fontId="60" fillId="72" borderId="1050" xfId="0" applyFont="1" applyFill="1" applyBorder="1" applyAlignment="1">
      <alignment horizontal="center" vertical="center"/>
    </xf>
    <xf numFmtId="0" fontId="60" fillId="72" borderId="1051" xfId="0" applyFont="1" applyFill="1" applyBorder="1" applyAlignment="1">
      <alignment horizontal="center" vertical="center"/>
    </xf>
    <xf numFmtId="0" fontId="60" fillId="72" borderId="1052" xfId="0" applyFont="1" applyFill="1" applyBorder="1" applyAlignment="1">
      <alignment horizontal="center" vertical="center"/>
    </xf>
    <xf numFmtId="0" fontId="61" fillId="0" borderId="0" xfId="0" quotePrefix="1" applyFont="1" applyFill="1">
      <alignment vertical="center"/>
    </xf>
    <xf numFmtId="0" fontId="137" fillId="66" borderId="1054" xfId="0" quotePrefix="1" applyFont="1" applyFill="1" applyBorder="1" applyAlignment="1">
      <alignment horizontal="left" vertical="center"/>
    </xf>
    <xf numFmtId="41" fontId="49" fillId="0" borderId="1055" xfId="3" applyNumberFormat="1" applyFont="1" applyFill="1" applyBorder="1" applyAlignment="1">
      <alignment horizontal="center" vertical="center" shrinkToFit="1"/>
    </xf>
    <xf numFmtId="41" fontId="49" fillId="0" borderId="1056" xfId="3" applyNumberFormat="1" applyFont="1" applyFill="1" applyBorder="1" applyAlignment="1">
      <alignment horizontal="center" vertical="center" shrinkToFit="1"/>
    </xf>
    <xf numFmtId="41" fontId="49" fillId="0" borderId="1056" xfId="3" applyNumberFormat="1" applyFont="1" applyFill="1" applyBorder="1" applyAlignment="1">
      <alignment horizontal="center" vertical="center"/>
    </xf>
    <xf numFmtId="41" fontId="49" fillId="0" borderId="1057" xfId="3" applyNumberFormat="1" applyFont="1" applyFill="1" applyBorder="1" applyAlignment="1">
      <alignment vertical="center"/>
    </xf>
    <xf numFmtId="41" fontId="49" fillId="0" borderId="1058" xfId="3" applyNumberFormat="1" applyFont="1" applyFill="1" applyBorder="1" applyAlignment="1">
      <alignment horizontal="left" vertical="center"/>
    </xf>
    <xf numFmtId="194" fontId="49" fillId="0" borderId="1059" xfId="97" applyNumberFormat="1" applyFont="1" applyFill="1" applyBorder="1" applyAlignment="1">
      <alignment horizontal="center" vertical="center"/>
    </xf>
    <xf numFmtId="41" fontId="49" fillId="0" borderId="1060" xfId="97" quotePrefix="1" applyNumberFormat="1" applyFont="1" applyFill="1" applyBorder="1" applyAlignment="1">
      <alignment vertical="center"/>
    </xf>
    <xf numFmtId="187" fontId="49" fillId="0" borderId="1060" xfId="97" applyNumberFormat="1" applyFont="1" applyFill="1" applyBorder="1" applyAlignment="1">
      <alignment vertical="center"/>
    </xf>
    <xf numFmtId="41" fontId="49" fillId="0" borderId="1061" xfId="97" applyNumberFormat="1" applyFont="1" applyFill="1" applyBorder="1" applyAlignment="1">
      <alignment vertical="center"/>
    </xf>
    <xf numFmtId="41" fontId="49" fillId="0" borderId="1062" xfId="97" quotePrefix="1" applyNumberFormat="1" applyFont="1" applyFill="1" applyBorder="1" applyAlignment="1">
      <alignment vertical="center"/>
    </xf>
    <xf numFmtId="41" fontId="49" fillId="0" borderId="1062" xfId="97" applyNumberFormat="1" applyFont="1" applyFill="1" applyBorder="1" applyAlignment="1">
      <alignment vertical="center"/>
    </xf>
    <xf numFmtId="41" fontId="49" fillId="0" borderId="1063" xfId="97" applyNumberFormat="1" applyFont="1" applyFill="1" applyBorder="1" applyAlignment="1">
      <alignment vertical="center"/>
    </xf>
    <xf numFmtId="41" fontId="49" fillId="0" borderId="1062" xfId="97" applyNumberFormat="1" applyFont="1" applyFill="1" applyBorder="1" applyAlignment="1">
      <alignment horizontal="center" vertical="center"/>
    </xf>
    <xf numFmtId="187" fontId="49" fillId="0" borderId="1063" xfId="97" applyNumberFormat="1" applyFont="1" applyFill="1" applyBorder="1" applyAlignment="1">
      <alignment vertical="center"/>
    </xf>
    <xf numFmtId="187" fontId="49" fillId="0" borderId="1061" xfId="97" applyNumberFormat="1" applyFont="1" applyFill="1" applyBorder="1" applyAlignment="1">
      <alignment vertical="center"/>
    </xf>
    <xf numFmtId="14" fontId="49" fillId="0" borderId="1059" xfId="97" applyNumberFormat="1" applyFont="1" applyFill="1" applyBorder="1" applyAlignment="1">
      <alignment horizontal="center" vertical="center"/>
    </xf>
    <xf numFmtId="41" fontId="49" fillId="0" borderId="1059" xfId="97" applyNumberFormat="1" applyFont="1" applyFill="1" applyBorder="1" applyAlignment="1">
      <alignment horizontal="center" vertical="center"/>
    </xf>
    <xf numFmtId="41" fontId="49" fillId="0" borderId="1063" xfId="97" applyNumberFormat="1" applyFont="1" applyFill="1" applyBorder="1" applyAlignment="1">
      <alignment horizontal="left" vertical="center"/>
    </xf>
    <xf numFmtId="41" fontId="49" fillId="0" borderId="1063" xfId="97" applyNumberFormat="1" applyFont="1" applyFill="1" applyBorder="1" applyAlignment="1">
      <alignment horizontal="right" vertical="center"/>
    </xf>
    <xf numFmtId="14" fontId="49" fillId="0" borderId="1059" xfId="97" applyNumberFormat="1" applyFont="1" applyFill="1" applyBorder="1" applyAlignment="1">
      <alignment horizontal="center" vertical="center" wrapText="1"/>
    </xf>
    <xf numFmtId="41" fontId="49" fillId="0" borderId="1059" xfId="97" applyNumberFormat="1" applyFont="1" applyFill="1" applyBorder="1" applyAlignment="1">
      <alignment horizontal="center" vertical="center" wrapText="1"/>
    </xf>
    <xf numFmtId="41" fontId="49" fillId="0" borderId="1067" xfId="97" applyNumberFormat="1" applyFont="1" applyFill="1" applyBorder="1" applyAlignment="1">
      <alignment horizontal="center" vertical="center"/>
    </xf>
    <xf numFmtId="41" fontId="49" fillId="0" borderId="1067" xfId="97" applyNumberFormat="1" applyFont="1" applyFill="1" applyBorder="1" applyAlignment="1">
      <alignment vertical="center"/>
    </xf>
    <xf numFmtId="41" fontId="49" fillId="0" borderId="1061" xfId="97" applyNumberFormat="1" applyFont="1" applyFill="1" applyBorder="1" applyAlignment="1">
      <alignment horizontal="right" vertical="center"/>
    </xf>
    <xf numFmtId="41" fontId="49" fillId="0" borderId="1061" xfId="97" quotePrefix="1" applyNumberFormat="1" applyFont="1" applyFill="1" applyBorder="1" applyAlignment="1">
      <alignment horizontal="center" vertical="center"/>
    </xf>
    <xf numFmtId="41" fontId="49" fillId="0" borderId="1067" xfId="97" applyNumberFormat="1" applyFont="1" applyFill="1" applyBorder="1" applyAlignment="1">
      <alignment horizontal="left" vertical="center"/>
    </xf>
    <xf numFmtId="41" fontId="49" fillId="0" borderId="1060" xfId="97" applyNumberFormat="1" applyFont="1" applyFill="1" applyBorder="1" applyAlignment="1">
      <alignment vertical="center"/>
    </xf>
    <xf numFmtId="41" fontId="152" fillId="0" borderId="1061" xfId="97" applyNumberFormat="1" applyFont="1" applyFill="1" applyBorder="1" applyAlignment="1">
      <alignment horizontal="center" vertical="center"/>
    </xf>
    <xf numFmtId="41" fontId="50" fillId="0" borderId="915" xfId="97" applyNumberFormat="1" applyFont="1" applyFill="1" applyBorder="1" applyAlignment="1">
      <alignment horizontal="center" vertical="center"/>
    </xf>
    <xf numFmtId="41" fontId="49" fillId="0" borderId="1068" xfId="97" applyNumberFormat="1" applyFont="1" applyFill="1" applyBorder="1" applyAlignment="1">
      <alignment horizontal="center" vertical="center"/>
    </xf>
    <xf numFmtId="185" fontId="49" fillId="0" borderId="1069" xfId="97" applyNumberFormat="1" applyFont="1" applyFill="1" applyBorder="1" applyAlignment="1">
      <alignment horizontal="center" vertical="center"/>
    </xf>
    <xf numFmtId="41" fontId="49" fillId="0" borderId="1070" xfId="97" applyNumberFormat="1" applyFont="1" applyFill="1" applyBorder="1" applyAlignment="1">
      <alignment vertical="center"/>
    </xf>
    <xf numFmtId="41" fontId="49" fillId="0" borderId="1069" xfId="97" applyNumberFormat="1" applyFont="1" applyFill="1" applyBorder="1" applyAlignment="1">
      <alignment horizontal="center" vertical="center"/>
    </xf>
    <xf numFmtId="41" fontId="49" fillId="0" borderId="1071" xfId="97" applyNumberFormat="1" applyFont="1" applyFill="1" applyBorder="1" applyAlignment="1">
      <alignment horizontal="right" vertical="center"/>
    </xf>
    <xf numFmtId="41" fontId="49" fillId="0" borderId="1072" xfId="97" applyNumberFormat="1" applyFont="1" applyFill="1" applyBorder="1" applyAlignment="1">
      <alignment vertical="center"/>
    </xf>
    <xf numFmtId="41" fontId="49" fillId="0" borderId="1024" xfId="97" quotePrefix="1" applyNumberFormat="1" applyFont="1" applyFill="1" applyBorder="1" applyAlignment="1">
      <alignment horizontal="center" vertical="center"/>
    </xf>
    <xf numFmtId="41" fontId="49" fillId="0" borderId="386" xfId="97" applyNumberFormat="1" applyFont="1" applyFill="1" applyBorder="1" applyAlignment="1">
      <alignment vertical="center"/>
    </xf>
    <xf numFmtId="41" fontId="49" fillId="0" borderId="646" xfId="97" applyNumberFormat="1" applyFont="1" applyFill="1" applyBorder="1" applyAlignment="1">
      <alignment horizontal="right" vertical="center"/>
    </xf>
    <xf numFmtId="41" fontId="49" fillId="0" borderId="1074" xfId="97" applyNumberFormat="1" applyFont="1" applyFill="1" applyBorder="1" applyAlignment="1">
      <alignment vertical="center"/>
    </xf>
    <xf numFmtId="41" fontId="49" fillId="0" borderId="1075" xfId="97" applyNumberFormat="1" applyFont="1" applyFill="1" applyBorder="1" applyAlignment="1">
      <alignment vertical="center"/>
    </xf>
    <xf numFmtId="187" fontId="49" fillId="0" borderId="1076" xfId="97" applyNumberFormat="1" applyFont="1" applyFill="1" applyBorder="1" applyAlignment="1">
      <alignment vertical="center"/>
    </xf>
    <xf numFmtId="41" fontId="49" fillId="0" borderId="1076" xfId="97" applyNumberFormat="1" applyFont="1" applyFill="1" applyBorder="1" applyAlignment="1">
      <alignment vertical="center"/>
    </xf>
    <xf numFmtId="41" fontId="49" fillId="0" borderId="1077" xfId="97" quotePrefix="1" applyNumberFormat="1" applyFont="1" applyFill="1" applyBorder="1" applyAlignment="1">
      <alignment vertical="center"/>
    </xf>
    <xf numFmtId="187" fontId="49" fillId="0" borderId="1077" xfId="97" applyNumberFormat="1" applyFont="1" applyFill="1" applyBorder="1" applyAlignment="1">
      <alignment vertical="center"/>
    </xf>
    <xf numFmtId="41" fontId="49" fillId="0" borderId="1077" xfId="97" applyNumberFormat="1" applyFont="1" applyFill="1" applyBorder="1" applyAlignment="1">
      <alignment vertical="center"/>
    </xf>
    <xf numFmtId="41" fontId="49" fillId="0" borderId="1076" xfId="97" quotePrefix="1" applyNumberFormat="1" applyFont="1" applyFill="1" applyBorder="1" applyAlignment="1">
      <alignment vertical="center"/>
    </xf>
    <xf numFmtId="41" fontId="49" fillId="0" borderId="1078" xfId="97" applyNumberFormat="1" applyFont="1" applyFill="1" applyBorder="1" applyAlignment="1">
      <alignment horizontal="center" vertical="center"/>
    </xf>
    <xf numFmtId="41" fontId="49" fillId="0" borderId="1079" xfId="97" applyNumberFormat="1" applyFont="1" applyFill="1" applyBorder="1" applyAlignment="1">
      <alignment horizontal="center" vertical="center"/>
    </xf>
    <xf numFmtId="187" fontId="49" fillId="0" borderId="986" xfId="97" applyNumberFormat="1" applyFont="1" applyFill="1" applyBorder="1" applyAlignment="1">
      <alignment vertical="center"/>
    </xf>
    <xf numFmtId="41" fontId="49" fillId="0" borderId="1073" xfId="97" applyNumberFormat="1" applyFont="1" applyFill="1" applyBorder="1" applyAlignment="1">
      <alignment vertical="center"/>
    </xf>
    <xf numFmtId="187" fontId="49" fillId="0" borderId="1080" xfId="97" applyNumberFormat="1" applyFont="1" applyFill="1" applyBorder="1" applyAlignment="1">
      <alignment vertical="center"/>
    </xf>
    <xf numFmtId="0" fontId="61" fillId="0" borderId="1081" xfId="0" applyFont="1" applyFill="1" applyBorder="1" applyAlignment="1">
      <alignment horizontal="center" vertical="center"/>
    </xf>
    <xf numFmtId="41" fontId="96" fillId="0" borderId="1082" xfId="361" applyFont="1" applyFill="1" applyBorder="1" applyAlignment="1">
      <alignment vertical="center"/>
    </xf>
    <xf numFmtId="41" fontId="61" fillId="0" borderId="1083" xfId="361" applyFont="1" applyFill="1" applyBorder="1" applyAlignment="1">
      <alignment horizontal="center" vertical="center"/>
    </xf>
    <xf numFmtId="41" fontId="61" fillId="0" borderId="1082" xfId="0" applyNumberFormat="1" applyFont="1" applyFill="1" applyBorder="1" applyAlignment="1">
      <alignment vertical="center"/>
    </xf>
    <xf numFmtId="0" fontId="61" fillId="0" borderId="1084" xfId="0" applyFont="1" applyFill="1" applyBorder="1" applyAlignment="1">
      <alignment horizontal="center" vertical="center"/>
    </xf>
    <xf numFmtId="41" fontId="61" fillId="0" borderId="1082" xfId="361" applyFont="1" applyFill="1" applyBorder="1" applyAlignment="1">
      <alignment vertical="center"/>
    </xf>
    <xf numFmtId="0" fontId="61" fillId="0" borderId="1084" xfId="0" quotePrefix="1" applyFont="1" applyFill="1" applyBorder="1" applyAlignment="1">
      <alignment horizontal="center" vertical="center"/>
    </xf>
    <xf numFmtId="14" fontId="49" fillId="0" borderId="1086" xfId="97" applyNumberFormat="1" applyFont="1" applyFill="1" applyBorder="1" applyAlignment="1">
      <alignment horizontal="center" vertical="center"/>
    </xf>
    <xf numFmtId="14" fontId="49" fillId="0" borderId="1087" xfId="97" applyNumberFormat="1" applyFont="1" applyFill="1" applyBorder="1" applyAlignment="1">
      <alignment horizontal="center" vertical="center"/>
    </xf>
    <xf numFmtId="14" fontId="49" fillId="0" borderId="1085" xfId="97" applyNumberFormat="1" applyFont="1" applyFill="1" applyBorder="1" applyAlignment="1">
      <alignment horizontal="center" vertical="center"/>
    </xf>
    <xf numFmtId="41" fontId="49" fillId="0" borderId="1088" xfId="97" applyNumberFormat="1" applyFont="1" applyFill="1" applyBorder="1" applyAlignment="1">
      <alignment horizontal="center" vertical="center"/>
    </xf>
    <xf numFmtId="41" fontId="49" fillId="0" borderId="1089" xfId="97" quotePrefix="1" applyNumberFormat="1" applyFont="1" applyFill="1" applyBorder="1" applyAlignment="1">
      <alignment vertical="center"/>
    </xf>
    <xf numFmtId="187" fontId="49" fillId="0" borderId="1089" xfId="97" applyNumberFormat="1" applyFont="1" applyFill="1" applyBorder="1" applyAlignment="1">
      <alignment vertical="center"/>
    </xf>
    <xf numFmtId="41" fontId="49" fillId="0" borderId="1089" xfId="97" applyNumberFormat="1" applyFont="1" applyFill="1" applyBorder="1" applyAlignment="1">
      <alignment vertical="center"/>
    </xf>
    <xf numFmtId="41" fontId="49" fillId="0" borderId="1090" xfId="97" quotePrefix="1" applyNumberFormat="1" applyFont="1" applyFill="1" applyBorder="1" applyAlignment="1">
      <alignment horizontal="center" vertical="center"/>
    </xf>
    <xf numFmtId="41" fontId="49" fillId="0" borderId="1091" xfId="97" applyNumberFormat="1" applyFont="1" applyFill="1" applyBorder="1" applyAlignment="1">
      <alignment horizontal="center" vertical="center"/>
    </xf>
    <xf numFmtId="41" fontId="49" fillId="0" borderId="1090" xfId="97" applyNumberFormat="1" applyFont="1" applyFill="1" applyBorder="1" applyAlignment="1">
      <alignment horizontal="center" vertical="center"/>
    </xf>
    <xf numFmtId="186" fontId="67" fillId="0" borderId="85" xfId="359" applyNumberFormat="1" applyFont="1" applyBorder="1" applyAlignment="1">
      <alignment horizontal="center" vertical="center"/>
    </xf>
    <xf numFmtId="200" fontId="67" fillId="0" borderId="130" xfId="359" applyFont="1" applyBorder="1" applyAlignment="1">
      <alignment horizontal="center" vertical="center"/>
    </xf>
    <xf numFmtId="186" fontId="67" fillId="0" borderId="1092" xfId="359" applyNumberFormat="1" applyFont="1" applyBorder="1" applyAlignment="1">
      <alignment horizontal="center" vertical="center"/>
    </xf>
    <xf numFmtId="186" fontId="67" fillId="0" borderId="1027" xfId="359" applyNumberFormat="1" applyFont="1" applyBorder="1" applyAlignment="1">
      <alignment horizontal="center" vertical="center"/>
    </xf>
    <xf numFmtId="186" fontId="67" fillId="0" borderId="882" xfId="359" applyNumberFormat="1" applyFont="1" applyBorder="1" applyAlignment="1">
      <alignment horizontal="center" vertical="center"/>
    </xf>
    <xf numFmtId="0" fontId="60" fillId="70" borderId="1037" xfId="0" quotePrefix="1" applyFont="1" applyFill="1" applyBorder="1" applyAlignment="1">
      <alignment horizontal="center" vertical="center"/>
    </xf>
    <xf numFmtId="0" fontId="60" fillId="70" borderId="979" xfId="0" quotePrefix="1" applyFont="1" applyFill="1" applyBorder="1" applyAlignment="1">
      <alignment horizontal="center" vertical="center"/>
    </xf>
    <xf numFmtId="186" fontId="67" fillId="0" borderId="1094" xfId="359" applyNumberFormat="1" applyFont="1" applyBorder="1" applyAlignment="1">
      <alignment horizontal="center" vertical="center"/>
    </xf>
    <xf numFmtId="200" fontId="67" fillId="0" borderId="1095" xfId="359" applyFont="1" applyBorder="1" applyAlignment="1">
      <alignment horizontal="center" vertical="center"/>
    </xf>
    <xf numFmtId="186" fontId="67" fillId="0" borderId="1096" xfId="359" applyNumberFormat="1" applyFont="1" applyBorder="1" applyAlignment="1">
      <alignment horizontal="center" vertical="center"/>
    </xf>
    <xf numFmtId="186" fontId="67" fillId="0" borderId="1097" xfId="359" applyNumberFormat="1" applyFont="1" applyBorder="1" applyAlignment="1">
      <alignment horizontal="center" vertical="center"/>
    </xf>
    <xf numFmtId="186" fontId="67" fillId="0" borderId="1098" xfId="359" applyNumberFormat="1" applyFont="1" applyBorder="1" applyAlignment="1">
      <alignment horizontal="center" vertical="center"/>
    </xf>
    <xf numFmtId="186" fontId="67" fillId="0" borderId="1099" xfId="359" applyNumberFormat="1" applyFont="1" applyFill="1" applyBorder="1" applyAlignment="1">
      <alignment horizontal="center" vertical="center"/>
    </xf>
    <xf numFmtId="186" fontId="67" fillId="0" borderId="745" xfId="359" applyNumberFormat="1" applyFont="1" applyBorder="1" applyAlignment="1">
      <alignment horizontal="center" vertical="center"/>
    </xf>
    <xf numFmtId="186" fontId="67" fillId="0" borderId="1100" xfId="359" applyNumberFormat="1" applyFont="1" applyBorder="1" applyAlignment="1">
      <alignment horizontal="center" vertical="center"/>
    </xf>
    <xf numFmtId="186" fontId="67" fillId="0" borderId="1101" xfId="359" applyNumberFormat="1" applyFont="1" applyBorder="1" applyAlignment="1">
      <alignment horizontal="center" vertical="center"/>
    </xf>
    <xf numFmtId="200" fontId="67" fillId="0" borderId="1102" xfId="359" applyFont="1" applyBorder="1" applyAlignment="1">
      <alignment horizontal="center" vertical="center"/>
    </xf>
    <xf numFmtId="186" fontId="67" fillId="0" borderId="978" xfId="359" applyNumberFormat="1" applyFont="1" applyBorder="1" applyAlignment="1">
      <alignment horizontal="center" vertical="center"/>
    </xf>
    <xf numFmtId="186" fontId="67" fillId="0" borderId="1034" xfId="359" applyNumberFormat="1" applyFont="1" applyBorder="1" applyAlignment="1">
      <alignment horizontal="center" vertical="center"/>
    </xf>
    <xf numFmtId="186" fontId="67" fillId="0" borderId="1103" xfId="359" applyNumberFormat="1" applyFont="1" applyFill="1" applyBorder="1" applyAlignment="1">
      <alignment horizontal="center" vertical="center"/>
    </xf>
    <xf numFmtId="200" fontId="66" fillId="61" borderId="1105" xfId="359" applyFont="1" applyFill="1" applyBorder="1" applyAlignment="1">
      <alignment horizontal="center" vertical="center"/>
    </xf>
    <xf numFmtId="186" fontId="66" fillId="61" borderId="1106" xfId="359" applyNumberFormat="1" applyFont="1" applyFill="1" applyBorder="1" applyAlignment="1">
      <alignment horizontal="center" vertical="center"/>
    </xf>
    <xf numFmtId="0" fontId="61" fillId="0" borderId="1107" xfId="0" applyFont="1" applyFill="1" applyBorder="1" applyAlignment="1">
      <alignment horizontal="center" vertical="center"/>
    </xf>
    <xf numFmtId="0" fontId="61" fillId="0" borderId="1108" xfId="0" applyFont="1" applyFill="1" applyBorder="1" applyAlignment="1">
      <alignment horizontal="center" vertical="center"/>
    </xf>
    <xf numFmtId="0" fontId="61" fillId="0" borderId="1097" xfId="0" applyFont="1" applyFill="1" applyBorder="1" applyAlignment="1">
      <alignment horizontal="center" vertical="center"/>
    </xf>
    <xf numFmtId="41" fontId="121" fillId="0" borderId="1096" xfId="361" applyFont="1" applyFill="1" applyBorder="1">
      <alignment vertical="center"/>
    </xf>
    <xf numFmtId="41" fontId="61" fillId="0" borderId="1097" xfId="361" applyFont="1" applyFill="1" applyBorder="1" applyAlignment="1">
      <alignment horizontal="center" vertical="center"/>
    </xf>
    <xf numFmtId="41" fontId="121" fillId="0" borderId="1098" xfId="361" applyFont="1" applyFill="1" applyBorder="1" applyAlignment="1">
      <alignment vertical="center"/>
    </xf>
    <xf numFmtId="0" fontId="154" fillId="0" borderId="1108" xfId="0" quotePrefix="1" applyFont="1" applyFill="1" applyBorder="1" applyAlignment="1">
      <alignment horizontal="center" vertical="center"/>
    </xf>
    <xf numFmtId="0" fontId="61" fillId="0" borderId="1109" xfId="0" applyFont="1" applyFill="1" applyBorder="1" applyAlignment="1">
      <alignment horizontal="center" vertical="center"/>
    </xf>
    <xf numFmtId="0" fontId="61" fillId="0" borderId="1083" xfId="0" applyFont="1" applyFill="1" applyBorder="1" applyAlignment="1">
      <alignment horizontal="center" vertical="center"/>
    </xf>
    <xf numFmtId="41" fontId="61" fillId="0" borderId="1110" xfId="361" applyFont="1" applyFill="1" applyBorder="1">
      <alignment vertical="center"/>
    </xf>
    <xf numFmtId="41" fontId="61" fillId="0" borderId="1082" xfId="361" applyFont="1" applyFill="1" applyBorder="1">
      <alignment vertical="center"/>
    </xf>
    <xf numFmtId="0" fontId="61" fillId="0" borderId="1111" xfId="0" quotePrefix="1" applyFont="1" applyFill="1" applyBorder="1" applyAlignment="1">
      <alignment horizontal="center" vertical="center"/>
    </xf>
    <xf numFmtId="41" fontId="61" fillId="0" borderId="1084" xfId="0" applyNumberFormat="1" applyFont="1" applyFill="1" applyBorder="1" applyAlignment="1">
      <alignment vertical="center"/>
    </xf>
    <xf numFmtId="41" fontId="61" fillId="0" borderId="1083" xfId="361" applyFont="1" applyFill="1" applyBorder="1" applyAlignment="1">
      <alignment vertical="center"/>
    </xf>
    <xf numFmtId="0" fontId="61" fillId="0" borderId="1112" xfId="0" quotePrefix="1" applyFont="1" applyFill="1" applyBorder="1" applyAlignment="1">
      <alignment horizontal="center" vertical="center"/>
    </xf>
    <xf numFmtId="41" fontId="121" fillId="0" borderId="1110" xfId="361" applyFont="1" applyFill="1" applyBorder="1">
      <alignment vertical="center"/>
    </xf>
    <xf numFmtId="0" fontId="61" fillId="0" borderId="1113" xfId="0" quotePrefix="1" applyFont="1" applyFill="1" applyBorder="1" applyAlignment="1">
      <alignment horizontal="center" vertical="center"/>
    </xf>
    <xf numFmtId="0" fontId="61" fillId="0" borderId="1048" xfId="0" applyFont="1" applyFill="1" applyBorder="1" applyAlignment="1">
      <alignment horizontal="center" vertical="center"/>
    </xf>
    <xf numFmtId="0" fontId="61" fillId="0" borderId="1049" xfId="0" applyFont="1" applyFill="1" applyBorder="1" applyAlignment="1">
      <alignment horizontal="center" vertical="center"/>
    </xf>
    <xf numFmtId="0" fontId="61" fillId="0" borderId="1050" xfId="0" applyFont="1" applyFill="1" applyBorder="1" applyAlignment="1">
      <alignment horizontal="center" vertical="center"/>
    </xf>
    <xf numFmtId="41" fontId="121" fillId="0" borderId="1051" xfId="361" applyFont="1" applyFill="1" applyBorder="1">
      <alignment vertical="center"/>
    </xf>
    <xf numFmtId="41" fontId="61" fillId="0" borderId="1050" xfId="361" applyFont="1" applyFill="1" applyBorder="1" applyAlignment="1">
      <alignment horizontal="center" vertical="center"/>
    </xf>
    <xf numFmtId="41" fontId="121" fillId="0" borderId="1052" xfId="361" applyFont="1" applyFill="1" applyBorder="1" applyAlignment="1">
      <alignment vertical="center"/>
    </xf>
    <xf numFmtId="0" fontId="154" fillId="0" borderId="1049" xfId="0" quotePrefix="1" applyFont="1" applyFill="1" applyBorder="1" applyAlignment="1">
      <alignment horizontal="center" vertical="center"/>
    </xf>
    <xf numFmtId="41" fontId="56" fillId="0" borderId="713" xfId="1" applyFont="1" applyFill="1" applyBorder="1" applyAlignment="1">
      <alignment vertical="center"/>
    </xf>
    <xf numFmtId="41" fontId="49" fillId="0" borderId="899" xfId="3" applyNumberFormat="1" applyFont="1" applyFill="1" applyBorder="1" applyAlignment="1">
      <alignment horizontal="center" vertical="center" shrinkToFit="1"/>
    </xf>
    <xf numFmtId="41" fontId="49" fillId="0" borderId="1114" xfId="3" applyNumberFormat="1" applyFont="1" applyFill="1" applyBorder="1" applyAlignment="1">
      <alignment horizontal="center" vertical="center" shrinkToFit="1"/>
    </xf>
    <xf numFmtId="41" fontId="49" fillId="0" borderId="1114" xfId="3" applyNumberFormat="1" applyFont="1" applyFill="1" applyBorder="1" applyAlignment="1">
      <alignment horizontal="center" vertical="center"/>
    </xf>
    <xf numFmtId="41" fontId="49" fillId="0" borderId="1115" xfId="3" applyNumberFormat="1" applyFont="1" applyFill="1" applyBorder="1" applyAlignment="1">
      <alignment vertical="center"/>
    </xf>
    <xf numFmtId="41" fontId="49" fillId="0" borderId="1116" xfId="3" applyNumberFormat="1" applyFont="1" applyFill="1" applyBorder="1" applyAlignment="1">
      <alignment horizontal="left" vertical="center"/>
    </xf>
    <xf numFmtId="43" fontId="49" fillId="0" borderId="0" xfId="97" applyNumberFormat="1" applyFont="1" applyFill="1" applyAlignment="1" applyProtection="1">
      <alignment vertical="center"/>
      <protection locked="0"/>
    </xf>
    <xf numFmtId="41" fontId="49" fillId="0" borderId="1073" xfId="97" quotePrefix="1" applyNumberFormat="1" applyFont="1" applyFill="1" applyBorder="1" applyAlignment="1">
      <alignment vertical="center"/>
    </xf>
    <xf numFmtId="187" fontId="49" fillId="0" borderId="1118" xfId="97" applyNumberFormat="1" applyFont="1" applyFill="1" applyBorder="1" applyAlignment="1">
      <alignment vertical="center"/>
    </xf>
    <xf numFmtId="41" fontId="49" fillId="0" borderId="1119" xfId="97" applyNumberFormat="1" applyFont="1" applyFill="1" applyBorder="1" applyAlignment="1">
      <alignment vertical="center"/>
    </xf>
    <xf numFmtId="41" fontId="49" fillId="0" borderId="1118" xfId="97" applyNumberFormat="1" applyFont="1" applyFill="1" applyBorder="1" applyAlignment="1">
      <alignment vertical="center"/>
    </xf>
    <xf numFmtId="41" fontId="49" fillId="0" borderId="1119" xfId="97" quotePrefix="1" applyNumberFormat="1" applyFont="1" applyFill="1" applyBorder="1" applyAlignment="1">
      <alignment vertical="center"/>
    </xf>
    <xf numFmtId="41" fontId="49" fillId="0" borderId="1120" xfId="97" quotePrefix="1" applyNumberFormat="1" applyFont="1" applyFill="1" applyBorder="1" applyAlignment="1">
      <alignment vertical="center"/>
    </xf>
    <xf numFmtId="41" fontId="49" fillId="0" borderId="1117" xfId="97" applyNumberFormat="1" applyFont="1" applyFill="1" applyBorder="1" applyAlignment="1">
      <alignment vertical="center"/>
    </xf>
    <xf numFmtId="41" fontId="49" fillId="0" borderId="1120" xfId="97" applyNumberFormat="1" applyFont="1" applyFill="1" applyBorder="1" applyAlignment="1">
      <alignment vertical="center"/>
    </xf>
    <xf numFmtId="194" fontId="49" fillId="0" borderId="1122" xfId="97" applyNumberFormat="1" applyFont="1" applyFill="1" applyBorder="1" applyAlignment="1">
      <alignment horizontal="center" vertical="center"/>
    </xf>
    <xf numFmtId="194" fontId="49" fillId="0" borderId="1123" xfId="97" applyNumberFormat="1" applyFont="1" applyFill="1" applyBorder="1" applyAlignment="1">
      <alignment horizontal="center" vertical="center"/>
    </xf>
    <xf numFmtId="194" fontId="49" fillId="0" borderId="1121" xfId="97" applyNumberFormat="1" applyFont="1" applyFill="1" applyBorder="1" applyAlignment="1">
      <alignment horizontal="center" vertical="center"/>
    </xf>
    <xf numFmtId="41" fontId="56" fillId="0" borderId="1124" xfId="109" applyNumberFormat="1" applyFont="1" applyFill="1" applyBorder="1" applyAlignment="1">
      <alignment vertical="center"/>
    </xf>
    <xf numFmtId="41" fontId="56" fillId="0" borderId="1126" xfId="109" applyNumberFormat="1" applyFont="1" applyFill="1" applyBorder="1" applyAlignment="1">
      <alignment vertical="center"/>
    </xf>
    <xf numFmtId="41" fontId="56" fillId="0" borderId="1127" xfId="109" applyNumberFormat="1" applyFont="1" applyFill="1" applyBorder="1" applyAlignment="1">
      <alignment horizontal="center" vertical="center"/>
    </xf>
    <xf numFmtId="41" fontId="57" fillId="0" borderId="954" xfId="97" applyNumberFormat="1" applyFont="1" applyFill="1" applyBorder="1" applyAlignment="1">
      <alignment horizontal="center" vertical="center"/>
    </xf>
    <xf numFmtId="41" fontId="57" fillId="0" borderId="1128" xfId="97" applyNumberFormat="1" applyFont="1" applyFill="1" applyBorder="1" applyAlignment="1">
      <alignment horizontal="center" vertical="center"/>
    </xf>
    <xf numFmtId="41" fontId="89" fillId="0" borderId="1129" xfId="97" applyNumberFormat="1" applyFont="1" applyFill="1" applyBorder="1" applyAlignment="1">
      <alignment horizontal="center" vertical="center"/>
    </xf>
    <xf numFmtId="14" fontId="56" fillId="0" borderId="1130" xfId="168" applyNumberFormat="1" applyFont="1" applyFill="1" applyBorder="1" applyAlignment="1">
      <alignment horizontal="center" vertical="center"/>
    </xf>
    <xf numFmtId="41" fontId="56" fillId="0" borderId="1131" xfId="109" applyNumberFormat="1" applyFont="1" applyFill="1" applyBorder="1" applyAlignment="1">
      <alignment horizontal="center" vertical="center"/>
    </xf>
    <xf numFmtId="41" fontId="56" fillId="0" borderId="1126" xfId="109" applyNumberFormat="1" applyFont="1" applyFill="1" applyBorder="1" applyAlignment="1">
      <alignment horizontal="center" vertical="center"/>
    </xf>
    <xf numFmtId="41" fontId="56" fillId="0" borderId="1124" xfId="97" applyNumberFormat="1" applyFont="1" applyFill="1" applyBorder="1" applyAlignment="1">
      <alignment horizontal="center" vertical="center"/>
    </xf>
    <xf numFmtId="41" fontId="56" fillId="0" borderId="1132" xfId="109" applyNumberFormat="1" applyFont="1" applyFill="1" applyBorder="1" applyAlignment="1">
      <alignment horizontal="center" vertical="center"/>
    </xf>
    <xf numFmtId="41" fontId="56" fillId="0" borderId="1133" xfId="109" applyNumberFormat="1" applyFont="1" applyFill="1" applyBorder="1" applyAlignment="1">
      <alignment horizontal="center" vertical="center"/>
    </xf>
    <xf numFmtId="41" fontId="56" fillId="0" borderId="1133" xfId="109" applyNumberFormat="1" applyFont="1" applyFill="1" applyBorder="1" applyAlignment="1">
      <alignment vertical="center"/>
    </xf>
    <xf numFmtId="41" fontId="56" fillId="0" borderId="1130" xfId="109" applyNumberFormat="1" applyFont="1" applyFill="1" applyBorder="1" applyAlignment="1">
      <alignment horizontal="center" vertical="center"/>
    </xf>
    <xf numFmtId="41" fontId="56" fillId="0" borderId="1125" xfId="109" quotePrefix="1" applyNumberFormat="1" applyFont="1" applyFill="1" applyBorder="1" applyAlignment="1">
      <alignment horizontal="center" vertical="center"/>
    </xf>
    <xf numFmtId="41" fontId="56" fillId="0" borderId="1125" xfId="109" applyNumberFormat="1" applyFont="1" applyFill="1" applyBorder="1" applyAlignment="1">
      <alignment vertical="center"/>
    </xf>
    <xf numFmtId="41" fontId="56" fillId="0" borderId="1125" xfId="109" applyNumberFormat="1" applyFont="1" applyFill="1" applyBorder="1" applyAlignment="1">
      <alignment horizontal="center" vertical="center"/>
    </xf>
    <xf numFmtId="41" fontId="56" fillId="0" borderId="1130" xfId="109" applyNumberFormat="1" applyFont="1" applyFill="1" applyBorder="1" applyAlignment="1">
      <alignment vertical="center"/>
    </xf>
    <xf numFmtId="14" fontId="56" fillId="0" borderId="1134" xfId="168" applyNumberFormat="1" applyFont="1" applyFill="1" applyBorder="1" applyAlignment="1">
      <alignment horizontal="center" vertical="center"/>
    </xf>
    <xf numFmtId="41" fontId="56" fillId="0" borderId="1134" xfId="109" applyNumberFormat="1" applyFont="1" applyFill="1" applyBorder="1" applyAlignment="1">
      <alignment horizontal="center" vertical="center"/>
    </xf>
    <xf numFmtId="41" fontId="56" fillId="0" borderId="1134" xfId="109" applyNumberFormat="1" applyFont="1" applyFill="1" applyBorder="1" applyAlignment="1">
      <alignment vertical="center"/>
    </xf>
    <xf numFmtId="41" fontId="56" fillId="0" borderId="1036" xfId="109" applyNumberFormat="1" applyFont="1" applyFill="1" applyBorder="1" applyAlignment="1">
      <alignment horizontal="center" vertical="center"/>
    </xf>
    <xf numFmtId="41" fontId="56" fillId="0" borderId="1036" xfId="109" applyNumberFormat="1" applyFont="1" applyFill="1" applyBorder="1" applyAlignment="1">
      <alignment vertical="center"/>
    </xf>
    <xf numFmtId="41" fontId="49" fillId="0" borderId="1135" xfId="97" applyNumberFormat="1" applyFont="1" applyFill="1" applyBorder="1" applyAlignment="1">
      <alignment horizontal="center" vertical="center"/>
    </xf>
    <xf numFmtId="41" fontId="49" fillId="0" borderId="1135" xfId="97" applyNumberFormat="1" applyFont="1" applyFill="1" applyBorder="1" applyAlignment="1">
      <alignment vertical="center"/>
    </xf>
    <xf numFmtId="41" fontId="49" fillId="0" borderId="1136" xfId="97" applyNumberFormat="1" applyFont="1" applyFill="1" applyBorder="1" applyAlignment="1">
      <alignment horizontal="right" vertical="center"/>
    </xf>
    <xf numFmtId="41" fontId="49" fillId="0" borderId="1138" xfId="97" applyNumberFormat="1" applyFont="1" applyFill="1" applyBorder="1" applyAlignment="1">
      <alignment horizontal="center" vertical="center"/>
    </xf>
    <xf numFmtId="41" fontId="49" fillId="0" borderId="1138" xfId="97" applyNumberFormat="1" applyFont="1" applyFill="1" applyBorder="1" applyAlignment="1">
      <alignment vertical="center"/>
    </xf>
    <xf numFmtId="41" fontId="49" fillId="0" borderId="1140" xfId="97" applyNumberFormat="1" applyFont="1" applyFill="1" applyBorder="1" applyAlignment="1">
      <alignment horizontal="center" vertical="center"/>
    </xf>
    <xf numFmtId="41" fontId="49" fillId="0" borderId="1137" xfId="97" applyNumberFormat="1" applyFont="1" applyFill="1" applyBorder="1" applyAlignment="1">
      <alignment vertical="center"/>
    </xf>
    <xf numFmtId="41" fontId="49" fillId="0" borderId="1143" xfId="97" applyNumberFormat="1" applyFont="1" applyFill="1" applyBorder="1" applyAlignment="1">
      <alignment horizontal="center" vertical="center"/>
    </xf>
    <xf numFmtId="41" fontId="49" fillId="0" borderId="1144" xfId="97" quotePrefix="1" applyNumberFormat="1" applyFont="1" applyFill="1" applyBorder="1" applyAlignment="1">
      <alignment vertical="center"/>
    </xf>
    <xf numFmtId="187" fontId="49" fillId="0" borderId="1144" xfId="97" applyNumberFormat="1" applyFont="1" applyFill="1" applyBorder="1" applyAlignment="1">
      <alignment vertical="center"/>
    </xf>
    <xf numFmtId="41" fontId="49" fillId="0" borderId="1144" xfId="97" applyNumberFormat="1" applyFont="1" applyFill="1" applyBorder="1" applyAlignment="1">
      <alignment vertical="center"/>
    </xf>
    <xf numFmtId="194" fontId="49" fillId="0" borderId="1142" xfId="97" applyNumberFormat="1" applyFont="1" applyFill="1" applyBorder="1" applyAlignment="1">
      <alignment horizontal="center" vertical="center"/>
    </xf>
    <xf numFmtId="41" fontId="49" fillId="0" borderId="1145" xfId="97" applyNumberFormat="1" applyFont="1" applyFill="1" applyBorder="1" applyAlignment="1">
      <alignment horizontal="center" vertical="center"/>
    </xf>
    <xf numFmtId="41" fontId="49" fillId="0" borderId="1145" xfId="97" quotePrefix="1" applyNumberFormat="1" applyFont="1" applyFill="1" applyBorder="1" applyAlignment="1">
      <alignment horizontal="center" vertical="center"/>
    </xf>
    <xf numFmtId="41" fontId="49" fillId="0" borderId="1142" xfId="97" applyNumberFormat="1" applyFont="1" applyFill="1" applyBorder="1" applyAlignment="1">
      <alignment vertical="center"/>
    </xf>
    <xf numFmtId="41" fontId="49" fillId="0" borderId="1144" xfId="97" applyNumberFormat="1" applyFont="1" applyFill="1" applyBorder="1" applyAlignment="1">
      <alignment horizontal="right" vertical="center"/>
    </xf>
    <xf numFmtId="41" fontId="49" fillId="0" borderId="987" xfId="97" applyNumberFormat="1" applyFont="1" applyFill="1" applyBorder="1" applyAlignment="1">
      <alignment horizontal="center" vertical="center"/>
    </xf>
    <xf numFmtId="0" fontId="60" fillId="70" borderId="1036" xfId="0" quotePrefix="1" applyFont="1" applyFill="1" applyBorder="1" applyAlignment="1">
      <alignment horizontal="center" vertical="center"/>
    </xf>
    <xf numFmtId="14" fontId="56" fillId="0" borderId="1131" xfId="168" applyNumberFormat="1" applyFont="1" applyFill="1" applyBorder="1" applyAlignment="1">
      <alignment horizontal="center" vertical="center"/>
    </xf>
    <xf numFmtId="14" fontId="56" fillId="0" borderId="129" xfId="168" applyNumberFormat="1" applyFont="1" applyFill="1" applyBorder="1" applyAlignment="1">
      <alignment horizontal="center" vertical="center"/>
    </xf>
    <xf numFmtId="14" fontId="56" fillId="0" borderId="1124" xfId="168" applyNumberFormat="1" applyFont="1" applyFill="1" applyBorder="1" applyAlignment="1">
      <alignment horizontal="center" vertical="center"/>
    </xf>
    <xf numFmtId="14" fontId="56" fillId="0" borderId="1125" xfId="168" applyNumberFormat="1" applyFont="1" applyFill="1" applyBorder="1" applyAlignment="1">
      <alignment horizontal="center" vertical="center"/>
    </xf>
    <xf numFmtId="41" fontId="49" fillId="0" borderId="1146" xfId="3" applyNumberFormat="1" applyFont="1" applyFill="1" applyBorder="1" applyAlignment="1">
      <alignment horizontal="center" vertical="center" shrinkToFit="1"/>
    </xf>
    <xf numFmtId="41" fontId="49" fillId="0" borderId="40" xfId="3" applyNumberFormat="1" applyFont="1" applyFill="1" applyBorder="1" applyAlignment="1">
      <alignment horizontal="center" vertical="center" shrinkToFit="1"/>
    </xf>
    <xf numFmtId="41" fontId="49" fillId="0" borderId="40" xfId="3" applyNumberFormat="1" applyFont="1" applyFill="1" applyBorder="1" applyAlignment="1">
      <alignment horizontal="center" vertical="center"/>
    </xf>
    <xf numFmtId="41" fontId="49" fillId="0" borderId="977" xfId="3" applyNumberFormat="1" applyFont="1" applyFill="1" applyBorder="1" applyAlignment="1">
      <alignment vertical="center"/>
    </xf>
    <xf numFmtId="41" fontId="49" fillId="0" borderId="1147" xfId="3" applyNumberFormat="1" applyFont="1" applyFill="1" applyBorder="1" applyAlignment="1">
      <alignment horizontal="left" vertical="center"/>
    </xf>
    <xf numFmtId="41" fontId="49" fillId="0" borderId="1148" xfId="3" applyNumberFormat="1" applyFont="1" applyFill="1" applyBorder="1" applyAlignment="1">
      <alignment horizontal="center" vertical="center" shrinkToFit="1"/>
    </xf>
    <xf numFmtId="41" fontId="49" fillId="0" borderId="1140" xfId="3" applyNumberFormat="1" applyFont="1" applyFill="1" applyBorder="1" applyAlignment="1">
      <alignment horizontal="center" vertical="center" shrinkToFit="1"/>
    </xf>
    <xf numFmtId="41" fontId="49" fillId="0" borderId="1140" xfId="3" applyNumberFormat="1" applyFont="1" applyFill="1" applyBorder="1" applyAlignment="1">
      <alignment horizontal="center" vertical="center"/>
    </xf>
    <xf numFmtId="41" fontId="49" fillId="0" borderId="1135" xfId="3" applyNumberFormat="1" applyFont="1" applyFill="1" applyBorder="1" applyAlignment="1">
      <alignment vertical="center"/>
    </xf>
    <xf numFmtId="41" fontId="49" fillId="0" borderId="1111" xfId="3" applyNumberFormat="1" applyFont="1" applyFill="1" applyBorder="1" applyAlignment="1">
      <alignment horizontal="left" vertical="center"/>
    </xf>
    <xf numFmtId="41" fontId="56" fillId="0" borderId="1126" xfId="109" quotePrefix="1" applyNumberFormat="1" applyFont="1" applyFill="1" applyBorder="1" applyAlignment="1">
      <alignment horizontal="center" vertical="center"/>
    </xf>
    <xf numFmtId="41" fontId="49" fillId="0" borderId="1149" xfId="97" applyNumberFormat="1" applyFont="1" applyFill="1" applyBorder="1" applyAlignment="1">
      <alignment horizontal="right" vertical="center"/>
    </xf>
    <xf numFmtId="41" fontId="49" fillId="0" borderId="1150" xfId="97" applyNumberFormat="1" applyFont="1" applyFill="1" applyBorder="1" applyAlignment="1">
      <alignment horizontal="center" vertical="center"/>
    </xf>
    <xf numFmtId="41" fontId="49" fillId="0" borderId="1151" xfId="97" applyNumberFormat="1" applyFont="1" applyFill="1" applyBorder="1" applyAlignment="1">
      <alignment horizontal="right" vertical="center"/>
    </xf>
    <xf numFmtId="194" fontId="49" fillId="0" borderId="1152" xfId="97" applyNumberFormat="1" applyFont="1" applyFill="1" applyBorder="1" applyAlignment="1">
      <alignment horizontal="center" vertical="center"/>
    </xf>
    <xf numFmtId="41" fontId="49" fillId="0" borderId="1153" xfId="97" applyNumberFormat="1" applyFont="1" applyFill="1" applyBorder="1" applyAlignment="1">
      <alignment horizontal="center" vertical="center"/>
    </xf>
    <xf numFmtId="41" fontId="49" fillId="0" borderId="1152" xfId="97" applyNumberFormat="1" applyFont="1" applyFill="1" applyBorder="1" applyAlignment="1">
      <alignment vertical="center"/>
    </xf>
    <xf numFmtId="41" fontId="49" fillId="0" borderId="1154" xfId="97" applyNumberFormat="1" applyFont="1" applyFill="1" applyBorder="1" applyAlignment="1">
      <alignment horizontal="right" vertical="center"/>
    </xf>
    <xf numFmtId="41" fontId="61" fillId="0" borderId="0" xfId="1" applyFont="1" applyAlignment="1">
      <alignment vertical="center"/>
    </xf>
    <xf numFmtId="41" fontId="57" fillId="0" borderId="71" xfId="1" applyFont="1" applyFill="1" applyBorder="1" applyAlignment="1">
      <alignment horizontal="center" vertical="center"/>
    </xf>
    <xf numFmtId="41" fontId="57" fillId="0" borderId="84" xfId="1" applyFont="1" applyFill="1" applyBorder="1" applyAlignment="1">
      <alignment horizontal="center" vertical="center"/>
    </xf>
    <xf numFmtId="41" fontId="57" fillId="0" borderId="83" xfId="1" applyFont="1" applyFill="1" applyBorder="1" applyAlignment="1">
      <alignment horizontal="center" vertical="center"/>
    </xf>
    <xf numFmtId="41" fontId="57" fillId="0" borderId="980" xfId="1" applyFont="1" applyFill="1" applyBorder="1" applyAlignment="1">
      <alignment horizontal="center" vertical="center"/>
    </xf>
    <xf numFmtId="41" fontId="57" fillId="0" borderId="992" xfId="1" applyFont="1" applyFill="1" applyBorder="1" applyAlignment="1">
      <alignment horizontal="center" vertical="center"/>
    </xf>
    <xf numFmtId="41" fontId="57" fillId="0" borderId="981" xfId="1" applyFont="1" applyFill="1" applyBorder="1" applyAlignment="1">
      <alignment horizontal="center" vertical="center"/>
    </xf>
    <xf numFmtId="184" fontId="50" fillId="0" borderId="87" xfId="1" applyNumberFormat="1" applyFont="1" applyFill="1" applyBorder="1" applyAlignment="1">
      <alignment horizontal="left" vertical="center"/>
    </xf>
    <xf numFmtId="41" fontId="56" fillId="0" borderId="648" xfId="1" applyFont="1" applyFill="1" applyBorder="1" applyAlignment="1">
      <alignment horizontal="left" vertical="center"/>
    </xf>
    <xf numFmtId="41" fontId="56" fillId="0" borderId="714" xfId="1" applyFont="1" applyFill="1" applyBorder="1" applyAlignment="1">
      <alignment horizontal="left" vertical="center"/>
    </xf>
    <xf numFmtId="41" fontId="60" fillId="70" borderId="1037" xfId="361" applyFont="1" applyFill="1" applyBorder="1" applyAlignment="1">
      <alignment horizontal="center" vertical="center"/>
    </xf>
    <xf numFmtId="41" fontId="60" fillId="70" borderId="979" xfId="361" applyFont="1" applyFill="1" applyBorder="1" applyAlignment="1">
      <alignment horizontal="center" vertical="center"/>
    </xf>
    <xf numFmtId="0" fontId="60" fillId="70" borderId="1037" xfId="0" quotePrefix="1" applyFont="1" applyFill="1" applyBorder="1" applyAlignment="1">
      <alignment horizontal="center" vertical="center"/>
    </xf>
    <xf numFmtId="0" fontId="60" fillId="70" borderId="979" xfId="0" quotePrefix="1" applyFont="1" applyFill="1" applyBorder="1" applyAlignment="1">
      <alignment horizontal="center" vertical="center"/>
    </xf>
    <xf numFmtId="0" fontId="60" fillId="70" borderId="1038" xfId="0" quotePrefix="1" applyFont="1" applyFill="1" applyBorder="1" applyAlignment="1">
      <alignment horizontal="center" vertical="center"/>
    </xf>
    <xf numFmtId="0" fontId="60" fillId="70" borderId="1039" xfId="0" quotePrefix="1" applyFont="1" applyFill="1" applyBorder="1" applyAlignment="1">
      <alignment horizontal="center" vertical="center"/>
    </xf>
    <xf numFmtId="0" fontId="60" fillId="72" borderId="1035" xfId="0" applyFont="1" applyFill="1" applyBorder="1" applyAlignment="1">
      <alignment horizontal="center" vertical="center"/>
    </xf>
    <xf numFmtId="0" fontId="60" fillId="72" borderId="1053" xfId="0" applyFont="1" applyFill="1" applyBorder="1" applyAlignment="1">
      <alignment horizontal="center" vertical="center"/>
    </xf>
    <xf numFmtId="0" fontId="60" fillId="72" borderId="1107" xfId="0" applyFont="1" applyFill="1" applyBorder="1" applyAlignment="1">
      <alignment horizontal="center" vertical="center"/>
    </xf>
    <xf numFmtId="0" fontId="60" fillId="72" borderId="1048" xfId="0" applyFont="1" applyFill="1" applyBorder="1" applyAlignment="1">
      <alignment horizontal="center" vertical="center"/>
    </xf>
    <xf numFmtId="0" fontId="60" fillId="72" borderId="1108" xfId="0" applyFont="1" applyFill="1" applyBorder="1" applyAlignment="1">
      <alignment horizontal="center" vertical="center"/>
    </xf>
    <xf numFmtId="0" fontId="60" fillId="72" borderId="1049" xfId="0" applyFont="1" applyFill="1" applyBorder="1" applyAlignment="1">
      <alignment horizontal="center" vertical="center"/>
    </xf>
    <xf numFmtId="0" fontId="60" fillId="72" borderId="1094" xfId="0" applyFont="1" applyFill="1" applyBorder="1" applyAlignment="1">
      <alignment horizontal="center" vertical="center"/>
    </xf>
    <xf numFmtId="0" fontId="60" fillId="72" borderId="1096" xfId="0" applyFont="1" applyFill="1" applyBorder="1" applyAlignment="1">
      <alignment horizontal="center" vertical="center"/>
    </xf>
    <xf numFmtId="0" fontId="60" fillId="72" borderId="1097" xfId="0" applyFont="1" applyFill="1" applyBorder="1" applyAlignment="1">
      <alignment horizontal="center" vertical="center"/>
    </xf>
    <xf numFmtId="0" fontId="60" fillId="72" borderId="1098" xfId="0" applyFont="1" applyFill="1" applyBorder="1" applyAlignment="1">
      <alignment horizontal="center" vertical="center"/>
    </xf>
    <xf numFmtId="0" fontId="66" fillId="0" borderId="912" xfId="177" applyFont="1" applyBorder="1" applyAlignment="1">
      <alignment horizontal="center" vertical="center"/>
    </xf>
    <xf numFmtId="0" fontId="66" fillId="0" borderId="801" xfId="177" applyFont="1" applyBorder="1" applyAlignment="1">
      <alignment horizontal="center" vertical="center"/>
    </xf>
    <xf numFmtId="0" fontId="66" fillId="0" borderId="824" xfId="177" applyFont="1" applyBorder="1" applyAlignment="1">
      <alignment horizontal="center" vertical="center"/>
    </xf>
    <xf numFmtId="0" fontId="66" fillId="59" borderId="790" xfId="177" applyFont="1" applyFill="1" applyBorder="1" applyAlignment="1">
      <alignment horizontal="center" vertical="center"/>
    </xf>
    <xf numFmtId="0" fontId="66" fillId="59" borderId="900" xfId="177" applyFont="1" applyFill="1" applyBorder="1" applyAlignment="1">
      <alignment horizontal="center" vertical="center"/>
    </xf>
    <xf numFmtId="186" fontId="66" fillId="59" borderId="791" xfId="359" applyNumberFormat="1" applyFont="1" applyFill="1" applyBorder="1" applyAlignment="1">
      <alignment horizontal="center" vertical="center"/>
    </xf>
    <xf numFmtId="186" fontId="66" fillId="59" borderId="796" xfId="359" applyNumberFormat="1" applyFont="1" applyFill="1" applyBorder="1" applyAlignment="1">
      <alignment horizontal="center" vertical="center"/>
    </xf>
    <xf numFmtId="186" fontId="66" fillId="59" borderId="792" xfId="359" applyNumberFormat="1" applyFont="1" applyFill="1" applyBorder="1" applyAlignment="1">
      <alignment horizontal="center" vertical="center"/>
    </xf>
    <xf numFmtId="186" fontId="66" fillId="59" borderId="793" xfId="359" applyNumberFormat="1" applyFont="1" applyFill="1" applyBorder="1" applyAlignment="1">
      <alignment horizontal="center" vertical="center"/>
    </xf>
    <xf numFmtId="186" fontId="66" fillId="59" borderId="794" xfId="359" applyNumberFormat="1" applyFont="1" applyFill="1" applyBorder="1" applyAlignment="1">
      <alignment horizontal="center" vertical="center"/>
    </xf>
    <xf numFmtId="186" fontId="66" fillId="59" borderId="797" xfId="359" applyNumberFormat="1" applyFont="1" applyFill="1" applyBorder="1" applyAlignment="1">
      <alignment horizontal="center" vertical="center"/>
    </xf>
    <xf numFmtId="0" fontId="66" fillId="0" borderId="847" xfId="177" applyFont="1" applyBorder="1" applyAlignment="1">
      <alignment horizontal="center" vertical="center"/>
    </xf>
    <xf numFmtId="0" fontId="4" fillId="0" borderId="801" xfId="86" applyBorder="1"/>
    <xf numFmtId="0" fontId="4" fillId="0" borderId="824" xfId="86" applyBorder="1"/>
    <xf numFmtId="0" fontId="66" fillId="0" borderId="1093" xfId="177" applyFont="1" applyBorder="1" applyAlignment="1">
      <alignment horizontal="center" vertical="center"/>
    </xf>
    <xf numFmtId="0" fontId="66" fillId="0" borderId="1104" xfId="177" applyFont="1" applyBorder="1" applyAlignment="1">
      <alignment horizontal="center" vertical="center"/>
    </xf>
    <xf numFmtId="0" fontId="143" fillId="0" borderId="0" xfId="355" applyFont="1" applyAlignment="1">
      <alignment horizontal="center" vertical="center"/>
    </xf>
    <xf numFmtId="0" fontId="55" fillId="0" borderId="0" xfId="355" applyAlignment="1">
      <alignment horizontal="center" vertical="center"/>
    </xf>
    <xf numFmtId="0" fontId="55" fillId="0" borderId="645" xfId="355" applyBorder="1" applyAlignment="1">
      <alignment horizontal="center" vertical="center"/>
    </xf>
    <xf numFmtId="41" fontId="49" fillId="0" borderId="1012" xfId="3" applyNumberFormat="1" applyFont="1" applyFill="1" applyBorder="1" applyAlignment="1">
      <alignment horizontal="center" vertical="center"/>
    </xf>
    <xf numFmtId="41" fontId="49" fillId="0" borderId="986" xfId="3" applyNumberFormat="1" applyFont="1" applyFill="1" applyBorder="1" applyAlignment="1">
      <alignment horizontal="center" vertical="center"/>
    </xf>
    <xf numFmtId="41" fontId="49" fillId="0" borderId="977" xfId="3" applyNumberFormat="1" applyFont="1" applyFill="1" applyBorder="1" applyAlignment="1">
      <alignment horizontal="center" vertical="center"/>
    </xf>
    <xf numFmtId="198" fontId="49" fillId="0" borderId="1026" xfId="3" applyNumberFormat="1" applyFont="1" applyFill="1" applyBorder="1" applyAlignment="1">
      <alignment horizontal="center" vertical="center"/>
    </xf>
    <xf numFmtId="198" fontId="49" fillId="0" borderId="986" xfId="3" applyNumberFormat="1" applyFont="1" applyFill="1" applyBorder="1" applyAlignment="1">
      <alignment horizontal="center" vertical="center"/>
    </xf>
    <xf numFmtId="198" fontId="49" fillId="0" borderId="386" xfId="3" applyNumberFormat="1" applyFont="1" applyFill="1" applyBorder="1" applyAlignment="1">
      <alignment horizontal="center" vertical="center"/>
    </xf>
    <xf numFmtId="14" fontId="49" fillId="0" borderId="1026" xfId="3" applyNumberFormat="1" applyFont="1" applyFill="1" applyBorder="1" applyAlignment="1">
      <alignment horizontal="center" vertical="center"/>
    </xf>
    <xf numFmtId="14" fontId="49" fillId="0" borderId="986" xfId="3" applyNumberFormat="1" applyFont="1" applyFill="1" applyBorder="1" applyAlignment="1">
      <alignment horizontal="center" vertical="center"/>
    </xf>
    <xf numFmtId="14" fontId="49" fillId="0" borderId="386" xfId="3" applyNumberFormat="1" applyFont="1" applyFill="1" applyBorder="1" applyAlignment="1">
      <alignment horizontal="center" vertical="center"/>
    </xf>
    <xf numFmtId="41" fontId="49" fillId="0" borderId="150" xfId="3" applyNumberFormat="1" applyFont="1" applyFill="1" applyBorder="1" applyAlignment="1">
      <alignment horizontal="center" vertical="center"/>
    </xf>
    <xf numFmtId="41" fontId="49" fillId="0" borderId="151" xfId="3" applyNumberFormat="1" applyFont="1" applyFill="1" applyBorder="1" applyAlignment="1">
      <alignment horizontal="center" vertical="center"/>
    </xf>
    <xf numFmtId="0" fontId="56" fillId="0" borderId="757" xfId="176" applyFont="1" applyFill="1" applyBorder="1" applyAlignment="1">
      <alignment horizontal="center" vertical="center"/>
    </xf>
    <xf numFmtId="0" fontId="56" fillId="0" borderId="758" xfId="176" applyFont="1" applyFill="1" applyBorder="1" applyAlignment="1">
      <alignment horizontal="center" vertical="center"/>
    </xf>
    <xf numFmtId="41" fontId="49" fillId="0" borderId="759" xfId="1" applyFont="1" applyFill="1" applyBorder="1" applyAlignment="1">
      <alignment horizontal="center" vertical="center"/>
    </xf>
    <xf numFmtId="41" fontId="49" fillId="0" borderId="760" xfId="1" applyFont="1" applyFill="1" applyBorder="1" applyAlignment="1">
      <alignment horizontal="center" vertical="center"/>
    </xf>
    <xf numFmtId="41" fontId="49" fillId="0" borderId="761" xfId="1" applyFont="1" applyFill="1" applyBorder="1" applyAlignment="1">
      <alignment horizontal="center" vertical="center"/>
    </xf>
    <xf numFmtId="184" fontId="50" fillId="0" borderId="65" xfId="1" applyNumberFormat="1" applyFont="1" applyFill="1" applyBorder="1" applyAlignment="1">
      <alignment horizontal="left" vertical="center"/>
    </xf>
    <xf numFmtId="41" fontId="50" fillId="26" borderId="99" xfId="97" applyNumberFormat="1" applyFont="1" applyFill="1" applyBorder="1" applyAlignment="1">
      <alignment horizontal="center" vertical="center"/>
    </xf>
    <xf numFmtId="41" fontId="50" fillId="26" borderId="104" xfId="97" applyNumberFormat="1" applyFont="1" applyFill="1" applyBorder="1" applyAlignment="1">
      <alignment horizontal="center" vertical="center"/>
    </xf>
    <xf numFmtId="41" fontId="50" fillId="26" borderId="157" xfId="97" applyNumberFormat="1" applyFont="1" applyFill="1" applyBorder="1" applyAlignment="1">
      <alignment horizontal="center" vertical="center"/>
    </xf>
    <xf numFmtId="41" fontId="50" fillId="0" borderId="1018" xfId="3" applyNumberFormat="1" applyFont="1" applyFill="1" applyBorder="1" applyAlignment="1">
      <alignment horizontal="center" vertical="center"/>
    </xf>
    <xf numFmtId="41" fontId="50" fillId="0" borderId="1019" xfId="3" applyNumberFormat="1" applyFont="1" applyFill="1" applyBorder="1" applyAlignment="1">
      <alignment horizontal="center" vertical="center"/>
    </xf>
    <xf numFmtId="41" fontId="50" fillId="0" borderId="1020" xfId="3" applyNumberFormat="1" applyFont="1" applyFill="1" applyBorder="1" applyAlignment="1">
      <alignment horizontal="center" vertical="center"/>
    </xf>
    <xf numFmtId="41" fontId="53" fillId="0" borderId="916" xfId="3" applyNumberFormat="1" applyFont="1" applyFill="1" applyBorder="1" applyAlignment="1">
      <alignment horizontal="center" vertical="center"/>
    </xf>
    <xf numFmtId="41" fontId="53" fillId="0" borderId="453" xfId="3" applyNumberFormat="1" applyFont="1" applyFill="1" applyBorder="1" applyAlignment="1">
      <alignment horizontal="center" vertical="center"/>
    </xf>
    <xf numFmtId="41" fontId="53" fillId="0" borderId="917" xfId="3" applyNumberFormat="1" applyFont="1" applyFill="1" applyBorder="1" applyAlignment="1">
      <alignment horizontal="center" vertical="center"/>
    </xf>
    <xf numFmtId="41" fontId="50" fillId="0" borderId="1065" xfId="3" applyNumberFormat="1" applyFont="1" applyFill="1" applyBorder="1" applyAlignment="1">
      <alignment horizontal="center" vertical="center"/>
    </xf>
    <xf numFmtId="41" fontId="50" fillId="0" borderId="1066" xfId="3" applyNumberFormat="1" applyFont="1" applyFill="1" applyBorder="1" applyAlignment="1">
      <alignment horizontal="center" vertical="center"/>
    </xf>
    <xf numFmtId="41" fontId="50" fillId="0" borderId="1064" xfId="3" applyNumberFormat="1" applyFont="1" applyFill="1" applyBorder="1" applyAlignment="1">
      <alignment horizontal="center" vertical="center"/>
    </xf>
    <xf numFmtId="13" fontId="49" fillId="0" borderId="0" xfId="97" quotePrefix="1" applyNumberFormat="1" applyFont="1" applyFill="1" applyBorder="1" applyAlignment="1" applyProtection="1">
      <alignment horizontal="center" vertical="center"/>
      <protection locked="0"/>
    </xf>
    <xf numFmtId="41" fontId="49" fillId="0" borderId="0" xfId="97" quotePrefix="1" applyNumberFormat="1" applyFont="1" applyFill="1" applyBorder="1" applyAlignment="1" applyProtection="1">
      <alignment horizontal="center" vertical="center"/>
      <protection locked="0"/>
    </xf>
    <xf numFmtId="14" fontId="57" fillId="60" borderId="218" xfId="167" applyNumberFormat="1" applyFont="1" applyFill="1" applyBorder="1" applyAlignment="1">
      <alignment horizontal="center" vertical="center"/>
    </xf>
    <xf numFmtId="14" fontId="57" fillId="60" borderId="257" xfId="167" applyNumberFormat="1" applyFont="1" applyFill="1" applyBorder="1" applyAlignment="1">
      <alignment horizontal="center" vertical="center"/>
    </xf>
    <xf numFmtId="14" fontId="57" fillId="60" borderId="216" xfId="167" applyNumberFormat="1" applyFont="1" applyFill="1" applyBorder="1" applyAlignment="1">
      <alignment horizontal="center" vertical="center"/>
    </xf>
    <xf numFmtId="14" fontId="57" fillId="0" borderId="922" xfId="167" applyNumberFormat="1" applyFont="1" applyFill="1" applyBorder="1" applyAlignment="1">
      <alignment horizontal="center" vertical="center"/>
    </xf>
    <xf numFmtId="14" fontId="57" fillId="0" borderId="923" xfId="167" applyNumberFormat="1" applyFont="1" applyFill="1" applyBorder="1" applyAlignment="1">
      <alignment horizontal="center" vertical="center"/>
    </xf>
    <xf numFmtId="41" fontId="50" fillId="0" borderId="201" xfId="97" applyNumberFormat="1" applyFont="1" applyFill="1" applyBorder="1" applyAlignment="1">
      <alignment horizontal="center" vertical="center"/>
    </xf>
    <xf numFmtId="41" fontId="50" fillId="0" borderId="204" xfId="97" applyNumberFormat="1" applyFont="1" applyFill="1" applyBorder="1" applyAlignment="1">
      <alignment horizontal="center" vertical="center"/>
    </xf>
    <xf numFmtId="41" fontId="50" fillId="0" borderId="202" xfId="97" applyNumberFormat="1" applyFont="1" applyFill="1" applyBorder="1" applyAlignment="1">
      <alignment horizontal="center" vertical="center"/>
    </xf>
    <xf numFmtId="41" fontId="50" fillId="0" borderId="205" xfId="97" applyNumberFormat="1" applyFont="1" applyFill="1" applyBorder="1" applyAlignment="1">
      <alignment horizontal="center" vertical="center"/>
    </xf>
    <xf numFmtId="0" fontId="91" fillId="0" borderId="325" xfId="328" applyBorder="1" applyAlignment="1">
      <alignment horizontal="center" vertical="center"/>
    </xf>
    <xf numFmtId="0" fontId="96" fillId="0" borderId="606" xfId="328" applyFont="1" applyFill="1" applyBorder="1" applyAlignment="1">
      <alignment horizontal="center" vertical="center"/>
    </xf>
    <xf numFmtId="0" fontId="96" fillId="0" borderId="609" xfId="328" applyFont="1" applyFill="1" applyBorder="1" applyAlignment="1">
      <alignment horizontal="center" vertical="center"/>
    </xf>
    <xf numFmtId="0" fontId="96" fillId="0" borderId="144" xfId="328" applyFont="1" applyFill="1" applyBorder="1" applyAlignment="1">
      <alignment horizontal="center" vertical="center"/>
    </xf>
    <xf numFmtId="0" fontId="96" fillId="0" borderId="603" xfId="328" applyFont="1" applyFill="1" applyBorder="1" applyAlignment="1">
      <alignment horizontal="center" vertical="center"/>
    </xf>
    <xf numFmtId="41" fontId="96" fillId="0" borderId="294" xfId="210" applyFont="1" applyFill="1" applyBorder="1" applyAlignment="1">
      <alignment horizontal="center" vertical="center"/>
    </xf>
    <xf numFmtId="41" fontId="96" fillId="0" borderId="145" xfId="210" applyFont="1" applyFill="1" applyBorder="1" applyAlignment="1">
      <alignment horizontal="center" vertical="center"/>
    </xf>
    <xf numFmtId="41" fontId="96" fillId="0" borderId="188" xfId="210" applyFont="1" applyFill="1" applyBorder="1" applyAlignment="1">
      <alignment horizontal="center" vertical="center"/>
    </xf>
    <xf numFmtId="0" fontId="96" fillId="0" borderId="90" xfId="0" applyFont="1" applyFill="1" applyBorder="1" applyAlignment="1">
      <alignment horizontal="center" vertical="center"/>
    </xf>
    <xf numFmtId="0" fontId="96" fillId="0" borderId="549" xfId="0" applyFont="1" applyFill="1" applyBorder="1" applyAlignment="1">
      <alignment horizontal="center" vertical="center"/>
    </xf>
    <xf numFmtId="0" fontId="96" fillId="0" borderId="144" xfId="0" applyFont="1" applyFill="1" applyBorder="1" applyAlignment="1">
      <alignment horizontal="center" vertical="center"/>
    </xf>
    <xf numFmtId="0" fontId="96" fillId="0" borderId="519" xfId="0" applyFont="1" applyFill="1" applyBorder="1" applyAlignment="1">
      <alignment horizontal="center" vertical="center"/>
    </xf>
    <xf numFmtId="0" fontId="67" fillId="0" borderId="439" xfId="328" applyFont="1" applyBorder="1" applyAlignment="1">
      <alignment horizontal="center" vertical="center"/>
    </xf>
    <xf numFmtId="0" fontId="67" fillId="0" borderId="129" xfId="328" applyFont="1" applyBorder="1" applyAlignment="1">
      <alignment horizontal="center" vertical="center"/>
    </xf>
    <xf numFmtId="0" fontId="67" fillId="0" borderId="148" xfId="328" applyFont="1" applyBorder="1" applyAlignment="1">
      <alignment horizontal="center" vertical="center"/>
    </xf>
    <xf numFmtId="0" fontId="67" fillId="0" borderId="431" xfId="328" applyFont="1" applyBorder="1" applyAlignment="1">
      <alignment horizontal="center" vertical="center"/>
    </xf>
    <xf numFmtId="10" fontId="67" fillId="0" borderId="431" xfId="328" applyNumberFormat="1" applyFont="1" applyBorder="1" applyAlignment="1">
      <alignment horizontal="center" vertical="center"/>
    </xf>
    <xf numFmtId="0" fontId="136" fillId="0" borderId="0" xfId="328" applyFont="1" applyAlignment="1">
      <alignment horizontal="center" vertical="center"/>
    </xf>
    <xf numFmtId="0" fontId="66" fillId="59" borderId="432" xfId="328" applyFont="1" applyFill="1" applyBorder="1" applyAlignment="1">
      <alignment horizontal="center" vertical="center"/>
    </xf>
    <xf numFmtId="0" fontId="66" fillId="59" borderId="433" xfId="328" applyFont="1" applyFill="1" applyBorder="1" applyAlignment="1">
      <alignment horizontal="center" vertical="center"/>
    </xf>
    <xf numFmtId="0" fontId="66" fillId="59" borderId="434" xfId="328" applyFont="1" applyFill="1" applyBorder="1" applyAlignment="1">
      <alignment horizontal="center" vertical="center"/>
    </xf>
    <xf numFmtId="0" fontId="137" fillId="59" borderId="432" xfId="328" applyFont="1" applyFill="1" applyBorder="1" applyAlignment="1">
      <alignment horizontal="center" vertical="center"/>
    </xf>
    <xf numFmtId="0" fontId="137" fillId="59" borderId="433" xfId="328" applyFont="1" applyFill="1" applyBorder="1" applyAlignment="1">
      <alignment horizontal="center" vertical="center"/>
    </xf>
    <xf numFmtId="0" fontId="137" fillId="59" borderId="434" xfId="328" applyFont="1" applyFill="1" applyBorder="1" applyAlignment="1">
      <alignment horizontal="center" vertical="center"/>
    </xf>
    <xf numFmtId="0" fontId="66" fillId="59" borderId="435" xfId="328" applyFont="1" applyFill="1" applyBorder="1" applyAlignment="1">
      <alignment horizontal="center" vertical="center"/>
    </xf>
    <xf numFmtId="0" fontId="66" fillId="59" borderId="220" xfId="328" applyFont="1" applyFill="1" applyBorder="1" applyAlignment="1">
      <alignment horizontal="center" vertical="center"/>
    </xf>
    <xf numFmtId="41" fontId="66" fillId="59" borderId="436" xfId="210" applyFont="1" applyFill="1" applyBorder="1" applyAlignment="1">
      <alignment horizontal="center" vertical="center"/>
    </xf>
    <xf numFmtId="41" fontId="66" fillId="59" borderId="437" xfId="210" applyFont="1" applyFill="1" applyBorder="1" applyAlignment="1">
      <alignment horizontal="center" vertical="center"/>
    </xf>
    <xf numFmtId="41" fontId="66" fillId="59" borderId="438" xfId="210" applyFont="1" applyFill="1" applyBorder="1" applyAlignment="1">
      <alignment horizontal="center" vertical="center"/>
    </xf>
    <xf numFmtId="0" fontId="66" fillId="59" borderId="439" xfId="328" applyFont="1" applyFill="1" applyBorder="1" applyAlignment="1">
      <alignment horizontal="center" vertical="center"/>
    </xf>
    <xf numFmtId="0" fontId="66" fillId="59" borderId="148" xfId="328" applyFont="1" applyFill="1" applyBorder="1" applyAlignment="1">
      <alignment horizontal="center" vertical="center"/>
    </xf>
    <xf numFmtId="41" fontId="66" fillId="59" borderId="439" xfId="210" applyFont="1" applyFill="1" applyBorder="1" applyAlignment="1">
      <alignment horizontal="center" vertical="center"/>
    </xf>
    <xf numFmtId="41" fontId="66" fillId="59" borderId="148" xfId="210" applyFont="1" applyFill="1" applyBorder="1" applyAlignment="1">
      <alignment horizontal="center" vertical="center"/>
    </xf>
    <xf numFmtId="0" fontId="66" fillId="0" borderId="281" xfId="328" applyFont="1" applyBorder="1" applyAlignment="1">
      <alignment horizontal="center" vertical="center"/>
    </xf>
    <xf numFmtId="0" fontId="66" fillId="0" borderId="283" xfId="328" applyFont="1" applyBorder="1" applyAlignment="1">
      <alignment horizontal="center" vertical="center"/>
    </xf>
    <xf numFmtId="14" fontId="67" fillId="0" borderId="431" xfId="328" applyNumberFormat="1" applyFont="1" applyBorder="1" applyAlignment="1">
      <alignment horizontal="center" vertical="center"/>
    </xf>
    <xf numFmtId="0" fontId="61" fillId="0" borderId="431" xfId="328" applyFont="1" applyBorder="1" applyAlignment="1">
      <alignment horizontal="center" vertical="center" wrapText="1"/>
    </xf>
    <xf numFmtId="41" fontId="49" fillId="0" borderId="762" xfId="97" applyNumberFormat="1" applyFont="1" applyFill="1" applyBorder="1" applyAlignment="1">
      <alignment horizontal="center" vertical="center"/>
    </xf>
    <xf numFmtId="41" fontId="49" fillId="0" borderId="115" xfId="97" applyNumberFormat="1" applyFont="1" applyFill="1" applyBorder="1" applyAlignment="1">
      <alignment horizontal="center" vertical="center"/>
    </xf>
    <xf numFmtId="41" fontId="49" fillId="0" borderId="938" xfId="97" applyNumberFormat="1" applyFont="1" applyFill="1" applyBorder="1" applyAlignment="1">
      <alignment horizontal="center" vertical="center"/>
    </xf>
    <xf numFmtId="41" fontId="49" fillId="0" borderId="932" xfId="97" applyNumberFormat="1" applyFont="1" applyFill="1" applyBorder="1" applyAlignment="1">
      <alignment horizontal="center" vertical="center"/>
    </xf>
    <xf numFmtId="41" fontId="49" fillId="0" borderId="940" xfId="97" applyNumberFormat="1" applyFont="1" applyFill="1" applyBorder="1" applyAlignment="1">
      <alignment horizontal="center" vertical="center"/>
    </xf>
    <xf numFmtId="41" fontId="49" fillId="0" borderId="915" xfId="97" applyNumberFormat="1" applyFont="1" applyFill="1" applyBorder="1" applyAlignment="1">
      <alignment horizontal="center" vertical="center"/>
    </xf>
    <xf numFmtId="194" fontId="49" fillId="60" borderId="594" xfId="97" applyNumberFormat="1" applyFont="1" applyFill="1" applyBorder="1" applyAlignment="1">
      <alignment horizontal="center" vertical="center"/>
    </xf>
    <xf numFmtId="194" fontId="49" fillId="60" borderId="0" xfId="97" applyNumberFormat="1" applyFont="1" applyFill="1" applyBorder="1" applyAlignment="1">
      <alignment horizontal="center" vertical="center"/>
    </xf>
    <xf numFmtId="194" fontId="49" fillId="60" borderId="61" xfId="97" applyNumberFormat="1" applyFont="1" applyFill="1" applyBorder="1" applyAlignment="1">
      <alignment horizontal="center" vertical="center"/>
    </xf>
    <xf numFmtId="41" fontId="50" fillId="0" borderId="595" xfId="97" applyNumberFormat="1" applyFont="1" applyFill="1" applyBorder="1" applyAlignment="1">
      <alignment horizontal="center" vertical="center"/>
    </xf>
    <xf numFmtId="41" fontId="50" fillId="0" borderId="596" xfId="97" applyNumberFormat="1" applyFont="1" applyFill="1" applyBorder="1" applyAlignment="1">
      <alignment horizontal="center" vertical="center"/>
    </xf>
    <xf numFmtId="41" fontId="50" fillId="0" borderId="925" xfId="97" applyNumberFormat="1" applyFont="1" applyFill="1" applyBorder="1" applyAlignment="1">
      <alignment horizontal="center" vertical="center"/>
    </xf>
    <xf numFmtId="41" fontId="50" fillId="0" borderId="597" xfId="97" applyNumberFormat="1" applyFont="1" applyFill="1" applyBorder="1" applyAlignment="1">
      <alignment horizontal="center" vertical="center"/>
    </xf>
    <xf numFmtId="184" fontId="50" fillId="0" borderId="143" xfId="1" applyNumberFormat="1" applyFont="1" applyFill="1" applyBorder="1" applyAlignment="1">
      <alignment horizontal="left" vertical="center"/>
    </xf>
    <xf numFmtId="194" fontId="49" fillId="0" borderId="941" xfId="97" applyNumberFormat="1" applyFont="1" applyFill="1" applyBorder="1" applyAlignment="1">
      <alignment horizontal="center" vertical="center"/>
    </xf>
    <xf numFmtId="194" fontId="49" fillId="0" borderId="928" xfId="97" applyNumberFormat="1" applyFont="1" applyFill="1" applyBorder="1" applyAlignment="1">
      <alignment horizontal="center" vertical="center"/>
    </xf>
    <xf numFmtId="41" fontId="49" fillId="0" borderId="935" xfId="97" applyNumberFormat="1" applyFont="1" applyFill="1" applyBorder="1" applyAlignment="1">
      <alignment horizontal="center" vertical="center"/>
    </xf>
    <xf numFmtId="41" fontId="49" fillId="0" borderId="929" xfId="97" applyNumberFormat="1" applyFont="1" applyFill="1" applyBorder="1" applyAlignment="1">
      <alignment horizontal="center" vertical="center"/>
    </xf>
    <xf numFmtId="194" fontId="49" fillId="0" borderId="935" xfId="97" applyNumberFormat="1" applyFont="1" applyFill="1" applyBorder="1" applyAlignment="1">
      <alignment horizontal="center" vertical="center"/>
    </xf>
    <xf numFmtId="194" fontId="49" fillId="0" borderId="929" xfId="97" applyNumberFormat="1" applyFont="1" applyFill="1" applyBorder="1" applyAlignment="1">
      <alignment horizontal="center" vertical="center"/>
    </xf>
    <xf numFmtId="193" fontId="49" fillId="0" borderId="1029" xfId="2" applyNumberFormat="1" applyFont="1" applyFill="1" applyBorder="1" applyAlignment="1">
      <alignment horizontal="center" vertical="center"/>
    </xf>
    <xf numFmtId="193" fontId="49" fillId="0" borderId="1030" xfId="2" applyNumberFormat="1" applyFont="1" applyFill="1" applyBorder="1" applyAlignment="1">
      <alignment horizontal="center" vertical="center"/>
    </xf>
    <xf numFmtId="41" fontId="50" fillId="0" borderId="99" xfId="97" applyNumberFormat="1" applyFont="1" applyFill="1" applyBorder="1" applyAlignment="1">
      <alignment horizontal="center" vertical="center"/>
    </xf>
    <xf numFmtId="41" fontId="50" fillId="0" borderId="103" xfId="97" applyNumberFormat="1" applyFont="1" applyFill="1" applyBorder="1" applyAlignment="1">
      <alignment horizontal="center" vertical="center"/>
    </xf>
    <xf numFmtId="41" fontId="50" fillId="59" borderId="329" xfId="97" applyNumberFormat="1" applyFont="1" applyFill="1" applyBorder="1" applyAlignment="1" applyProtection="1">
      <alignment horizontal="center" vertical="center"/>
      <protection locked="0"/>
    </xf>
    <xf numFmtId="41" fontId="50" fillId="59" borderId="304" xfId="97" applyNumberFormat="1" applyFont="1" applyFill="1" applyBorder="1" applyAlignment="1" applyProtection="1">
      <alignment horizontal="center" vertical="center"/>
      <protection locked="0"/>
    </xf>
    <xf numFmtId="41" fontId="50" fillId="59" borderId="491" xfId="97" applyNumberFormat="1" applyFont="1" applyFill="1" applyBorder="1" applyAlignment="1" applyProtection="1">
      <alignment horizontal="center" vertical="center"/>
      <protection locked="0"/>
    </xf>
    <xf numFmtId="41" fontId="50" fillId="60" borderId="315" xfId="97" applyNumberFormat="1" applyFont="1" applyFill="1" applyBorder="1" applyAlignment="1">
      <alignment horizontal="center" vertical="center"/>
    </xf>
    <xf numFmtId="41" fontId="50" fillId="60" borderId="308" xfId="97" applyNumberFormat="1" applyFont="1" applyFill="1" applyBorder="1" applyAlignment="1">
      <alignment horizontal="center" vertical="center"/>
    </xf>
    <xf numFmtId="41" fontId="50" fillId="60" borderId="69" xfId="97" applyNumberFormat="1" applyFont="1" applyFill="1" applyBorder="1" applyAlignment="1">
      <alignment horizontal="center" vertical="center"/>
    </xf>
    <xf numFmtId="14" fontId="50" fillId="0" borderId="409" xfId="97" applyNumberFormat="1" applyFont="1" applyFill="1" applyBorder="1" applyAlignment="1">
      <alignment horizontal="left" vertical="center" wrapText="1"/>
    </xf>
    <xf numFmtId="14" fontId="50" fillId="0" borderId="420" xfId="97" applyNumberFormat="1" applyFont="1" applyFill="1" applyBorder="1" applyAlignment="1">
      <alignment horizontal="left" vertical="center" wrapText="1"/>
    </xf>
    <xf numFmtId="14" fontId="50" fillId="0" borderId="308" xfId="97" applyNumberFormat="1" applyFont="1" applyFill="1" applyBorder="1" applyAlignment="1">
      <alignment horizontal="left" vertical="center" wrapText="1"/>
    </xf>
    <xf numFmtId="14" fontId="50" fillId="0" borderId="313" xfId="97" applyNumberFormat="1" applyFont="1" applyFill="1" applyBorder="1" applyAlignment="1">
      <alignment horizontal="left" vertical="center" wrapText="1"/>
    </xf>
    <xf numFmtId="41" fontId="50" fillId="59" borderId="294" xfId="97" applyNumberFormat="1" applyFont="1" applyFill="1" applyBorder="1" applyAlignment="1">
      <alignment horizontal="center" vertical="center"/>
    </xf>
    <xf numFmtId="41" fontId="50" fillId="59" borderId="146" xfId="97" applyNumberFormat="1" applyFont="1" applyFill="1" applyBorder="1" applyAlignment="1">
      <alignment horizontal="center" vertical="center"/>
    </xf>
    <xf numFmtId="41" fontId="50" fillId="59" borderId="295" xfId="97" applyNumberFormat="1" applyFont="1" applyFill="1" applyBorder="1" applyAlignment="1">
      <alignment horizontal="center" vertical="center"/>
    </xf>
    <xf numFmtId="41" fontId="50" fillId="59" borderId="287" xfId="97" applyNumberFormat="1" applyFont="1" applyFill="1" applyBorder="1" applyAlignment="1">
      <alignment horizontal="center" vertical="center"/>
    </xf>
    <xf numFmtId="41" fontId="50" fillId="59" borderId="303" xfId="97" applyNumberFormat="1" applyFont="1" applyFill="1" applyBorder="1" applyAlignment="1">
      <alignment horizontal="center" vertical="center" wrapText="1"/>
    </xf>
    <xf numFmtId="41" fontId="50" fillId="59" borderId="306" xfId="97" applyNumberFormat="1" applyFont="1" applyFill="1" applyBorder="1" applyAlignment="1">
      <alignment horizontal="center" vertical="center" wrapText="1"/>
    </xf>
    <xf numFmtId="41" fontId="50" fillId="59" borderId="303" xfId="97" applyNumberFormat="1" applyFont="1" applyFill="1" applyBorder="1" applyAlignment="1" applyProtection="1">
      <alignment horizontal="center" vertical="center"/>
      <protection locked="0"/>
    </xf>
    <xf numFmtId="41" fontId="50" fillId="59" borderId="306" xfId="97" applyNumberFormat="1" applyFont="1" applyFill="1" applyBorder="1" applyAlignment="1" applyProtection="1">
      <alignment horizontal="center" vertical="center"/>
      <protection locked="0"/>
    </xf>
    <xf numFmtId="41" fontId="50" fillId="59" borderId="488" xfId="97" applyNumberFormat="1" applyFont="1" applyFill="1" applyBorder="1" applyAlignment="1" applyProtection="1">
      <alignment horizontal="center" vertical="center"/>
      <protection locked="0"/>
    </xf>
    <xf numFmtId="41" fontId="50" fillId="59" borderId="489" xfId="97" applyNumberFormat="1" applyFont="1" applyFill="1" applyBorder="1" applyAlignment="1" applyProtection="1">
      <alignment horizontal="center" vertical="center"/>
      <protection locked="0"/>
    </xf>
    <xf numFmtId="0" fontId="0" fillId="0" borderId="143" xfId="0" applyBorder="1">
      <alignment vertical="center"/>
    </xf>
    <xf numFmtId="194" fontId="49" fillId="0" borderId="1139" xfId="97" applyNumberFormat="1" applyFont="1" applyFill="1" applyBorder="1" applyAlignment="1">
      <alignment horizontal="center" vertical="center"/>
    </xf>
    <xf numFmtId="194" fontId="49" fillId="0" borderId="986" xfId="97" applyNumberFormat="1" applyFont="1" applyFill="1" applyBorder="1" applyAlignment="1">
      <alignment horizontal="center" vertical="center"/>
    </xf>
    <xf numFmtId="194" fontId="49" fillId="0" borderId="1141" xfId="97" applyNumberFormat="1" applyFont="1" applyFill="1" applyBorder="1" applyAlignment="1">
      <alignment horizontal="center" vertical="center"/>
    </xf>
    <xf numFmtId="41" fontId="49" fillId="0" borderId="1139" xfId="97" quotePrefix="1" applyNumberFormat="1" applyFont="1" applyFill="1" applyBorder="1" applyAlignment="1">
      <alignment horizontal="center" vertical="center"/>
    </xf>
    <xf numFmtId="41" fontId="49" fillId="0" borderId="986" xfId="97" quotePrefix="1" applyNumberFormat="1" applyFont="1" applyFill="1" applyBorder="1" applyAlignment="1">
      <alignment horizontal="center" vertical="center"/>
    </xf>
    <xf numFmtId="41" fontId="49" fillId="0" borderId="1141" xfId="97" quotePrefix="1" applyNumberFormat="1" applyFont="1" applyFill="1" applyBorder="1" applyAlignment="1">
      <alignment horizontal="center" vertical="center"/>
    </xf>
    <xf numFmtId="41" fontId="49" fillId="0" borderId="1072" xfId="97" quotePrefix="1" applyNumberFormat="1" applyFont="1" applyFill="1" applyBorder="1" applyAlignment="1">
      <alignment horizontal="center" vertical="center"/>
    </xf>
    <xf numFmtId="194" fontId="49" fillId="0" borderId="1026" xfId="97" applyNumberFormat="1" applyFont="1" applyFill="1" applyBorder="1" applyAlignment="1">
      <alignment horizontal="center" vertical="center"/>
    </xf>
    <xf numFmtId="194" fontId="49" fillId="0" borderId="1138" xfId="97" applyNumberFormat="1" applyFont="1" applyFill="1" applyBorder="1" applyAlignment="1">
      <alignment horizontal="center" vertical="center"/>
    </xf>
    <xf numFmtId="41" fontId="49" fillId="0" borderId="1138" xfId="97" applyNumberFormat="1" applyFont="1" applyFill="1" applyBorder="1" applyAlignment="1">
      <alignment horizontal="center" vertical="center"/>
    </xf>
    <xf numFmtId="41" fontId="49" fillId="0" borderId="1138" xfId="97" quotePrefix="1" applyNumberFormat="1" applyFont="1" applyFill="1" applyBorder="1" applyAlignment="1">
      <alignment horizontal="center" vertical="center"/>
    </xf>
    <xf numFmtId="14" fontId="57" fillId="0" borderId="1036" xfId="168" applyNumberFormat="1" applyFont="1" applyFill="1" applyBorder="1" applyAlignment="1">
      <alignment horizontal="center" vertical="center"/>
    </xf>
    <xf numFmtId="14" fontId="57" fillId="60" borderId="959" xfId="167" applyNumberFormat="1" applyFont="1" applyFill="1" applyBorder="1" applyAlignment="1">
      <alignment horizontal="center" vertical="center"/>
    </xf>
    <xf numFmtId="14" fontId="57" fillId="60" borderId="992" xfId="167" applyNumberFormat="1" applyFont="1" applyFill="1" applyBorder="1" applyAlignment="1">
      <alignment horizontal="center" vertical="center"/>
    </xf>
    <xf numFmtId="14" fontId="57" fillId="60" borderId="960" xfId="167" applyNumberFormat="1" applyFont="1" applyFill="1" applyBorder="1" applyAlignment="1">
      <alignment horizontal="center" vertical="center"/>
    </xf>
    <xf numFmtId="14" fontId="57" fillId="60" borderId="206" xfId="167" applyNumberFormat="1" applyFont="1" applyFill="1" applyBorder="1" applyAlignment="1">
      <alignment horizontal="center" vertical="center"/>
    </xf>
    <xf numFmtId="14" fontId="57" fillId="60" borderId="170" xfId="167" applyNumberFormat="1" applyFont="1" applyFill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41" fontId="49" fillId="0" borderId="294" xfId="119" applyNumberFormat="1" applyFont="1" applyFill="1" applyBorder="1" applyAlignment="1" applyProtection="1">
      <alignment horizontal="center" vertical="center"/>
      <protection locked="0"/>
    </xf>
    <xf numFmtId="41" fontId="49" fillId="0" borderId="302" xfId="119" applyNumberFormat="1" applyFont="1" applyFill="1" applyBorder="1" applyAlignment="1" applyProtection="1">
      <alignment horizontal="center" vertical="center"/>
      <protection locked="0"/>
    </xf>
    <xf numFmtId="41" fontId="49" fillId="0" borderId="145" xfId="119" applyNumberFormat="1" applyFont="1" applyFill="1" applyBorder="1" applyAlignment="1" applyProtection="1">
      <alignment horizontal="center" vertical="center"/>
      <protection locked="0"/>
    </xf>
    <xf numFmtId="41" fontId="49" fillId="0" borderId="213" xfId="119" applyNumberFormat="1" applyFont="1" applyFill="1" applyBorder="1" applyAlignment="1" applyProtection="1">
      <alignment horizontal="center" vertical="center"/>
      <protection locked="0"/>
    </xf>
    <xf numFmtId="3" fontId="49" fillId="0" borderId="145" xfId="110" applyNumberFormat="1" applyFont="1" applyFill="1" applyBorder="1" applyAlignment="1">
      <alignment horizontal="center" vertical="center"/>
    </xf>
    <xf numFmtId="3" fontId="49" fillId="0" borderId="146" xfId="110" applyNumberFormat="1" applyFont="1" applyFill="1" applyBorder="1" applyAlignment="1">
      <alignment horizontal="center" vertical="center"/>
    </xf>
    <xf numFmtId="41" fontId="49" fillId="0" borderId="329" xfId="119" applyNumberFormat="1" applyFont="1" applyFill="1" applyBorder="1" applyAlignment="1" applyProtection="1">
      <alignment horizontal="center" vertical="center"/>
      <protection locked="0"/>
    </xf>
    <xf numFmtId="41" fontId="49" fillId="0" borderId="304" xfId="119" applyNumberFormat="1" applyFont="1" applyFill="1" applyBorder="1" applyAlignment="1" applyProtection="1">
      <alignment horizontal="center" vertical="center"/>
      <protection locked="0"/>
    </xf>
    <xf numFmtId="41" fontId="49" fillId="0" borderId="305" xfId="119" applyNumberFormat="1" applyFont="1" applyFill="1" applyBorder="1" applyAlignment="1" applyProtection="1">
      <alignment horizontal="center" vertical="center"/>
      <protection locked="0"/>
    </xf>
    <xf numFmtId="41" fontId="49" fillId="0" borderId="188" xfId="119" applyNumberFormat="1" applyFont="1" applyFill="1" applyBorder="1" applyAlignment="1" applyProtection="1">
      <alignment horizontal="center" vertical="center"/>
      <protection locked="0"/>
    </xf>
    <xf numFmtId="41" fontId="49" fillId="0" borderId="215" xfId="119" applyNumberFormat="1" applyFont="1" applyFill="1" applyBorder="1" applyAlignment="1" applyProtection="1">
      <alignment horizontal="center" vertical="center"/>
      <protection locked="0"/>
    </xf>
    <xf numFmtId="41" fontId="100" fillId="0" borderId="89" xfId="118" applyFont="1" applyFill="1" applyBorder="1" applyAlignment="1" applyProtection="1">
      <alignment horizontal="center" vertical="center"/>
      <protection locked="0"/>
    </xf>
    <xf numFmtId="41" fontId="100" fillId="0" borderId="91" xfId="118" applyFont="1" applyFill="1" applyBorder="1" applyAlignment="1" applyProtection="1">
      <alignment horizontal="center" vertical="center"/>
      <protection locked="0"/>
    </xf>
    <xf numFmtId="41" fontId="49" fillId="0" borderId="303" xfId="119" applyNumberFormat="1" applyFont="1" applyFill="1" applyBorder="1" applyAlignment="1" applyProtection="1">
      <alignment horizontal="center" vertical="center" wrapText="1"/>
      <protection locked="0"/>
    </xf>
    <xf numFmtId="41" fontId="49" fillId="0" borderId="332" xfId="119" applyNumberFormat="1" applyFont="1" applyFill="1" applyBorder="1" applyAlignment="1" applyProtection="1">
      <alignment horizontal="center" vertical="center"/>
      <protection locked="0"/>
    </xf>
    <xf numFmtId="41" fontId="49" fillId="0" borderId="335" xfId="119" applyNumberFormat="1" applyFont="1" applyFill="1" applyBorder="1" applyAlignment="1" applyProtection="1">
      <alignment horizontal="center" vertical="center"/>
      <protection locked="0"/>
    </xf>
    <xf numFmtId="3" fontId="49" fillId="0" borderId="336" xfId="110" applyNumberFormat="1" applyFont="1" applyFill="1" applyBorder="1" applyAlignment="1">
      <alignment horizontal="center" vertical="center"/>
    </xf>
    <xf numFmtId="3" fontId="49" fillId="0" borderId="337" xfId="110" applyNumberFormat="1" applyFont="1" applyFill="1" applyBorder="1" applyAlignment="1">
      <alignment horizontal="center" vertical="center"/>
    </xf>
    <xf numFmtId="41" fontId="60" fillId="0" borderId="23" xfId="118" applyFont="1" applyBorder="1" applyAlignment="1">
      <alignment horizontal="center" vertical="center"/>
    </xf>
    <xf numFmtId="41" fontId="60" fillId="0" borderId="24" xfId="118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49" fillId="0" borderId="986" xfId="97" applyNumberFormat="1" applyFont="1" applyFill="1" applyBorder="1" applyAlignment="1">
      <alignment horizontal="center" vertical="center"/>
    </xf>
    <xf numFmtId="194" fontId="49" fillId="0" borderId="386" xfId="97" applyNumberFormat="1" applyFont="1" applyFill="1" applyBorder="1" applyAlignment="1">
      <alignment horizontal="center" vertical="center"/>
    </xf>
    <xf numFmtId="41" fontId="49" fillId="0" borderId="1026" xfId="97" applyNumberFormat="1" applyFont="1" applyFill="1" applyBorder="1" applyAlignment="1">
      <alignment horizontal="center" vertical="center"/>
    </xf>
    <xf numFmtId="41" fontId="49" fillId="0" borderId="386" xfId="97" applyNumberFormat="1" applyFont="1" applyFill="1" applyBorder="1" applyAlignment="1">
      <alignment horizontal="center" vertical="center"/>
    </xf>
    <xf numFmtId="41" fontId="50" fillId="59" borderId="366" xfId="97" applyNumberFormat="1" applyFont="1" applyFill="1" applyBorder="1" applyAlignment="1">
      <alignment horizontal="center" vertical="center"/>
    </xf>
    <xf numFmtId="41" fontId="50" fillId="59" borderId="362" xfId="97" applyNumberFormat="1" applyFont="1" applyFill="1" applyBorder="1" applyAlignment="1">
      <alignment horizontal="center" vertical="center"/>
    </xf>
    <xf numFmtId="41" fontId="50" fillId="59" borderId="303" xfId="1" applyFont="1" applyFill="1" applyBorder="1" applyAlignment="1">
      <alignment horizontal="center" vertical="center" wrapText="1"/>
    </xf>
    <xf numFmtId="41" fontId="50" fillId="59" borderId="306" xfId="1" applyFont="1" applyFill="1" applyBorder="1" applyAlignment="1">
      <alignment horizontal="center" vertical="center" wrapText="1"/>
    </xf>
    <xf numFmtId="41" fontId="50" fillId="59" borderId="90" xfId="1" applyFont="1" applyFill="1" applyBorder="1" applyAlignment="1" applyProtection="1">
      <alignment horizontal="center" vertical="center"/>
      <protection locked="0"/>
    </xf>
    <xf numFmtId="41" fontId="50" fillId="59" borderId="80" xfId="1" applyFont="1" applyFill="1" applyBorder="1" applyAlignment="1" applyProtection="1">
      <alignment horizontal="center" vertical="center"/>
      <protection locked="0"/>
    </xf>
    <xf numFmtId="41" fontId="50" fillId="59" borderId="305" xfId="1" applyFont="1" applyFill="1" applyBorder="1" applyAlignment="1" applyProtection="1">
      <alignment horizontal="center" vertical="center"/>
      <protection locked="0"/>
    </xf>
    <xf numFmtId="41" fontId="50" fillId="59" borderId="324" xfId="1" applyFont="1" applyFill="1" applyBorder="1" applyAlignment="1" applyProtection="1">
      <alignment horizontal="center" vertical="center"/>
      <protection locked="0"/>
    </xf>
    <xf numFmtId="41" fontId="50" fillId="59" borderId="325" xfId="1" applyFont="1" applyFill="1" applyBorder="1" applyAlignment="1" applyProtection="1">
      <alignment horizontal="center" vertical="center"/>
      <protection locked="0"/>
    </xf>
    <xf numFmtId="41" fontId="50" fillId="59" borderId="128" xfId="1" applyFont="1" applyFill="1" applyBorder="1" applyAlignment="1" applyProtection="1">
      <alignment horizontal="center" vertical="center"/>
      <protection locked="0"/>
    </xf>
    <xf numFmtId="41" fontId="50" fillId="59" borderId="294" xfId="1" applyFont="1" applyFill="1" applyBorder="1" applyAlignment="1" applyProtection="1">
      <alignment horizontal="center" vertical="center"/>
      <protection locked="0"/>
    </xf>
    <xf numFmtId="41" fontId="50" fillId="59" borderId="145" xfId="1" applyFont="1" applyFill="1" applyBorder="1" applyAlignment="1" applyProtection="1">
      <alignment horizontal="center" vertical="center"/>
      <protection locked="0"/>
    </xf>
    <xf numFmtId="41" fontId="50" fillId="59" borderId="323" xfId="1" applyFont="1" applyFill="1" applyBorder="1" applyAlignment="1" applyProtection="1">
      <alignment horizontal="center" vertical="center"/>
      <protection locked="0"/>
    </xf>
  </cellXfs>
  <cellStyles count="362">
    <cellStyle name="??&amp;O?&amp;H?_x0008_??_x0007__x0001__x0001_" xfId="4"/>
    <cellStyle name="_상환sheet" xfId="360"/>
    <cellStyle name="20% - 强调文字颜色 1" xfId="5"/>
    <cellStyle name="20% - 强调文字颜色 1 2" xfId="212"/>
    <cellStyle name="20% - 强调文字颜色 2" xfId="6"/>
    <cellStyle name="20% - 强调文字颜色 2 2" xfId="213"/>
    <cellStyle name="20% - 强调文字颜色 3" xfId="7"/>
    <cellStyle name="20% - 强调文字颜色 3 2" xfId="214"/>
    <cellStyle name="20% - 强调文字颜色 4" xfId="8"/>
    <cellStyle name="20% - 强调文字颜色 4 2" xfId="215"/>
    <cellStyle name="20% - 强调文字颜色 5" xfId="9"/>
    <cellStyle name="20% - 强调文字颜色 5 2" xfId="216"/>
    <cellStyle name="20% - 强调文字颜色 6" xfId="10"/>
    <cellStyle name="20% - 强调文字颜色 6 2" xfId="217"/>
    <cellStyle name="20% - 강조색1" xfId="143" builtinId="30" customBuiltin="1"/>
    <cellStyle name="20% - 강조색2" xfId="147" builtinId="34" customBuiltin="1"/>
    <cellStyle name="20% - 강조색3" xfId="151" builtinId="38" customBuiltin="1"/>
    <cellStyle name="20% - 강조색4" xfId="155" builtinId="42" customBuiltin="1"/>
    <cellStyle name="20% - 강조색5" xfId="159" builtinId="46" customBuiltin="1"/>
    <cellStyle name="20% - 강조색6" xfId="163" builtinId="50" customBuiltin="1"/>
    <cellStyle name="40% - 强调文字颜色 1" xfId="11"/>
    <cellStyle name="40% - 强调文字颜色 1 2" xfId="218"/>
    <cellStyle name="40% - 强调文字颜色 2" xfId="12"/>
    <cellStyle name="40% - 强调文字颜色 2 2" xfId="219"/>
    <cellStyle name="40% - 强调文字颜色 3" xfId="13"/>
    <cellStyle name="40% - 强调文字颜色 3 2" xfId="220"/>
    <cellStyle name="40% - 强调文字颜色 4" xfId="14"/>
    <cellStyle name="40% - 强调文字颜色 4 2" xfId="221"/>
    <cellStyle name="40% - 强调文字颜色 5" xfId="15"/>
    <cellStyle name="40% - 强调文字颜色 5 2" xfId="222"/>
    <cellStyle name="40% - 强调文字颜色 6" xfId="16"/>
    <cellStyle name="40% - 强调文字颜色 6 2" xfId="223"/>
    <cellStyle name="40% - 강조색1" xfId="144" builtinId="31" customBuiltin="1"/>
    <cellStyle name="40% - 강조색2" xfId="148" builtinId="35" customBuiltin="1"/>
    <cellStyle name="40% - 강조색3" xfId="152" builtinId="39" customBuiltin="1"/>
    <cellStyle name="40% - 강조색4" xfId="156" builtinId="43" customBuiltin="1"/>
    <cellStyle name="40% - 강조색5" xfId="160" builtinId="47" customBuiltin="1"/>
    <cellStyle name="40% - 강조색6" xfId="164" builtinId="51" customBuiltin="1"/>
    <cellStyle name="60% - 强调文字颜色 1" xfId="17"/>
    <cellStyle name="60% - 强调文字颜色 1 2" xfId="224"/>
    <cellStyle name="60% - 强调文字颜色 1 3" xfId="287"/>
    <cellStyle name="60% - 强调文字颜色 2" xfId="18"/>
    <cellStyle name="60% - 强调文字颜色 2 2" xfId="225"/>
    <cellStyle name="60% - 强调文字颜色 2 3" xfId="288"/>
    <cellStyle name="60% - 强调文字颜色 3" xfId="19"/>
    <cellStyle name="60% - 强调文字颜色 3 2" xfId="226"/>
    <cellStyle name="60% - 强调文字颜色 3 3" xfId="289"/>
    <cellStyle name="60% - 强调文字颜色 4" xfId="20"/>
    <cellStyle name="60% - 强调文字颜色 4 2" xfId="227"/>
    <cellStyle name="60% - 强调文字颜色 4 3" xfId="290"/>
    <cellStyle name="60% - 强调文字颜色 5" xfId="21"/>
    <cellStyle name="60% - 强调文字颜色 5 2" xfId="228"/>
    <cellStyle name="60% - 强调文字颜色 5 3" xfId="291"/>
    <cellStyle name="60% - 强调文字颜色 6" xfId="22"/>
    <cellStyle name="60% - 强调文字颜色 6 2" xfId="229"/>
    <cellStyle name="60% - 强调文字颜色 6 3" xfId="292"/>
    <cellStyle name="60% - 강조색1" xfId="145" builtinId="32" customBuiltin="1"/>
    <cellStyle name="60% - 강조색2" xfId="149" builtinId="36" customBuiltin="1"/>
    <cellStyle name="60% - 강조색3" xfId="153" builtinId="40" customBuiltin="1"/>
    <cellStyle name="60% - 강조색4" xfId="157" builtinId="44" customBuiltin="1"/>
    <cellStyle name="60% - 강조색5" xfId="161" builtinId="48" customBuiltin="1"/>
    <cellStyle name="60% - 강조색6" xfId="165" builtinId="52" customBuiltin="1"/>
    <cellStyle name="category" xfId="23"/>
    <cellStyle name="Comma" xfId="24"/>
    <cellStyle name="Comma [0]_CCOCPX" xfId="99"/>
    <cellStyle name="Comma_09.3월" xfId="25"/>
    <cellStyle name="Currency" xfId="26"/>
    <cellStyle name="Currency [0]_CCOCPX" xfId="100"/>
    <cellStyle name="Currency_09.3월" xfId="27"/>
    <cellStyle name="Grey" xfId="28"/>
    <cellStyle name="HEADER" xfId="29"/>
    <cellStyle name="Header1" xfId="30"/>
    <cellStyle name="Header2" xfId="31"/>
    <cellStyle name="Header2 2" xfId="179"/>
    <cellStyle name="Header2 3" xfId="339"/>
    <cellStyle name="Header2 4" xfId="353"/>
    <cellStyle name="Input [yellow]" xfId="32"/>
    <cellStyle name="Input [yellow] 2" xfId="180"/>
    <cellStyle name="Input [yellow] 3" xfId="293"/>
    <cellStyle name="Input [yellow] 4" xfId="340"/>
    <cellStyle name="Input [yellow] 5" xfId="352"/>
    <cellStyle name="Model" xfId="33"/>
    <cellStyle name="Model 2" xfId="181"/>
    <cellStyle name="Normal - Style1" xfId="34"/>
    <cellStyle name="Normal_#26-PSS Rev and Drivers " xfId="35"/>
    <cellStyle name="Percent" xfId="36"/>
    <cellStyle name="Percent [2]" xfId="37"/>
    <cellStyle name="Percent 2" xfId="336"/>
    <cellStyle name="Percent 3" xfId="305"/>
    <cellStyle name="Percent_09.3월" xfId="38"/>
    <cellStyle name="subhead" xfId="39"/>
    <cellStyle name="强调文字颜色 1" xfId="40"/>
    <cellStyle name="强调文字颜色 1 2" xfId="230"/>
    <cellStyle name="强调文字颜色 1 3" xfId="294"/>
    <cellStyle name="强调文字颜色 2" xfId="41"/>
    <cellStyle name="强调文字颜色 2 2" xfId="231"/>
    <cellStyle name="强调文字颜色 2 3" xfId="295"/>
    <cellStyle name="强调文字颜色 3" xfId="42"/>
    <cellStyle name="强调文字颜色 3 2" xfId="232"/>
    <cellStyle name="强调文字颜色 3 3" xfId="296"/>
    <cellStyle name="强调文字颜色 4" xfId="43"/>
    <cellStyle name="强调文字颜色 4 2" xfId="233"/>
    <cellStyle name="强调文字颜色 4 3" xfId="297"/>
    <cellStyle name="强调文字颜色 5" xfId="44"/>
    <cellStyle name="强调文字颜色 5 2" xfId="234"/>
    <cellStyle name="强调文字颜色 5 3" xfId="298"/>
    <cellStyle name="强调文字颜色 6" xfId="45"/>
    <cellStyle name="强调文字颜色 6 2" xfId="235"/>
    <cellStyle name="强调文字颜色 6 3" xfId="299"/>
    <cellStyle name="강조색1" xfId="142" builtinId="29" customBuiltin="1"/>
    <cellStyle name="강조색2" xfId="146" builtinId="33" customBuiltin="1"/>
    <cellStyle name="강조색3" xfId="150" builtinId="37" customBuiltin="1"/>
    <cellStyle name="강조색4" xfId="154" builtinId="41" customBuiltin="1"/>
    <cellStyle name="강조색5" xfId="158" builtinId="45" customBuiltin="1"/>
    <cellStyle name="강조색6" xfId="162" builtinId="49" customBuiltin="1"/>
    <cellStyle name="检查单元格" xfId="46"/>
    <cellStyle name="检查单元格 2" xfId="182"/>
    <cellStyle name="检查单元格 3" xfId="236"/>
    <cellStyle name="检查单元格 4" xfId="300"/>
    <cellStyle name="경고문" xfId="138" builtinId="11" customBuiltin="1"/>
    <cellStyle name="警告文本" xfId="47"/>
    <cellStyle name="警告文本 2" xfId="237"/>
    <cellStyle name="警告文本 3" xfId="301"/>
    <cellStyle name="계산" xfId="135" builtinId="22" customBuiltin="1"/>
    <cellStyle name="计算" xfId="48"/>
    <cellStyle name="计算 2" xfId="183"/>
    <cellStyle name="计算 3" xfId="238"/>
    <cellStyle name="计算 4" xfId="302"/>
    <cellStyle name="고정소숫점" xfId="49"/>
    <cellStyle name="고정출력1" xfId="50"/>
    <cellStyle name="고정출력2" xfId="51"/>
    <cellStyle name="适中" xfId="52"/>
    <cellStyle name="适中 2" xfId="239"/>
    <cellStyle name="适中 3" xfId="303"/>
    <cellStyle name="금액" xfId="53"/>
    <cellStyle name="나쁨" xfId="131" builtinId="27" customBuiltin="1"/>
    <cellStyle name="날짜" xfId="54"/>
    <cellStyle name="달러" xfId="55"/>
    <cellStyle name="똿뗦먛귟 [0.00]_PRODUCT DETAIL Q1" xfId="56"/>
    <cellStyle name="똿뗦먛귟_PRODUCT DETAIL Q1" xfId="57"/>
    <cellStyle name="链接单元格" xfId="58"/>
    <cellStyle name="链接单元格 2" xfId="240"/>
    <cellStyle name="链接单元格 3" xfId="304"/>
    <cellStyle name="메모" xfId="139" builtinId="10" customBuiltin="1"/>
    <cellStyle name="믅됞 [0.00]_PRODUCT DETAIL Q1" xfId="59"/>
    <cellStyle name="믅됞_PRODUCT DETAIL Q1" xfId="60"/>
    <cellStyle name="백분율" xfId="2" builtinId="5"/>
    <cellStyle name="백분율 2" xfId="61"/>
    <cellStyle name="백분율 2 2" xfId="357"/>
    <cellStyle name="백분율 3" xfId="98"/>
    <cellStyle name="백분율 3 2" xfId="120"/>
    <cellStyle name="백분율 4" xfId="211"/>
    <cellStyle name="보통" xfId="132" builtinId="28" customBuiltin="1"/>
    <cellStyle name="뷭?_BOOKSHIP" xfId="62"/>
    <cellStyle name="常规 2" xfId="63"/>
    <cellStyle name="常规 2 2" xfId="241"/>
    <cellStyle name="常规 2 3" xfId="306"/>
    <cellStyle name="常规 3" xfId="64"/>
    <cellStyle name="常规 3 2" xfId="242"/>
    <cellStyle name="常规 3 3" xfId="307"/>
    <cellStyle name="常规_7月半成品成本计算表" xfId="65"/>
    <cellStyle name="설명 텍스트" xfId="140" builtinId="53" customBuiltin="1"/>
    <cellStyle name="셀 확인" xfId="137" builtinId="23" customBuiltin="1"/>
    <cellStyle name="输入" xfId="66"/>
    <cellStyle name="输入 2" xfId="184"/>
    <cellStyle name="输入 3" xfId="243"/>
    <cellStyle name="输入 4" xfId="308"/>
    <cellStyle name="输出" xfId="67"/>
    <cellStyle name="输出 2" xfId="185"/>
    <cellStyle name="输出 3" xfId="244"/>
    <cellStyle name="输出 4" xfId="309"/>
    <cellStyle name="숫자(R)" xfId="68"/>
    <cellStyle name="쉼표" xfId="354" builtinId="3"/>
    <cellStyle name="쉼표 [0]" xfId="1" builtinId="6"/>
    <cellStyle name="쉼표 [0] 10" xfId="200"/>
    <cellStyle name="쉼표 [0] 11" xfId="210"/>
    <cellStyle name="쉼표 [0] 12" xfId="245"/>
    <cellStyle name="쉼표 [0] 13" xfId="310"/>
    <cellStyle name="쉼표 [0] 14" xfId="342"/>
    <cellStyle name="쉼표 [0] 15" xfId="359"/>
    <cellStyle name="쉼표 [0] 16" xfId="361"/>
    <cellStyle name="쉼표 [0] 2" xfId="69"/>
    <cellStyle name="쉼표 [0] 2 2" xfId="186"/>
    <cellStyle name="쉼표 [0] 2 3" xfId="201"/>
    <cellStyle name="쉼표 [0] 2 4" xfId="246"/>
    <cellStyle name="쉼표 [0] 2 5" xfId="311"/>
    <cellStyle name="쉼표 [0] 2 6" xfId="343"/>
    <cellStyle name="쉼표 [0] 2 7" xfId="356"/>
    <cellStyle name="쉼표 [0] 3" xfId="118"/>
    <cellStyle name="쉼표 [0] 3 2" xfId="122"/>
    <cellStyle name="쉼표 [0] 3 2 2" xfId="194"/>
    <cellStyle name="쉼표 [0] 3 2 3" xfId="204"/>
    <cellStyle name="쉼표 [0] 3 2 4" xfId="248"/>
    <cellStyle name="쉼표 [0] 3 2 5" xfId="313"/>
    <cellStyle name="쉼표 [0] 3 2 6" xfId="345"/>
    <cellStyle name="쉼표 [0] 3 3" xfId="193"/>
    <cellStyle name="쉼표 [0] 3 4" xfId="203"/>
    <cellStyle name="쉼표 [0] 3 5" xfId="247"/>
    <cellStyle name="쉼표 [0] 3 6" xfId="312"/>
    <cellStyle name="쉼표 [0] 3 7" xfId="344"/>
    <cellStyle name="쉼표 [0] 4" xfId="123"/>
    <cellStyle name="쉼표 [0] 4 2" xfId="195"/>
    <cellStyle name="쉼표 [0] 4 3" xfId="205"/>
    <cellStyle name="쉼표 [0] 4 4" xfId="249"/>
    <cellStyle name="쉼표 [0] 4 5" xfId="314"/>
    <cellStyle name="쉼표 [0] 4 6" xfId="346"/>
    <cellStyle name="쉼표 [0] 5" xfId="171"/>
    <cellStyle name="쉼표 [0] 5 2" xfId="197"/>
    <cellStyle name="쉼표 [0] 5 3" xfId="207"/>
    <cellStyle name="쉼표 [0] 5 4" xfId="250"/>
    <cellStyle name="쉼표 [0] 5 5" xfId="347"/>
    <cellStyle name="쉼표 [0] 6" xfId="169"/>
    <cellStyle name="쉼표 [0] 6 2" xfId="196"/>
    <cellStyle name="쉼표 [0] 6 3" xfId="206"/>
    <cellStyle name="쉼표 [0] 6 4" xfId="251"/>
    <cellStyle name="쉼표 [0] 6 5" xfId="348"/>
    <cellStyle name="쉼표 [0] 7" xfId="172"/>
    <cellStyle name="쉼표 [0] 7 2" xfId="198"/>
    <cellStyle name="쉼표 [0] 7 3" xfId="208"/>
    <cellStyle name="쉼표 [0] 7 4" xfId="252"/>
    <cellStyle name="쉼표 [0] 7 5" xfId="349"/>
    <cellStyle name="쉼표 [0] 8" xfId="173"/>
    <cellStyle name="쉼표 [0] 8 2" xfId="199"/>
    <cellStyle name="쉼표 [0] 8 3" xfId="209"/>
    <cellStyle name="쉼표 [0] 8 4" xfId="253"/>
    <cellStyle name="쉼표 [0] 8 5" xfId="350"/>
    <cellStyle name="쉼표 [0] 9" xfId="178"/>
    <cellStyle name="쉼표 2" xfId="358"/>
    <cellStyle name="스타일 1" xfId="101"/>
    <cellStyle name="연결된 셀" xfId="136" builtinId="24" customBuiltin="1"/>
    <cellStyle name="요약" xfId="141" builtinId="25" customBuiltin="1"/>
    <cellStyle name="입력" xfId="133" builtinId="20" customBuiltin="1"/>
    <cellStyle name="자리수" xfId="70"/>
    <cellStyle name="자리수0" xfId="71"/>
    <cellStyle name="제목" xfId="125" builtinId="15" customBuiltin="1"/>
    <cellStyle name="제목 1" xfId="126" builtinId="16" customBuiltin="1"/>
    <cellStyle name="제목 2" xfId="127" builtinId="17" customBuiltin="1"/>
    <cellStyle name="제목 3" xfId="128" builtinId="18" customBuiltin="1"/>
    <cellStyle name="제목 4" xfId="129" builtinId="19" customBuiltin="1"/>
    <cellStyle name="좋음" xfId="130" builtinId="26" customBuiltin="1"/>
    <cellStyle name="注释" xfId="72"/>
    <cellStyle name="注释 2" xfId="187"/>
    <cellStyle name="注释 3" xfId="254"/>
    <cellStyle name="注释 4" xfId="315"/>
    <cellStyle name="注释 5" xfId="341"/>
    <cellStyle name="差" xfId="73"/>
    <cellStyle name="差 2" xfId="255"/>
    <cellStyle name="差 3" xfId="316"/>
    <cellStyle name="差_09.3월" xfId="74"/>
    <cellStyle name="差_09.3월 2" xfId="256"/>
    <cellStyle name="差_09.3월_2010년 3AOP 공급 3사 열요금비교_2" xfId="102"/>
    <cellStyle name="差_09.3월_2010년 3AOP 공급 3사 열요금비교_2 2" xfId="257"/>
    <cellStyle name="差_09.3월_2010년 3AOP 공급 3사 열요금비교_2 3" xfId="317"/>
    <cellStyle name="差_09.3월_2011 탈질비용 추정" xfId="103"/>
    <cellStyle name="差_09.3월_2011 탈질비용 추정 2" xfId="191"/>
    <cellStyle name="差_09.3월_2011 탈질비용 추정 3" xfId="258"/>
    <cellStyle name="差_09.3월_2011 탈질운영비 재산정" xfId="104"/>
    <cellStyle name="差_09.3월_2011 탈질운영비 재산정 2" xfId="259"/>
    <cellStyle name="差_09.3월_2011 탈질운영비 재산정 3" xfId="318"/>
    <cellStyle name="差_09.3월_2011.05월분 요금" xfId="105"/>
    <cellStyle name="差_09.3월_2011.05월분 요금 2" xfId="260"/>
    <cellStyle name="差_09.3월_2011년 사업계획(파워텍-110104)" xfId="106"/>
    <cellStyle name="差_09.3월_2011년 사업계획(파워텍-110104) 2" xfId="261"/>
    <cellStyle name="差_09.3월_2011년 수정사업계획(110425-아트원제외)" xfId="107"/>
    <cellStyle name="差_09.3월_2011년 수정사업계획(110425-아트원제외) 2" xfId="262"/>
    <cellStyle name="差_09.3월_군소수용가 탈질정산내역110928" xfId="108"/>
    <cellStyle name="差_09.3월_군소수용가 탈질정산내역110928 2" xfId="263"/>
    <cellStyle name="差_09.3월_군소수용가 탈질정산내역110928 3" xfId="319"/>
    <cellStyle name="差_09.3월_유,무형자산명세서(2010)" xfId="95"/>
    <cellStyle name="差_09.3월_유,무형자산명세서(2010) 2" xfId="264"/>
    <cellStyle name="差_09.3월_유,무형자산명세서(2010) 3" xfId="320"/>
    <cellStyle name="千位分隔 2" xfId="75"/>
    <cellStyle name="千位分隔 2 2" xfId="265"/>
    <cellStyle name="千位分隔 2 3" xfId="321"/>
    <cellStyle name="출력" xfId="134" builtinId="21" customBuiltin="1"/>
    <cellStyle name="콤마 [0]_(type)총괄" xfId="76"/>
    <cellStyle name="콤마_(type)총괄" xfId="77"/>
    <cellStyle name="테두리(실선)" xfId="78"/>
    <cellStyle name="테두리(실선) 2" xfId="188"/>
    <cellStyle name="테두리(실선) 3" xfId="266"/>
    <cellStyle name="테두리(실선) 4" xfId="322"/>
    <cellStyle name="테두리(실선) 5" xfId="351"/>
    <cellStyle name="퍼센트" xfId="79"/>
    <cellStyle name="标题" xfId="80"/>
    <cellStyle name="标题 1" xfId="81"/>
    <cellStyle name="标题 1 2" xfId="268"/>
    <cellStyle name="标题 1 3" xfId="324"/>
    <cellStyle name="标题 2" xfId="82"/>
    <cellStyle name="标题 2 2" xfId="269"/>
    <cellStyle name="标题 2 3" xfId="325"/>
    <cellStyle name="标题 3" xfId="83"/>
    <cellStyle name="标题 3 2" xfId="270"/>
    <cellStyle name="标题 3 3" xfId="326"/>
    <cellStyle name="标题 4" xfId="84"/>
    <cellStyle name="标题 4 2" xfId="271"/>
    <cellStyle name="标题 4 3" xfId="327"/>
    <cellStyle name="标题 5" xfId="267"/>
    <cellStyle name="标题 6" xfId="323"/>
    <cellStyle name="标题_09.3월" xfId="85"/>
    <cellStyle name="표준" xfId="0" builtinId="0"/>
    <cellStyle name="표준 11" xfId="166"/>
    <cellStyle name="표준 12" xfId="167"/>
    <cellStyle name="표준 13" xfId="168"/>
    <cellStyle name="표준 192" xfId="328"/>
    <cellStyle name="표준 2" xfId="86"/>
    <cellStyle name="표준 2 2" xfId="355"/>
    <cellStyle name="표준 3" xfId="97"/>
    <cellStyle name="표준 3 2" xfId="119"/>
    <cellStyle name="표준 3 3" xfId="121"/>
    <cellStyle name="표준 3 3 2" xfId="272"/>
    <cellStyle name="표준 4" xfId="124"/>
    <cellStyle name="표준 4 2" xfId="273"/>
    <cellStyle name="표준 5" xfId="174"/>
    <cellStyle name="표준 5 2" xfId="274"/>
    <cellStyle name="표준 6" xfId="175"/>
    <cellStyle name="표준 6 2" xfId="170"/>
    <cellStyle name="표준 6 2 2" xfId="177"/>
    <cellStyle name="표준 7" xfId="338"/>
    <cellStyle name="표준_1월 결산_영남" xfId="176"/>
    <cellStyle name="표준_미지급금" xfId="109"/>
    <cellStyle name="표준_미지급비용" xfId="110"/>
    <cellStyle name="표준_부속명세서(2007)" xfId="94"/>
    <cellStyle name="표준_부속명세서(2009)" xfId="3"/>
    <cellStyle name="하이퍼링크" xfId="337" builtinId="8"/>
    <cellStyle name="합산" xfId="87"/>
    <cellStyle name="합산 2" xfId="189"/>
    <cellStyle name="합산 3" xfId="202"/>
    <cellStyle name="解释性文本" xfId="88"/>
    <cellStyle name="解释性文本 2" xfId="275"/>
    <cellStyle name="解释性文本 3" xfId="329"/>
    <cellStyle name="好" xfId="89"/>
    <cellStyle name="好 2" xfId="276"/>
    <cellStyle name="好 3" xfId="330"/>
    <cellStyle name="好_09.3월" xfId="90"/>
    <cellStyle name="好_09.3월 2" xfId="277"/>
    <cellStyle name="好_09.3월_2010년 3AOP 공급 3사 열요금비교_2" xfId="111"/>
    <cellStyle name="好_09.3월_2010년 3AOP 공급 3사 열요금비교_2 2" xfId="278"/>
    <cellStyle name="好_09.3월_2010년 3AOP 공급 3사 열요금비교_2 3" xfId="331"/>
    <cellStyle name="好_09.3월_2011 탈질비용 추정" xfId="112"/>
    <cellStyle name="好_09.3월_2011 탈질비용 추정 2" xfId="192"/>
    <cellStyle name="好_09.3월_2011 탈질비용 추정 3" xfId="279"/>
    <cellStyle name="好_09.3월_2011 탈질운영비 재산정" xfId="113"/>
    <cellStyle name="好_09.3월_2011 탈질운영비 재산정 2" xfId="280"/>
    <cellStyle name="好_09.3월_2011 탈질운영비 재산정 3" xfId="332"/>
    <cellStyle name="好_09.3월_2011.05월분 요금" xfId="114"/>
    <cellStyle name="好_09.3월_2011.05월분 요금 2" xfId="281"/>
    <cellStyle name="好_09.3월_2011년 사업계획(파워텍-110104)" xfId="115"/>
    <cellStyle name="好_09.3월_2011년 사업계획(파워텍-110104) 2" xfId="282"/>
    <cellStyle name="好_09.3월_2011년 수정사업계획(110425-아트원제외)" xfId="116"/>
    <cellStyle name="好_09.3월_2011년 수정사업계획(110425-아트원제외) 2" xfId="283"/>
    <cellStyle name="好_09.3월_군소수용가 탈질정산내역110928" xfId="117"/>
    <cellStyle name="好_09.3월_군소수용가 탈질정산내역110928 2" xfId="284"/>
    <cellStyle name="好_09.3월_군소수용가 탈질정산내역110928 3" xfId="333"/>
    <cellStyle name="好_09.3월_유,무형자산명세서(2010)" xfId="96"/>
    <cellStyle name="好_09.3월_유,무형자산명세서(2010) 2" xfId="285"/>
    <cellStyle name="好_09.3월_유,무형자산명세서(2010) 3" xfId="334"/>
    <cellStyle name="화폐기호" xfId="91"/>
    <cellStyle name="화폐기호0" xfId="92"/>
    <cellStyle name="汇总" xfId="93"/>
    <cellStyle name="汇总 2" xfId="190"/>
    <cellStyle name="汇总 3" xfId="286"/>
    <cellStyle name="汇总 4" xfId="335"/>
  </cellStyles>
  <dxfs count="0"/>
  <tableStyles count="0" defaultTableStyle="TableStyleMedium9" defaultPivotStyle="PivotStyleLight16"/>
  <colors>
    <mruColors>
      <color rgb="FFFF0066"/>
      <color rgb="FF99CC00"/>
      <color rgb="FFFFFF99"/>
      <color rgb="FF9966FF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externalLink" Target="externalLinks/externalLink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5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6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1019175</xdr:colOff>
      <xdr:row>45</xdr:row>
      <xdr:rowOff>0</xdr:rowOff>
    </xdr:from>
    <xdr:ext cx="76200" cy="209550"/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72525" y="8162925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1019175</xdr:colOff>
      <xdr:row>17</xdr:row>
      <xdr:rowOff>123825</xdr:rowOff>
    </xdr:from>
    <xdr:ext cx="76200" cy="209550"/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8772525" y="13115925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1019175</xdr:colOff>
      <xdr:row>20</xdr:row>
      <xdr:rowOff>123825</xdr:rowOff>
    </xdr:from>
    <xdr:ext cx="76200" cy="209550"/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8772525" y="3705225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lsgm/Documents/1.%20&#54924;&#44228;/1.%20&#44208;&#49328;/2023&#45380;/12&#50900;/&#48176;&#52636;&#44428;(2023)/2023&#45380;%20&#48176;&#52636;&#4442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5432;&#49888;&#55148;/Documents/1.%20&#54924;&#44228;/7.%20&#44048;&#49324;/2017&#45380;/&#49324;&#52292;%20&#48143;%20&#52264;&#51077;&#44552;/&#51204;&#54872;&#49324;&#52292;%20&#51312;&#51221;_v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5432;&#49888;&#55148;/Documents/1.%20&#54924;&#44228;/1.%20&#44208;&#49328;/&#50836;&#52397;&#51088;&#47308;/&#44208;&#49328;&#47749;&#49464;&#49436;(20161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5432;&#49888;&#55148;%20&#48177;&#50629;\&#45432;&#49888;&#55148;\&#54924;&#44228;\7.%20&#44048;&#49324;\16&#45380;%20&#51473;&#44036;&#44048;&#49324;\&#51204;&#54872;&#44428;,&#54788;&#54624;&#52264;(&#49688;&#51221;)_v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5432;&#49888;&#55148;/Documents/1.%20&#54924;&#44228;/7.%20&#44048;&#49324;/2016&#45380;/16&#45380;%20&#51473;&#44036;&#44048;&#49324;/&#51204;&#54872;&#44428;,&#54788;&#54624;&#52264;(&#49688;&#51221;)_v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8516;&#47448;\&#51088;&#44552;\Re-Fianacing(CB,150114)\&#50896;&#47532;&#44552;&#49345;&#54872;\4&#52264;(160113)\&#51228;4&#52264;%20&#49345;&#54872;&#45236;&#50669;(160113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Temporary%20Internet%20Files/Low/&#54869;&#51221;&#44553;&#50668;&#52292;&#47924;,&#49324;&#50808;&#51201;&#47549;&#51088;&#49328;(1606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년 (2)"/>
      <sheetName val="2023년"/>
      <sheetName val="2022년"/>
      <sheetName val="2021년(정산금반영)"/>
      <sheetName val="2021년(배출량확정)"/>
      <sheetName val="2021년"/>
      <sheetName val="2020년"/>
      <sheetName val="2019년..  (4)"/>
      <sheetName val="2019년..  (3)"/>
      <sheetName val="2019년..  (2)"/>
      <sheetName val="2019년.. "/>
      <sheetName val="2018년.."/>
      <sheetName val="Sheet2"/>
      <sheetName val="정리"/>
      <sheetName val="2017년"/>
      <sheetName val="2018년"/>
      <sheetName val="2019년"/>
      <sheetName val="Sheet1"/>
      <sheetName val="풀이"/>
    </sheetNames>
    <sheetDataSet>
      <sheetData sheetId="0"/>
      <sheetData sheetId="1"/>
      <sheetData sheetId="2"/>
      <sheetData sheetId="3">
        <row r="4">
          <cell r="F4">
            <v>1546146584.1889117</v>
          </cell>
        </row>
      </sheetData>
      <sheetData sheetId="4"/>
      <sheetData sheetId="5"/>
      <sheetData sheetId="6">
        <row r="32">
          <cell r="D32">
            <v>681254</v>
          </cell>
        </row>
      </sheetData>
      <sheetData sheetId="7">
        <row r="19">
          <cell r="D19">
            <v>26686</v>
          </cell>
        </row>
        <row r="20">
          <cell r="D20">
            <v>708252241.30434787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"/>
      <sheetName val="151231"/>
      <sheetName val="조기상환(160113)"/>
      <sheetName val="스케줄(160113)"/>
      <sheetName val="조기상환(161013)"/>
      <sheetName val="스케줄(161013)"/>
      <sheetName val="Sheet1_1"/>
    </sheetNames>
    <sheetDataSet>
      <sheetData sheetId="0"/>
      <sheetData sheetId="1"/>
      <sheetData sheetId="2">
        <row r="31">
          <cell r="D31">
            <v>15946536800</v>
          </cell>
        </row>
        <row r="73">
          <cell r="S73">
            <v>13676550541.690908</v>
          </cell>
          <cell r="T73">
            <v>707409738.08181822</v>
          </cell>
        </row>
        <row r="74">
          <cell r="S74">
            <v>645505729.8792423</v>
          </cell>
          <cell r="T74">
            <v>33388319.511721786</v>
          </cell>
        </row>
        <row r="75">
          <cell r="S75">
            <v>634250537.10496891</v>
          </cell>
          <cell r="T75">
            <v>32806152.762274399</v>
          </cell>
        </row>
        <row r="76">
          <cell r="S76">
            <v>629886970.00053656</v>
          </cell>
          <cell r="T76">
            <v>32580450.392876558</v>
          </cell>
        </row>
      </sheetData>
      <sheetData sheetId="3"/>
      <sheetData sheetId="4"/>
      <sheetData sheetId="5">
        <row r="13">
          <cell r="E13">
            <v>109890000000</v>
          </cell>
        </row>
        <row r="14">
          <cell r="F14">
            <v>65000000000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무상태표"/>
      <sheetName val="원재료(2016)"/>
      <sheetName val="저장품"/>
      <sheetName val="매출채권(증기)"/>
      <sheetName val="매출채권(전기)"/>
      <sheetName val="미수금"/>
      <sheetName val="미수수익"/>
      <sheetName val="선급금"/>
      <sheetName val="선급비용(법인세,지방소득세)"/>
      <sheetName val="선급비용(보험료,기타)"/>
      <sheetName val="현금예금"/>
      <sheetName val="사채,현할차(장기,유동성)"/>
      <sheetName val="참고1"/>
      <sheetName val="참고2"/>
      <sheetName val="장기차입금"/>
      <sheetName val="현할차(161113)"/>
      <sheetName val="이자비용"/>
      <sheetName val="퇴직급여충당금"/>
      <sheetName val="사외적립자산"/>
      <sheetName val="참고3"/>
      <sheetName val="매입채무(외상매입금)"/>
      <sheetName val="미지급금(일반)"/>
      <sheetName val="미지급금(법인카드,자동이체)"/>
      <sheetName val="미지급법인세"/>
      <sheetName val="예수금(건강보험, 국민연금)"/>
      <sheetName val="예수금(소득,주민세)"/>
      <sheetName val="예수금(기타)"/>
      <sheetName val="예수금(법인세)"/>
      <sheetName val="미지급비용"/>
      <sheetName val="주발차"/>
      <sheetName val="미지급분"/>
      <sheetName val="보험수리적손익"/>
      <sheetName val="첨부4"/>
      <sheetName val="이익준비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4">
          <cell r="C4">
            <v>42018</v>
          </cell>
          <cell r="E4">
            <v>160000000000</v>
          </cell>
        </row>
        <row r="5">
          <cell r="C5">
            <v>42107</v>
          </cell>
          <cell r="D5">
            <v>89</v>
          </cell>
        </row>
        <row r="6">
          <cell r="C6">
            <v>42198</v>
          </cell>
          <cell r="D6">
            <v>91</v>
          </cell>
          <cell r="F6">
            <v>3330000000</v>
          </cell>
          <cell r="H6">
            <v>2575339890.4109588</v>
          </cell>
        </row>
        <row r="7">
          <cell r="C7">
            <v>42290</v>
          </cell>
          <cell r="D7">
            <v>92</v>
          </cell>
        </row>
        <row r="8">
          <cell r="C8">
            <v>42369</v>
          </cell>
          <cell r="D8">
            <v>79</v>
          </cell>
        </row>
        <row r="9">
          <cell r="C9">
            <v>42382</v>
          </cell>
          <cell r="D9">
            <v>13</v>
          </cell>
        </row>
        <row r="10">
          <cell r="C10">
            <v>42382</v>
          </cell>
        </row>
        <row r="11">
          <cell r="C11">
            <v>42473</v>
          </cell>
          <cell r="D11">
            <v>91</v>
          </cell>
        </row>
        <row r="12">
          <cell r="C12">
            <v>42564</v>
          </cell>
          <cell r="D12">
            <v>91</v>
          </cell>
        </row>
        <row r="13">
          <cell r="C13">
            <v>42656</v>
          </cell>
          <cell r="D13">
            <v>92</v>
          </cell>
        </row>
        <row r="15">
          <cell r="C15">
            <v>42735</v>
          </cell>
          <cell r="D15">
            <v>79</v>
          </cell>
        </row>
        <row r="16">
          <cell r="C16">
            <v>42748</v>
          </cell>
          <cell r="D16">
            <v>13</v>
          </cell>
        </row>
        <row r="17">
          <cell r="C17">
            <v>42838</v>
          </cell>
          <cell r="D17">
            <v>90</v>
          </cell>
        </row>
        <row r="18">
          <cell r="C18">
            <v>42929</v>
          </cell>
          <cell r="D18">
            <v>91</v>
          </cell>
        </row>
        <row r="19">
          <cell r="C19">
            <v>43021</v>
          </cell>
          <cell r="D19">
            <v>92</v>
          </cell>
        </row>
        <row r="20">
          <cell r="C20">
            <v>43100</v>
          </cell>
          <cell r="D20">
            <v>79</v>
          </cell>
        </row>
        <row r="21">
          <cell r="C21">
            <v>43115</v>
          </cell>
          <cell r="D21">
            <v>15</v>
          </cell>
        </row>
        <row r="22">
          <cell r="C22">
            <v>43203</v>
          </cell>
          <cell r="D22">
            <v>88</v>
          </cell>
        </row>
        <row r="23">
          <cell r="C23">
            <v>43294</v>
          </cell>
          <cell r="D23">
            <v>91</v>
          </cell>
        </row>
        <row r="24">
          <cell r="C24">
            <v>43388</v>
          </cell>
          <cell r="D24">
            <v>94</v>
          </cell>
        </row>
        <row r="25">
          <cell r="C25">
            <v>43465</v>
          </cell>
          <cell r="D25">
            <v>77</v>
          </cell>
        </row>
        <row r="26">
          <cell r="C26">
            <v>43479</v>
          </cell>
          <cell r="D26">
            <v>14</v>
          </cell>
        </row>
        <row r="27">
          <cell r="C27">
            <v>43570</v>
          </cell>
          <cell r="D27">
            <v>91</v>
          </cell>
        </row>
        <row r="28">
          <cell r="C28">
            <v>43661</v>
          </cell>
          <cell r="D28">
            <v>91</v>
          </cell>
        </row>
        <row r="29">
          <cell r="C29">
            <v>43752</v>
          </cell>
          <cell r="D29">
            <v>91</v>
          </cell>
        </row>
        <row r="30">
          <cell r="C30">
            <v>43830</v>
          </cell>
          <cell r="D30">
            <v>78</v>
          </cell>
        </row>
        <row r="31">
          <cell r="C31">
            <v>43843</v>
          </cell>
          <cell r="D31">
            <v>13</v>
          </cell>
        </row>
        <row r="32">
          <cell r="C32">
            <v>43934</v>
          </cell>
          <cell r="D32">
            <v>91</v>
          </cell>
        </row>
        <row r="33">
          <cell r="C33">
            <v>44025</v>
          </cell>
          <cell r="D33">
            <v>91</v>
          </cell>
          <cell r="H33">
            <v>0</v>
          </cell>
        </row>
        <row r="34">
          <cell r="C34">
            <v>44117</v>
          </cell>
          <cell r="D34">
            <v>92</v>
          </cell>
          <cell r="H34">
            <v>0</v>
          </cell>
        </row>
        <row r="35">
          <cell r="C35">
            <v>44196</v>
          </cell>
          <cell r="D35">
            <v>79</v>
          </cell>
          <cell r="H35">
            <v>0</v>
          </cell>
        </row>
        <row r="36">
          <cell r="C36">
            <v>44209</v>
          </cell>
          <cell r="D36">
            <v>13</v>
          </cell>
          <cell r="H36">
            <v>0</v>
          </cell>
        </row>
        <row r="37">
          <cell r="C37">
            <v>44299</v>
          </cell>
          <cell r="D37">
            <v>90</v>
          </cell>
          <cell r="H37">
            <v>0</v>
          </cell>
        </row>
        <row r="38">
          <cell r="C38">
            <v>44390</v>
          </cell>
          <cell r="D38">
            <v>91</v>
          </cell>
          <cell r="H38">
            <v>0</v>
          </cell>
        </row>
        <row r="39">
          <cell r="C39">
            <v>44482</v>
          </cell>
          <cell r="D39">
            <v>92</v>
          </cell>
          <cell r="H39">
            <v>0</v>
          </cell>
        </row>
        <row r="40">
          <cell r="C40">
            <v>44561</v>
          </cell>
          <cell r="D40">
            <v>79</v>
          </cell>
          <cell r="H40">
            <v>0</v>
          </cell>
        </row>
        <row r="41">
          <cell r="C41">
            <v>44574</v>
          </cell>
          <cell r="D41">
            <v>13</v>
          </cell>
          <cell r="H41">
            <v>0</v>
          </cell>
        </row>
        <row r="42">
          <cell r="C42">
            <v>44664</v>
          </cell>
          <cell r="D42">
            <v>90</v>
          </cell>
          <cell r="H42">
            <v>0</v>
          </cell>
        </row>
        <row r="43">
          <cell r="C43">
            <v>44755</v>
          </cell>
          <cell r="D43">
            <v>91</v>
          </cell>
          <cell r="H43">
            <v>0</v>
          </cell>
        </row>
        <row r="44">
          <cell r="C44">
            <v>44847</v>
          </cell>
          <cell r="D44">
            <v>92</v>
          </cell>
          <cell r="H44">
            <v>0</v>
          </cell>
        </row>
        <row r="45">
          <cell r="C45">
            <v>44926</v>
          </cell>
          <cell r="D45">
            <v>79</v>
          </cell>
          <cell r="H45">
            <v>0</v>
          </cell>
        </row>
        <row r="46">
          <cell r="C46">
            <v>44939</v>
          </cell>
          <cell r="D46">
            <v>13</v>
          </cell>
          <cell r="H46">
            <v>0</v>
          </cell>
        </row>
        <row r="47">
          <cell r="C47">
            <v>45029</v>
          </cell>
          <cell r="D47">
            <v>90</v>
          </cell>
          <cell r="H47">
            <v>0</v>
          </cell>
        </row>
        <row r="48">
          <cell r="C48">
            <v>45120</v>
          </cell>
          <cell r="D48">
            <v>91</v>
          </cell>
          <cell r="H48">
            <v>0</v>
          </cell>
        </row>
        <row r="49">
          <cell r="C49">
            <v>45215</v>
          </cell>
          <cell r="D49">
            <v>95</v>
          </cell>
          <cell r="H49">
            <v>0</v>
          </cell>
        </row>
        <row r="50">
          <cell r="C50">
            <v>45291</v>
          </cell>
          <cell r="D50">
            <v>76</v>
          </cell>
          <cell r="H50">
            <v>0</v>
          </cell>
        </row>
        <row r="51">
          <cell r="C51">
            <v>45306</v>
          </cell>
          <cell r="D51">
            <v>15</v>
          </cell>
          <cell r="H51">
            <v>0</v>
          </cell>
        </row>
        <row r="52">
          <cell r="C52">
            <v>45397</v>
          </cell>
          <cell r="D52">
            <v>91</v>
          </cell>
          <cell r="H52">
            <v>0</v>
          </cell>
        </row>
        <row r="53">
          <cell r="C53">
            <v>45488</v>
          </cell>
          <cell r="D53">
            <v>91</v>
          </cell>
          <cell r="H53">
            <v>0</v>
          </cell>
        </row>
        <row r="54">
          <cell r="C54">
            <v>45579</v>
          </cell>
          <cell r="D54">
            <v>91</v>
          </cell>
          <cell r="H54">
            <v>0</v>
          </cell>
        </row>
        <row r="55">
          <cell r="C55">
            <v>45657</v>
          </cell>
          <cell r="D55">
            <v>78</v>
          </cell>
          <cell r="H55">
            <v>0</v>
          </cell>
        </row>
        <row r="56">
          <cell r="C56">
            <v>45670</v>
          </cell>
          <cell r="D56">
            <v>13</v>
          </cell>
          <cell r="H56">
            <v>0</v>
          </cell>
        </row>
        <row r="57">
          <cell r="C57">
            <v>45761</v>
          </cell>
          <cell r="D57">
            <v>91</v>
          </cell>
          <cell r="H57">
            <v>0</v>
          </cell>
        </row>
        <row r="58">
          <cell r="C58">
            <v>45852</v>
          </cell>
          <cell r="D58">
            <v>91</v>
          </cell>
          <cell r="H58">
            <v>0</v>
          </cell>
        </row>
        <row r="59">
          <cell r="C59">
            <v>45943</v>
          </cell>
          <cell r="D59">
            <v>91</v>
          </cell>
          <cell r="H59">
            <v>0</v>
          </cell>
        </row>
        <row r="60">
          <cell r="C60">
            <v>46022</v>
          </cell>
          <cell r="D60">
            <v>79</v>
          </cell>
          <cell r="H60">
            <v>0</v>
          </cell>
        </row>
        <row r="61">
          <cell r="C61">
            <v>46035</v>
          </cell>
          <cell r="D61">
            <v>13</v>
          </cell>
          <cell r="H61">
            <v>0</v>
          </cell>
        </row>
        <row r="62">
          <cell r="C62">
            <v>46125</v>
          </cell>
          <cell r="D62">
            <v>90</v>
          </cell>
          <cell r="H62">
            <v>0</v>
          </cell>
        </row>
        <row r="63">
          <cell r="C63">
            <v>46216</v>
          </cell>
          <cell r="D63">
            <v>91</v>
          </cell>
          <cell r="H63">
            <v>0</v>
          </cell>
        </row>
        <row r="64">
          <cell r="C64">
            <v>46308</v>
          </cell>
          <cell r="D64">
            <v>92</v>
          </cell>
          <cell r="H64">
            <v>0</v>
          </cell>
        </row>
        <row r="65">
          <cell r="C65">
            <v>46387</v>
          </cell>
          <cell r="D65">
            <v>79</v>
          </cell>
          <cell r="H65">
            <v>0</v>
          </cell>
        </row>
        <row r="66">
          <cell r="C66">
            <v>46400</v>
          </cell>
          <cell r="D66">
            <v>13</v>
          </cell>
          <cell r="H66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무상태표"/>
      <sheetName val="원재료(2017)"/>
      <sheetName val="저장품"/>
      <sheetName val="매출채권(증기)"/>
      <sheetName val="매출채권(전기)"/>
      <sheetName val="미수금"/>
      <sheetName val="미수수익"/>
      <sheetName val="선급금"/>
      <sheetName val="선급비용(법인세,지방소득세)"/>
      <sheetName val="선급비용(보험료,기타)"/>
      <sheetName val="현금예금"/>
      <sheetName val="사채,현할차(장기,유동성)"/>
      <sheetName val="참고1"/>
      <sheetName val="참고2"/>
      <sheetName val="장기차입금"/>
      <sheetName val="현할차(161113)"/>
      <sheetName val="이자비용"/>
      <sheetName val="퇴직급여충당금"/>
      <sheetName val="사외적립자산"/>
      <sheetName val="참고3"/>
      <sheetName val="매입채무(외상매입금)"/>
      <sheetName val="미지급금(일반)"/>
      <sheetName val="미지급금(법인카드,자동이체)"/>
      <sheetName val="미지급법인세"/>
      <sheetName val="예수금(건강보험, 국민연금)"/>
      <sheetName val="예수금(소득,주민세)"/>
      <sheetName val="예수금(기타)"/>
      <sheetName val="예수금(법인세)"/>
      <sheetName val="미지급비용"/>
      <sheetName val="주발차"/>
      <sheetName val="미지급분"/>
      <sheetName val="보험수리적손익"/>
      <sheetName val="첨부4"/>
      <sheetName val="이익준비금"/>
      <sheetName val="161013"/>
      <sheetName val="정리"/>
      <sheetName val="151231"/>
      <sheetName val="151231(스케줄)"/>
      <sheetName val="160113"/>
      <sheetName val="160113(스케줄)"/>
      <sheetName val="현할차계산"/>
      <sheetName val="160713"/>
      <sheetName val="160713(스케줄)"/>
      <sheetName val="161013(스케줄)"/>
      <sheetName val="KIS(15011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4">
          <cell r="F14">
            <v>65000000000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14">
          <cell r="F14">
            <v>65000000000</v>
          </cell>
        </row>
      </sheetData>
      <sheetData sheetId="4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리"/>
      <sheetName val="151231"/>
      <sheetName val="151231(스케줄)"/>
      <sheetName val="160113"/>
      <sheetName val="160113(스케줄)"/>
      <sheetName val="현할차계산"/>
      <sheetName val="160713"/>
      <sheetName val="160713(스케줄)"/>
      <sheetName val="161013"/>
      <sheetName val="161013(스케줄)"/>
      <sheetName val="KIS(15011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C11">
            <v>26640000000</v>
          </cell>
        </row>
      </sheetData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환내역"/>
      <sheetName val="미지급분"/>
      <sheetName val="4차"/>
      <sheetName val="3차"/>
      <sheetName val="2차"/>
      <sheetName val="1차"/>
      <sheetName val="표"/>
      <sheetName val="표 (2)"/>
      <sheetName val="표 (3)"/>
      <sheetName val="표 (4)"/>
      <sheetName val="표 (5)"/>
      <sheetName val="Sheet2"/>
      <sheetName val="Sheet3"/>
      <sheetName val="1차 (2)"/>
    </sheetNames>
    <sheetDataSet>
      <sheetData sheetId="0">
        <row r="9">
          <cell r="D9">
            <v>6.6000000000000003E-2</v>
          </cell>
        </row>
      </sheetData>
      <sheetData sheetId="1" refreshError="1"/>
      <sheetData sheetId="2" refreshError="1"/>
      <sheetData sheetId="3">
        <row r="7">
          <cell r="C7">
            <v>153180000000</v>
          </cell>
          <cell r="E7">
            <v>42199</v>
          </cell>
          <cell r="F7">
            <v>42290</v>
          </cell>
          <cell r="H7">
            <v>2520545420</v>
          </cell>
        </row>
      </sheetData>
      <sheetData sheetId="4">
        <row r="7">
          <cell r="C7">
            <v>156510000000</v>
          </cell>
          <cell r="E7">
            <v>42108</v>
          </cell>
          <cell r="F7">
            <v>42198</v>
          </cell>
          <cell r="H7">
            <v>2547039450</v>
          </cell>
        </row>
      </sheetData>
      <sheetData sheetId="5">
        <row r="7">
          <cell r="C7">
            <v>160000000000</v>
          </cell>
          <cell r="E7">
            <v>42018</v>
          </cell>
          <cell r="F7">
            <v>42107</v>
          </cell>
          <cell r="H7">
            <v>2574904100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외적립자산"/>
      <sheetName val="2Q"/>
      <sheetName val="1Q"/>
    </sheetNames>
    <sheetDataSet>
      <sheetData sheetId="0">
        <row r="91">
          <cell r="AD91">
            <v>0</v>
          </cell>
          <cell r="AE91">
            <v>0</v>
          </cell>
          <cell r="AF91">
            <v>0</v>
          </cell>
        </row>
        <row r="92">
          <cell r="AD92">
            <v>0</v>
          </cell>
          <cell r="AE92">
            <v>10991527</v>
          </cell>
          <cell r="AF92">
            <v>0</v>
          </cell>
        </row>
        <row r="93">
          <cell r="AD93">
            <v>733628</v>
          </cell>
          <cell r="AE93">
            <v>680257</v>
          </cell>
          <cell r="AF93">
            <v>722852</v>
          </cell>
          <cell r="AG93">
            <v>695326</v>
          </cell>
          <cell r="AH93">
            <v>721625</v>
          </cell>
          <cell r="AI93">
            <v>694152</v>
          </cell>
        </row>
        <row r="94">
          <cell r="AD94">
            <v>83203</v>
          </cell>
          <cell r="AE94">
            <v>0</v>
          </cell>
          <cell r="AF94">
            <v>0</v>
          </cell>
          <cell r="AI94">
            <v>361976</v>
          </cell>
        </row>
      </sheetData>
      <sheetData sheetId="1">
        <row r="6">
          <cell r="H6">
            <v>13750158</v>
          </cell>
        </row>
        <row r="7">
          <cell r="H7">
            <v>2392221</v>
          </cell>
        </row>
        <row r="8">
          <cell r="H8">
            <v>2234823</v>
          </cell>
        </row>
        <row r="9">
          <cell r="H9">
            <v>-485696</v>
          </cell>
        </row>
        <row r="10">
          <cell r="E10">
            <v>16367947</v>
          </cell>
          <cell r="H10">
            <v>16367947</v>
          </cell>
        </row>
      </sheetData>
      <sheetData sheetId="2">
        <row r="6">
          <cell r="H6">
            <v>14736135</v>
          </cell>
        </row>
        <row r="7">
          <cell r="H7">
            <v>2392617</v>
          </cell>
        </row>
        <row r="8">
          <cell r="H8">
            <v>2303241</v>
          </cell>
        </row>
        <row r="9">
          <cell r="H9">
            <v>-249707</v>
          </cell>
        </row>
        <row r="10">
          <cell r="H10">
            <v>3779966</v>
          </cell>
        </row>
        <row r="11">
          <cell r="H11">
            <v>-10991527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://ecos.bok.or.kr/" TargetMode="External"/><Relationship Id="rId1" Type="http://schemas.openxmlformats.org/officeDocument/2006/relationships/hyperlink" Target="http://www.kfb.or.kr/new_data/koribor.html?m=new&amp;S=GCE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46"/>
  <sheetViews>
    <sheetView showGridLines="0" tabSelected="1" zoomScaleNormal="100" zoomScaleSheetLayoutView="100" workbookViewId="0">
      <selection activeCell="F14" sqref="F14"/>
    </sheetView>
  </sheetViews>
  <sheetFormatPr defaultColWidth="12.625" defaultRowHeight="18" customHeight="1"/>
  <cols>
    <col min="1" max="2" width="4.625" style="92" customWidth="1"/>
    <col min="3" max="3" width="16.25" style="92" customWidth="1"/>
    <col min="4" max="4" width="20.625" style="92" customWidth="1"/>
    <col min="5" max="5" width="5.125" style="92" customWidth="1"/>
    <col min="6" max="6" width="4.625" style="92" customWidth="1"/>
    <col min="7" max="7" width="15.625" style="92" customWidth="1"/>
    <col min="8" max="8" width="20.625" style="92" customWidth="1"/>
    <col min="9" max="9" width="14.75" style="92" customWidth="1"/>
    <col min="10" max="10" width="14.875" style="92" customWidth="1"/>
    <col min="11" max="11" width="19.5" style="92" customWidth="1"/>
    <col min="12" max="12" width="12.875" style="92" bestFit="1" customWidth="1"/>
    <col min="13" max="256" width="12.625" style="92"/>
    <col min="257" max="258" width="4.625" style="92" customWidth="1"/>
    <col min="259" max="259" width="16.25" style="92" customWidth="1"/>
    <col min="260" max="260" width="19.125" style="92" customWidth="1"/>
    <col min="261" max="261" width="5.125" style="92" customWidth="1"/>
    <col min="262" max="262" width="4.625" style="92" customWidth="1"/>
    <col min="263" max="263" width="15.625" style="92" customWidth="1"/>
    <col min="264" max="264" width="19.125" style="92" customWidth="1"/>
    <col min="265" max="265" width="0" style="92" hidden="1" customWidth="1"/>
    <col min="266" max="266" width="12.625" style="92" customWidth="1"/>
    <col min="267" max="267" width="19.5" style="92" customWidth="1"/>
    <col min="268" max="512" width="12.625" style="92"/>
    <col min="513" max="514" width="4.625" style="92" customWidth="1"/>
    <col min="515" max="515" width="16.25" style="92" customWidth="1"/>
    <col min="516" max="516" width="19.125" style="92" customWidth="1"/>
    <col min="517" max="517" width="5.125" style="92" customWidth="1"/>
    <col min="518" max="518" width="4.625" style="92" customWidth="1"/>
    <col min="519" max="519" width="15.625" style="92" customWidth="1"/>
    <col min="520" max="520" width="19.125" style="92" customWidth="1"/>
    <col min="521" max="521" width="0" style="92" hidden="1" customWidth="1"/>
    <col min="522" max="522" width="12.625" style="92" customWidth="1"/>
    <col min="523" max="523" width="19.5" style="92" customWidth="1"/>
    <col min="524" max="768" width="12.625" style="92"/>
    <col min="769" max="770" width="4.625" style="92" customWidth="1"/>
    <col min="771" max="771" width="16.25" style="92" customWidth="1"/>
    <col min="772" max="772" width="19.125" style="92" customWidth="1"/>
    <col min="773" max="773" width="5.125" style="92" customWidth="1"/>
    <col min="774" max="774" width="4.625" style="92" customWidth="1"/>
    <col min="775" max="775" width="15.625" style="92" customWidth="1"/>
    <col min="776" max="776" width="19.125" style="92" customWidth="1"/>
    <col min="777" max="777" width="0" style="92" hidden="1" customWidth="1"/>
    <col min="778" max="778" width="12.625" style="92" customWidth="1"/>
    <col min="779" max="779" width="19.5" style="92" customWidth="1"/>
    <col min="780" max="1024" width="12.625" style="92"/>
    <col min="1025" max="1026" width="4.625" style="92" customWidth="1"/>
    <col min="1027" max="1027" width="16.25" style="92" customWidth="1"/>
    <col min="1028" max="1028" width="19.125" style="92" customWidth="1"/>
    <col min="1029" max="1029" width="5.125" style="92" customWidth="1"/>
    <col min="1030" max="1030" width="4.625" style="92" customWidth="1"/>
    <col min="1031" max="1031" width="15.625" style="92" customWidth="1"/>
    <col min="1032" max="1032" width="19.125" style="92" customWidth="1"/>
    <col min="1033" max="1033" width="0" style="92" hidden="1" customWidth="1"/>
    <col min="1034" max="1034" width="12.625" style="92" customWidth="1"/>
    <col min="1035" max="1035" width="19.5" style="92" customWidth="1"/>
    <col min="1036" max="1280" width="12.625" style="92"/>
    <col min="1281" max="1282" width="4.625" style="92" customWidth="1"/>
    <col min="1283" max="1283" width="16.25" style="92" customWidth="1"/>
    <col min="1284" max="1284" width="19.125" style="92" customWidth="1"/>
    <col min="1285" max="1285" width="5.125" style="92" customWidth="1"/>
    <col min="1286" max="1286" width="4.625" style="92" customWidth="1"/>
    <col min="1287" max="1287" width="15.625" style="92" customWidth="1"/>
    <col min="1288" max="1288" width="19.125" style="92" customWidth="1"/>
    <col min="1289" max="1289" width="0" style="92" hidden="1" customWidth="1"/>
    <col min="1290" max="1290" width="12.625" style="92" customWidth="1"/>
    <col min="1291" max="1291" width="19.5" style="92" customWidth="1"/>
    <col min="1292" max="1536" width="12.625" style="92"/>
    <col min="1537" max="1538" width="4.625" style="92" customWidth="1"/>
    <col min="1539" max="1539" width="16.25" style="92" customWidth="1"/>
    <col min="1540" max="1540" width="19.125" style="92" customWidth="1"/>
    <col min="1541" max="1541" width="5.125" style="92" customWidth="1"/>
    <col min="1542" max="1542" width="4.625" style="92" customWidth="1"/>
    <col min="1543" max="1543" width="15.625" style="92" customWidth="1"/>
    <col min="1544" max="1544" width="19.125" style="92" customWidth="1"/>
    <col min="1545" max="1545" width="0" style="92" hidden="1" customWidth="1"/>
    <col min="1546" max="1546" width="12.625" style="92" customWidth="1"/>
    <col min="1547" max="1547" width="19.5" style="92" customWidth="1"/>
    <col min="1548" max="1792" width="12.625" style="92"/>
    <col min="1793" max="1794" width="4.625" style="92" customWidth="1"/>
    <col min="1795" max="1795" width="16.25" style="92" customWidth="1"/>
    <col min="1796" max="1796" width="19.125" style="92" customWidth="1"/>
    <col min="1797" max="1797" width="5.125" style="92" customWidth="1"/>
    <col min="1798" max="1798" width="4.625" style="92" customWidth="1"/>
    <col min="1799" max="1799" width="15.625" style="92" customWidth="1"/>
    <col min="1800" max="1800" width="19.125" style="92" customWidth="1"/>
    <col min="1801" max="1801" width="0" style="92" hidden="1" customWidth="1"/>
    <col min="1802" max="1802" width="12.625" style="92" customWidth="1"/>
    <col min="1803" max="1803" width="19.5" style="92" customWidth="1"/>
    <col min="1804" max="2048" width="12.625" style="92"/>
    <col min="2049" max="2050" width="4.625" style="92" customWidth="1"/>
    <col min="2051" max="2051" width="16.25" style="92" customWidth="1"/>
    <col min="2052" max="2052" width="19.125" style="92" customWidth="1"/>
    <col min="2053" max="2053" width="5.125" style="92" customWidth="1"/>
    <col min="2054" max="2054" width="4.625" style="92" customWidth="1"/>
    <col min="2055" max="2055" width="15.625" style="92" customWidth="1"/>
    <col min="2056" max="2056" width="19.125" style="92" customWidth="1"/>
    <col min="2057" max="2057" width="0" style="92" hidden="1" customWidth="1"/>
    <col min="2058" max="2058" width="12.625" style="92" customWidth="1"/>
    <col min="2059" max="2059" width="19.5" style="92" customWidth="1"/>
    <col min="2060" max="2304" width="12.625" style="92"/>
    <col min="2305" max="2306" width="4.625" style="92" customWidth="1"/>
    <col min="2307" max="2307" width="16.25" style="92" customWidth="1"/>
    <col min="2308" max="2308" width="19.125" style="92" customWidth="1"/>
    <col min="2309" max="2309" width="5.125" style="92" customWidth="1"/>
    <col min="2310" max="2310" width="4.625" style="92" customWidth="1"/>
    <col min="2311" max="2311" width="15.625" style="92" customWidth="1"/>
    <col min="2312" max="2312" width="19.125" style="92" customWidth="1"/>
    <col min="2313" max="2313" width="0" style="92" hidden="1" customWidth="1"/>
    <col min="2314" max="2314" width="12.625" style="92" customWidth="1"/>
    <col min="2315" max="2315" width="19.5" style="92" customWidth="1"/>
    <col min="2316" max="2560" width="12.625" style="92"/>
    <col min="2561" max="2562" width="4.625" style="92" customWidth="1"/>
    <col min="2563" max="2563" width="16.25" style="92" customWidth="1"/>
    <col min="2564" max="2564" width="19.125" style="92" customWidth="1"/>
    <col min="2565" max="2565" width="5.125" style="92" customWidth="1"/>
    <col min="2566" max="2566" width="4.625" style="92" customWidth="1"/>
    <col min="2567" max="2567" width="15.625" style="92" customWidth="1"/>
    <col min="2568" max="2568" width="19.125" style="92" customWidth="1"/>
    <col min="2569" max="2569" width="0" style="92" hidden="1" customWidth="1"/>
    <col min="2570" max="2570" width="12.625" style="92" customWidth="1"/>
    <col min="2571" max="2571" width="19.5" style="92" customWidth="1"/>
    <col min="2572" max="2816" width="12.625" style="92"/>
    <col min="2817" max="2818" width="4.625" style="92" customWidth="1"/>
    <col min="2819" max="2819" width="16.25" style="92" customWidth="1"/>
    <col min="2820" max="2820" width="19.125" style="92" customWidth="1"/>
    <col min="2821" max="2821" width="5.125" style="92" customWidth="1"/>
    <col min="2822" max="2822" width="4.625" style="92" customWidth="1"/>
    <col min="2823" max="2823" width="15.625" style="92" customWidth="1"/>
    <col min="2824" max="2824" width="19.125" style="92" customWidth="1"/>
    <col min="2825" max="2825" width="0" style="92" hidden="1" customWidth="1"/>
    <col min="2826" max="2826" width="12.625" style="92" customWidth="1"/>
    <col min="2827" max="2827" width="19.5" style="92" customWidth="1"/>
    <col min="2828" max="3072" width="12.625" style="92"/>
    <col min="3073" max="3074" width="4.625" style="92" customWidth="1"/>
    <col min="3075" max="3075" width="16.25" style="92" customWidth="1"/>
    <col min="3076" max="3076" width="19.125" style="92" customWidth="1"/>
    <col min="3077" max="3077" width="5.125" style="92" customWidth="1"/>
    <col min="3078" max="3078" width="4.625" style="92" customWidth="1"/>
    <col min="3079" max="3079" width="15.625" style="92" customWidth="1"/>
    <col min="3080" max="3080" width="19.125" style="92" customWidth="1"/>
    <col min="3081" max="3081" width="0" style="92" hidden="1" customWidth="1"/>
    <col min="3082" max="3082" width="12.625" style="92" customWidth="1"/>
    <col min="3083" max="3083" width="19.5" style="92" customWidth="1"/>
    <col min="3084" max="3328" width="12.625" style="92"/>
    <col min="3329" max="3330" width="4.625" style="92" customWidth="1"/>
    <col min="3331" max="3331" width="16.25" style="92" customWidth="1"/>
    <col min="3332" max="3332" width="19.125" style="92" customWidth="1"/>
    <col min="3333" max="3333" width="5.125" style="92" customWidth="1"/>
    <col min="3334" max="3334" width="4.625" style="92" customWidth="1"/>
    <col min="3335" max="3335" width="15.625" style="92" customWidth="1"/>
    <col min="3336" max="3336" width="19.125" style="92" customWidth="1"/>
    <col min="3337" max="3337" width="0" style="92" hidden="1" customWidth="1"/>
    <col min="3338" max="3338" width="12.625" style="92" customWidth="1"/>
    <col min="3339" max="3339" width="19.5" style="92" customWidth="1"/>
    <col min="3340" max="3584" width="12.625" style="92"/>
    <col min="3585" max="3586" width="4.625" style="92" customWidth="1"/>
    <col min="3587" max="3587" width="16.25" style="92" customWidth="1"/>
    <col min="3588" max="3588" width="19.125" style="92" customWidth="1"/>
    <col min="3589" max="3589" width="5.125" style="92" customWidth="1"/>
    <col min="3590" max="3590" width="4.625" style="92" customWidth="1"/>
    <col min="3591" max="3591" width="15.625" style="92" customWidth="1"/>
    <col min="3592" max="3592" width="19.125" style="92" customWidth="1"/>
    <col min="3593" max="3593" width="0" style="92" hidden="1" customWidth="1"/>
    <col min="3594" max="3594" width="12.625" style="92" customWidth="1"/>
    <col min="3595" max="3595" width="19.5" style="92" customWidth="1"/>
    <col min="3596" max="3840" width="12.625" style="92"/>
    <col min="3841" max="3842" width="4.625" style="92" customWidth="1"/>
    <col min="3843" max="3843" width="16.25" style="92" customWidth="1"/>
    <col min="3844" max="3844" width="19.125" style="92" customWidth="1"/>
    <col min="3845" max="3845" width="5.125" style="92" customWidth="1"/>
    <col min="3846" max="3846" width="4.625" style="92" customWidth="1"/>
    <col min="3847" max="3847" width="15.625" style="92" customWidth="1"/>
    <col min="3848" max="3848" width="19.125" style="92" customWidth="1"/>
    <col min="3849" max="3849" width="0" style="92" hidden="1" customWidth="1"/>
    <col min="3850" max="3850" width="12.625" style="92" customWidth="1"/>
    <col min="3851" max="3851" width="19.5" style="92" customWidth="1"/>
    <col min="3852" max="4096" width="12.625" style="92"/>
    <col min="4097" max="4098" width="4.625" style="92" customWidth="1"/>
    <col min="4099" max="4099" width="16.25" style="92" customWidth="1"/>
    <col min="4100" max="4100" width="19.125" style="92" customWidth="1"/>
    <col min="4101" max="4101" width="5.125" style="92" customWidth="1"/>
    <col min="4102" max="4102" width="4.625" style="92" customWidth="1"/>
    <col min="4103" max="4103" width="15.625" style="92" customWidth="1"/>
    <col min="4104" max="4104" width="19.125" style="92" customWidth="1"/>
    <col min="4105" max="4105" width="0" style="92" hidden="1" customWidth="1"/>
    <col min="4106" max="4106" width="12.625" style="92" customWidth="1"/>
    <col min="4107" max="4107" width="19.5" style="92" customWidth="1"/>
    <col min="4108" max="4352" width="12.625" style="92"/>
    <col min="4353" max="4354" width="4.625" style="92" customWidth="1"/>
    <col min="4355" max="4355" width="16.25" style="92" customWidth="1"/>
    <col min="4356" max="4356" width="19.125" style="92" customWidth="1"/>
    <col min="4357" max="4357" width="5.125" style="92" customWidth="1"/>
    <col min="4358" max="4358" width="4.625" style="92" customWidth="1"/>
    <col min="4359" max="4359" width="15.625" style="92" customWidth="1"/>
    <col min="4360" max="4360" width="19.125" style="92" customWidth="1"/>
    <col min="4361" max="4361" width="0" style="92" hidden="1" customWidth="1"/>
    <col min="4362" max="4362" width="12.625" style="92" customWidth="1"/>
    <col min="4363" max="4363" width="19.5" style="92" customWidth="1"/>
    <col min="4364" max="4608" width="12.625" style="92"/>
    <col min="4609" max="4610" width="4.625" style="92" customWidth="1"/>
    <col min="4611" max="4611" width="16.25" style="92" customWidth="1"/>
    <col min="4612" max="4612" width="19.125" style="92" customWidth="1"/>
    <col min="4613" max="4613" width="5.125" style="92" customWidth="1"/>
    <col min="4614" max="4614" width="4.625" style="92" customWidth="1"/>
    <col min="4615" max="4615" width="15.625" style="92" customWidth="1"/>
    <col min="4616" max="4616" width="19.125" style="92" customWidth="1"/>
    <col min="4617" max="4617" width="0" style="92" hidden="1" customWidth="1"/>
    <col min="4618" max="4618" width="12.625" style="92" customWidth="1"/>
    <col min="4619" max="4619" width="19.5" style="92" customWidth="1"/>
    <col min="4620" max="4864" width="12.625" style="92"/>
    <col min="4865" max="4866" width="4.625" style="92" customWidth="1"/>
    <col min="4867" max="4867" width="16.25" style="92" customWidth="1"/>
    <col min="4868" max="4868" width="19.125" style="92" customWidth="1"/>
    <col min="4869" max="4869" width="5.125" style="92" customWidth="1"/>
    <col min="4870" max="4870" width="4.625" style="92" customWidth="1"/>
    <col min="4871" max="4871" width="15.625" style="92" customWidth="1"/>
    <col min="4872" max="4872" width="19.125" style="92" customWidth="1"/>
    <col min="4873" max="4873" width="0" style="92" hidden="1" customWidth="1"/>
    <col min="4874" max="4874" width="12.625" style="92" customWidth="1"/>
    <col min="4875" max="4875" width="19.5" style="92" customWidth="1"/>
    <col min="4876" max="5120" width="12.625" style="92"/>
    <col min="5121" max="5122" width="4.625" style="92" customWidth="1"/>
    <col min="5123" max="5123" width="16.25" style="92" customWidth="1"/>
    <col min="5124" max="5124" width="19.125" style="92" customWidth="1"/>
    <col min="5125" max="5125" width="5.125" style="92" customWidth="1"/>
    <col min="5126" max="5126" width="4.625" style="92" customWidth="1"/>
    <col min="5127" max="5127" width="15.625" style="92" customWidth="1"/>
    <col min="5128" max="5128" width="19.125" style="92" customWidth="1"/>
    <col min="5129" max="5129" width="0" style="92" hidden="1" customWidth="1"/>
    <col min="5130" max="5130" width="12.625" style="92" customWidth="1"/>
    <col min="5131" max="5131" width="19.5" style="92" customWidth="1"/>
    <col min="5132" max="5376" width="12.625" style="92"/>
    <col min="5377" max="5378" width="4.625" style="92" customWidth="1"/>
    <col min="5379" max="5379" width="16.25" style="92" customWidth="1"/>
    <col min="5380" max="5380" width="19.125" style="92" customWidth="1"/>
    <col min="5381" max="5381" width="5.125" style="92" customWidth="1"/>
    <col min="5382" max="5382" width="4.625" style="92" customWidth="1"/>
    <col min="5383" max="5383" width="15.625" style="92" customWidth="1"/>
    <col min="5384" max="5384" width="19.125" style="92" customWidth="1"/>
    <col min="5385" max="5385" width="0" style="92" hidden="1" customWidth="1"/>
    <col min="5386" max="5386" width="12.625" style="92" customWidth="1"/>
    <col min="5387" max="5387" width="19.5" style="92" customWidth="1"/>
    <col min="5388" max="5632" width="12.625" style="92"/>
    <col min="5633" max="5634" width="4.625" style="92" customWidth="1"/>
    <col min="5635" max="5635" width="16.25" style="92" customWidth="1"/>
    <col min="5636" max="5636" width="19.125" style="92" customWidth="1"/>
    <col min="5637" max="5637" width="5.125" style="92" customWidth="1"/>
    <col min="5638" max="5638" width="4.625" style="92" customWidth="1"/>
    <col min="5639" max="5639" width="15.625" style="92" customWidth="1"/>
    <col min="5640" max="5640" width="19.125" style="92" customWidth="1"/>
    <col min="5641" max="5641" width="0" style="92" hidden="1" customWidth="1"/>
    <col min="5642" max="5642" width="12.625" style="92" customWidth="1"/>
    <col min="5643" max="5643" width="19.5" style="92" customWidth="1"/>
    <col min="5644" max="5888" width="12.625" style="92"/>
    <col min="5889" max="5890" width="4.625" style="92" customWidth="1"/>
    <col min="5891" max="5891" width="16.25" style="92" customWidth="1"/>
    <col min="5892" max="5892" width="19.125" style="92" customWidth="1"/>
    <col min="5893" max="5893" width="5.125" style="92" customWidth="1"/>
    <col min="5894" max="5894" width="4.625" style="92" customWidth="1"/>
    <col min="5895" max="5895" width="15.625" style="92" customWidth="1"/>
    <col min="5896" max="5896" width="19.125" style="92" customWidth="1"/>
    <col min="5897" max="5897" width="0" style="92" hidden="1" customWidth="1"/>
    <col min="5898" max="5898" width="12.625" style="92" customWidth="1"/>
    <col min="5899" max="5899" width="19.5" style="92" customWidth="1"/>
    <col min="5900" max="6144" width="12.625" style="92"/>
    <col min="6145" max="6146" width="4.625" style="92" customWidth="1"/>
    <col min="6147" max="6147" width="16.25" style="92" customWidth="1"/>
    <col min="6148" max="6148" width="19.125" style="92" customWidth="1"/>
    <col min="6149" max="6149" width="5.125" style="92" customWidth="1"/>
    <col min="6150" max="6150" width="4.625" style="92" customWidth="1"/>
    <col min="6151" max="6151" width="15.625" style="92" customWidth="1"/>
    <col min="6152" max="6152" width="19.125" style="92" customWidth="1"/>
    <col min="6153" max="6153" width="0" style="92" hidden="1" customWidth="1"/>
    <col min="6154" max="6154" width="12.625" style="92" customWidth="1"/>
    <col min="6155" max="6155" width="19.5" style="92" customWidth="1"/>
    <col min="6156" max="6400" width="12.625" style="92"/>
    <col min="6401" max="6402" width="4.625" style="92" customWidth="1"/>
    <col min="6403" max="6403" width="16.25" style="92" customWidth="1"/>
    <col min="6404" max="6404" width="19.125" style="92" customWidth="1"/>
    <col min="6405" max="6405" width="5.125" style="92" customWidth="1"/>
    <col min="6406" max="6406" width="4.625" style="92" customWidth="1"/>
    <col min="6407" max="6407" width="15.625" style="92" customWidth="1"/>
    <col min="6408" max="6408" width="19.125" style="92" customWidth="1"/>
    <col min="6409" max="6409" width="0" style="92" hidden="1" customWidth="1"/>
    <col min="6410" max="6410" width="12.625" style="92" customWidth="1"/>
    <col min="6411" max="6411" width="19.5" style="92" customWidth="1"/>
    <col min="6412" max="6656" width="12.625" style="92"/>
    <col min="6657" max="6658" width="4.625" style="92" customWidth="1"/>
    <col min="6659" max="6659" width="16.25" style="92" customWidth="1"/>
    <col min="6660" max="6660" width="19.125" style="92" customWidth="1"/>
    <col min="6661" max="6661" width="5.125" style="92" customWidth="1"/>
    <col min="6662" max="6662" width="4.625" style="92" customWidth="1"/>
    <col min="6663" max="6663" width="15.625" style="92" customWidth="1"/>
    <col min="6664" max="6664" width="19.125" style="92" customWidth="1"/>
    <col min="6665" max="6665" width="0" style="92" hidden="1" customWidth="1"/>
    <col min="6666" max="6666" width="12.625" style="92" customWidth="1"/>
    <col min="6667" max="6667" width="19.5" style="92" customWidth="1"/>
    <col min="6668" max="6912" width="12.625" style="92"/>
    <col min="6913" max="6914" width="4.625" style="92" customWidth="1"/>
    <col min="6915" max="6915" width="16.25" style="92" customWidth="1"/>
    <col min="6916" max="6916" width="19.125" style="92" customWidth="1"/>
    <col min="6917" max="6917" width="5.125" style="92" customWidth="1"/>
    <col min="6918" max="6918" width="4.625" style="92" customWidth="1"/>
    <col min="6919" max="6919" width="15.625" style="92" customWidth="1"/>
    <col min="6920" max="6920" width="19.125" style="92" customWidth="1"/>
    <col min="6921" max="6921" width="0" style="92" hidden="1" customWidth="1"/>
    <col min="6922" max="6922" width="12.625" style="92" customWidth="1"/>
    <col min="6923" max="6923" width="19.5" style="92" customWidth="1"/>
    <col min="6924" max="7168" width="12.625" style="92"/>
    <col min="7169" max="7170" width="4.625" style="92" customWidth="1"/>
    <col min="7171" max="7171" width="16.25" style="92" customWidth="1"/>
    <col min="7172" max="7172" width="19.125" style="92" customWidth="1"/>
    <col min="7173" max="7173" width="5.125" style="92" customWidth="1"/>
    <col min="7174" max="7174" width="4.625" style="92" customWidth="1"/>
    <col min="7175" max="7175" width="15.625" style="92" customWidth="1"/>
    <col min="7176" max="7176" width="19.125" style="92" customWidth="1"/>
    <col min="7177" max="7177" width="0" style="92" hidden="1" customWidth="1"/>
    <col min="7178" max="7178" width="12.625" style="92" customWidth="1"/>
    <col min="7179" max="7179" width="19.5" style="92" customWidth="1"/>
    <col min="7180" max="7424" width="12.625" style="92"/>
    <col min="7425" max="7426" width="4.625" style="92" customWidth="1"/>
    <col min="7427" max="7427" width="16.25" style="92" customWidth="1"/>
    <col min="7428" max="7428" width="19.125" style="92" customWidth="1"/>
    <col min="7429" max="7429" width="5.125" style="92" customWidth="1"/>
    <col min="7430" max="7430" width="4.625" style="92" customWidth="1"/>
    <col min="7431" max="7431" width="15.625" style="92" customWidth="1"/>
    <col min="7432" max="7432" width="19.125" style="92" customWidth="1"/>
    <col min="7433" max="7433" width="0" style="92" hidden="1" customWidth="1"/>
    <col min="7434" max="7434" width="12.625" style="92" customWidth="1"/>
    <col min="7435" max="7435" width="19.5" style="92" customWidth="1"/>
    <col min="7436" max="7680" width="12.625" style="92"/>
    <col min="7681" max="7682" width="4.625" style="92" customWidth="1"/>
    <col min="7683" max="7683" width="16.25" style="92" customWidth="1"/>
    <col min="7684" max="7684" width="19.125" style="92" customWidth="1"/>
    <col min="7685" max="7685" width="5.125" style="92" customWidth="1"/>
    <col min="7686" max="7686" width="4.625" style="92" customWidth="1"/>
    <col min="7687" max="7687" width="15.625" style="92" customWidth="1"/>
    <col min="7688" max="7688" width="19.125" style="92" customWidth="1"/>
    <col min="7689" max="7689" width="0" style="92" hidden="1" customWidth="1"/>
    <col min="7690" max="7690" width="12.625" style="92" customWidth="1"/>
    <col min="7691" max="7691" width="19.5" style="92" customWidth="1"/>
    <col min="7692" max="7936" width="12.625" style="92"/>
    <col min="7937" max="7938" width="4.625" style="92" customWidth="1"/>
    <col min="7939" max="7939" width="16.25" style="92" customWidth="1"/>
    <col min="7940" max="7940" width="19.125" style="92" customWidth="1"/>
    <col min="7941" max="7941" width="5.125" style="92" customWidth="1"/>
    <col min="7942" max="7942" width="4.625" style="92" customWidth="1"/>
    <col min="7943" max="7943" width="15.625" style="92" customWidth="1"/>
    <col min="7944" max="7944" width="19.125" style="92" customWidth="1"/>
    <col min="7945" max="7945" width="0" style="92" hidden="1" customWidth="1"/>
    <col min="7946" max="7946" width="12.625" style="92" customWidth="1"/>
    <col min="7947" max="7947" width="19.5" style="92" customWidth="1"/>
    <col min="7948" max="8192" width="12.625" style="92"/>
    <col min="8193" max="8194" width="4.625" style="92" customWidth="1"/>
    <col min="8195" max="8195" width="16.25" style="92" customWidth="1"/>
    <col min="8196" max="8196" width="19.125" style="92" customWidth="1"/>
    <col min="8197" max="8197" width="5.125" style="92" customWidth="1"/>
    <col min="8198" max="8198" width="4.625" style="92" customWidth="1"/>
    <col min="8199" max="8199" width="15.625" style="92" customWidth="1"/>
    <col min="8200" max="8200" width="19.125" style="92" customWidth="1"/>
    <col min="8201" max="8201" width="0" style="92" hidden="1" customWidth="1"/>
    <col min="8202" max="8202" width="12.625" style="92" customWidth="1"/>
    <col min="8203" max="8203" width="19.5" style="92" customWidth="1"/>
    <col min="8204" max="8448" width="12.625" style="92"/>
    <col min="8449" max="8450" width="4.625" style="92" customWidth="1"/>
    <col min="8451" max="8451" width="16.25" style="92" customWidth="1"/>
    <col min="8452" max="8452" width="19.125" style="92" customWidth="1"/>
    <col min="8453" max="8453" width="5.125" style="92" customWidth="1"/>
    <col min="8454" max="8454" width="4.625" style="92" customWidth="1"/>
    <col min="8455" max="8455" width="15.625" style="92" customWidth="1"/>
    <col min="8456" max="8456" width="19.125" style="92" customWidth="1"/>
    <col min="8457" max="8457" width="0" style="92" hidden="1" customWidth="1"/>
    <col min="8458" max="8458" width="12.625" style="92" customWidth="1"/>
    <col min="8459" max="8459" width="19.5" style="92" customWidth="1"/>
    <col min="8460" max="8704" width="12.625" style="92"/>
    <col min="8705" max="8706" width="4.625" style="92" customWidth="1"/>
    <col min="8707" max="8707" width="16.25" style="92" customWidth="1"/>
    <col min="8708" max="8708" width="19.125" style="92" customWidth="1"/>
    <col min="8709" max="8709" width="5.125" style="92" customWidth="1"/>
    <col min="8710" max="8710" width="4.625" style="92" customWidth="1"/>
    <col min="8711" max="8711" width="15.625" style="92" customWidth="1"/>
    <col min="8712" max="8712" width="19.125" style="92" customWidth="1"/>
    <col min="8713" max="8713" width="0" style="92" hidden="1" customWidth="1"/>
    <col min="8714" max="8714" width="12.625" style="92" customWidth="1"/>
    <col min="8715" max="8715" width="19.5" style="92" customWidth="1"/>
    <col min="8716" max="8960" width="12.625" style="92"/>
    <col min="8961" max="8962" width="4.625" style="92" customWidth="1"/>
    <col min="8963" max="8963" width="16.25" style="92" customWidth="1"/>
    <col min="8964" max="8964" width="19.125" style="92" customWidth="1"/>
    <col min="8965" max="8965" width="5.125" style="92" customWidth="1"/>
    <col min="8966" max="8966" width="4.625" style="92" customWidth="1"/>
    <col min="8967" max="8967" width="15.625" style="92" customWidth="1"/>
    <col min="8968" max="8968" width="19.125" style="92" customWidth="1"/>
    <col min="8969" max="8969" width="0" style="92" hidden="1" customWidth="1"/>
    <col min="8970" max="8970" width="12.625" style="92" customWidth="1"/>
    <col min="8971" max="8971" width="19.5" style="92" customWidth="1"/>
    <col min="8972" max="9216" width="12.625" style="92"/>
    <col min="9217" max="9218" width="4.625" style="92" customWidth="1"/>
    <col min="9219" max="9219" width="16.25" style="92" customWidth="1"/>
    <col min="9220" max="9220" width="19.125" style="92" customWidth="1"/>
    <col min="9221" max="9221" width="5.125" style="92" customWidth="1"/>
    <col min="9222" max="9222" width="4.625" style="92" customWidth="1"/>
    <col min="9223" max="9223" width="15.625" style="92" customWidth="1"/>
    <col min="9224" max="9224" width="19.125" style="92" customWidth="1"/>
    <col min="9225" max="9225" width="0" style="92" hidden="1" customWidth="1"/>
    <col min="9226" max="9226" width="12.625" style="92" customWidth="1"/>
    <col min="9227" max="9227" width="19.5" style="92" customWidth="1"/>
    <col min="9228" max="9472" width="12.625" style="92"/>
    <col min="9473" max="9474" width="4.625" style="92" customWidth="1"/>
    <col min="9475" max="9475" width="16.25" style="92" customWidth="1"/>
    <col min="9476" max="9476" width="19.125" style="92" customWidth="1"/>
    <col min="9477" max="9477" width="5.125" style="92" customWidth="1"/>
    <col min="9478" max="9478" width="4.625" style="92" customWidth="1"/>
    <col min="9479" max="9479" width="15.625" style="92" customWidth="1"/>
    <col min="9480" max="9480" width="19.125" style="92" customWidth="1"/>
    <col min="9481" max="9481" width="0" style="92" hidden="1" customWidth="1"/>
    <col min="9482" max="9482" width="12.625" style="92" customWidth="1"/>
    <col min="9483" max="9483" width="19.5" style="92" customWidth="1"/>
    <col min="9484" max="9728" width="12.625" style="92"/>
    <col min="9729" max="9730" width="4.625" style="92" customWidth="1"/>
    <col min="9731" max="9731" width="16.25" style="92" customWidth="1"/>
    <col min="9732" max="9732" width="19.125" style="92" customWidth="1"/>
    <col min="9733" max="9733" width="5.125" style="92" customWidth="1"/>
    <col min="9734" max="9734" width="4.625" style="92" customWidth="1"/>
    <col min="9735" max="9735" width="15.625" style="92" customWidth="1"/>
    <col min="9736" max="9736" width="19.125" style="92" customWidth="1"/>
    <col min="9737" max="9737" width="0" style="92" hidden="1" customWidth="1"/>
    <col min="9738" max="9738" width="12.625" style="92" customWidth="1"/>
    <col min="9739" max="9739" width="19.5" style="92" customWidth="1"/>
    <col min="9740" max="9984" width="12.625" style="92"/>
    <col min="9985" max="9986" width="4.625" style="92" customWidth="1"/>
    <col min="9987" max="9987" width="16.25" style="92" customWidth="1"/>
    <col min="9988" max="9988" width="19.125" style="92" customWidth="1"/>
    <col min="9989" max="9989" width="5.125" style="92" customWidth="1"/>
    <col min="9990" max="9990" width="4.625" style="92" customWidth="1"/>
    <col min="9991" max="9991" width="15.625" style="92" customWidth="1"/>
    <col min="9992" max="9992" width="19.125" style="92" customWidth="1"/>
    <col min="9993" max="9993" width="0" style="92" hidden="1" customWidth="1"/>
    <col min="9994" max="9994" width="12.625" style="92" customWidth="1"/>
    <col min="9995" max="9995" width="19.5" style="92" customWidth="1"/>
    <col min="9996" max="10240" width="12.625" style="92"/>
    <col min="10241" max="10242" width="4.625" style="92" customWidth="1"/>
    <col min="10243" max="10243" width="16.25" style="92" customWidth="1"/>
    <col min="10244" max="10244" width="19.125" style="92" customWidth="1"/>
    <col min="10245" max="10245" width="5.125" style="92" customWidth="1"/>
    <col min="10246" max="10246" width="4.625" style="92" customWidth="1"/>
    <col min="10247" max="10247" width="15.625" style="92" customWidth="1"/>
    <col min="10248" max="10248" width="19.125" style="92" customWidth="1"/>
    <col min="10249" max="10249" width="0" style="92" hidden="1" customWidth="1"/>
    <col min="10250" max="10250" width="12.625" style="92" customWidth="1"/>
    <col min="10251" max="10251" width="19.5" style="92" customWidth="1"/>
    <col min="10252" max="10496" width="12.625" style="92"/>
    <col min="10497" max="10498" width="4.625" style="92" customWidth="1"/>
    <col min="10499" max="10499" width="16.25" style="92" customWidth="1"/>
    <col min="10500" max="10500" width="19.125" style="92" customWidth="1"/>
    <col min="10501" max="10501" width="5.125" style="92" customWidth="1"/>
    <col min="10502" max="10502" width="4.625" style="92" customWidth="1"/>
    <col min="10503" max="10503" width="15.625" style="92" customWidth="1"/>
    <col min="10504" max="10504" width="19.125" style="92" customWidth="1"/>
    <col min="10505" max="10505" width="0" style="92" hidden="1" customWidth="1"/>
    <col min="10506" max="10506" width="12.625" style="92" customWidth="1"/>
    <col min="10507" max="10507" width="19.5" style="92" customWidth="1"/>
    <col min="10508" max="10752" width="12.625" style="92"/>
    <col min="10753" max="10754" width="4.625" style="92" customWidth="1"/>
    <col min="10755" max="10755" width="16.25" style="92" customWidth="1"/>
    <col min="10756" max="10756" width="19.125" style="92" customWidth="1"/>
    <col min="10757" max="10757" width="5.125" style="92" customWidth="1"/>
    <col min="10758" max="10758" width="4.625" style="92" customWidth="1"/>
    <col min="10759" max="10759" width="15.625" style="92" customWidth="1"/>
    <col min="10760" max="10760" width="19.125" style="92" customWidth="1"/>
    <col min="10761" max="10761" width="0" style="92" hidden="1" customWidth="1"/>
    <col min="10762" max="10762" width="12.625" style="92" customWidth="1"/>
    <col min="10763" max="10763" width="19.5" style="92" customWidth="1"/>
    <col min="10764" max="11008" width="12.625" style="92"/>
    <col min="11009" max="11010" width="4.625" style="92" customWidth="1"/>
    <col min="11011" max="11011" width="16.25" style="92" customWidth="1"/>
    <col min="11012" max="11012" width="19.125" style="92" customWidth="1"/>
    <col min="11013" max="11013" width="5.125" style="92" customWidth="1"/>
    <col min="11014" max="11014" width="4.625" style="92" customWidth="1"/>
    <col min="11015" max="11015" width="15.625" style="92" customWidth="1"/>
    <col min="11016" max="11016" width="19.125" style="92" customWidth="1"/>
    <col min="11017" max="11017" width="0" style="92" hidden="1" customWidth="1"/>
    <col min="11018" max="11018" width="12.625" style="92" customWidth="1"/>
    <col min="11019" max="11019" width="19.5" style="92" customWidth="1"/>
    <col min="11020" max="11264" width="12.625" style="92"/>
    <col min="11265" max="11266" width="4.625" style="92" customWidth="1"/>
    <col min="11267" max="11267" width="16.25" style="92" customWidth="1"/>
    <col min="11268" max="11268" width="19.125" style="92" customWidth="1"/>
    <col min="11269" max="11269" width="5.125" style="92" customWidth="1"/>
    <col min="11270" max="11270" width="4.625" style="92" customWidth="1"/>
    <col min="11271" max="11271" width="15.625" style="92" customWidth="1"/>
    <col min="11272" max="11272" width="19.125" style="92" customWidth="1"/>
    <col min="11273" max="11273" width="0" style="92" hidden="1" customWidth="1"/>
    <col min="11274" max="11274" width="12.625" style="92" customWidth="1"/>
    <col min="11275" max="11275" width="19.5" style="92" customWidth="1"/>
    <col min="11276" max="11520" width="12.625" style="92"/>
    <col min="11521" max="11522" width="4.625" style="92" customWidth="1"/>
    <col min="11523" max="11523" width="16.25" style="92" customWidth="1"/>
    <col min="11524" max="11524" width="19.125" style="92" customWidth="1"/>
    <col min="11525" max="11525" width="5.125" style="92" customWidth="1"/>
    <col min="11526" max="11526" width="4.625" style="92" customWidth="1"/>
    <col min="11527" max="11527" width="15.625" style="92" customWidth="1"/>
    <col min="11528" max="11528" width="19.125" style="92" customWidth="1"/>
    <col min="11529" max="11529" width="0" style="92" hidden="1" customWidth="1"/>
    <col min="11530" max="11530" width="12.625" style="92" customWidth="1"/>
    <col min="11531" max="11531" width="19.5" style="92" customWidth="1"/>
    <col min="11532" max="11776" width="12.625" style="92"/>
    <col min="11777" max="11778" width="4.625" style="92" customWidth="1"/>
    <col min="11779" max="11779" width="16.25" style="92" customWidth="1"/>
    <col min="11780" max="11780" width="19.125" style="92" customWidth="1"/>
    <col min="11781" max="11781" width="5.125" style="92" customWidth="1"/>
    <col min="11782" max="11782" width="4.625" style="92" customWidth="1"/>
    <col min="11783" max="11783" width="15.625" style="92" customWidth="1"/>
    <col min="11784" max="11784" width="19.125" style="92" customWidth="1"/>
    <col min="11785" max="11785" width="0" style="92" hidden="1" customWidth="1"/>
    <col min="11786" max="11786" width="12.625" style="92" customWidth="1"/>
    <col min="11787" max="11787" width="19.5" style="92" customWidth="1"/>
    <col min="11788" max="12032" width="12.625" style="92"/>
    <col min="12033" max="12034" width="4.625" style="92" customWidth="1"/>
    <col min="12035" max="12035" width="16.25" style="92" customWidth="1"/>
    <col min="12036" max="12036" width="19.125" style="92" customWidth="1"/>
    <col min="12037" max="12037" width="5.125" style="92" customWidth="1"/>
    <col min="12038" max="12038" width="4.625" style="92" customWidth="1"/>
    <col min="12039" max="12039" width="15.625" style="92" customWidth="1"/>
    <col min="12040" max="12040" width="19.125" style="92" customWidth="1"/>
    <col min="12041" max="12041" width="0" style="92" hidden="1" customWidth="1"/>
    <col min="12042" max="12042" width="12.625" style="92" customWidth="1"/>
    <col min="12043" max="12043" width="19.5" style="92" customWidth="1"/>
    <col min="12044" max="12288" width="12.625" style="92"/>
    <col min="12289" max="12290" width="4.625" style="92" customWidth="1"/>
    <col min="12291" max="12291" width="16.25" style="92" customWidth="1"/>
    <col min="12292" max="12292" width="19.125" style="92" customWidth="1"/>
    <col min="12293" max="12293" width="5.125" style="92" customWidth="1"/>
    <col min="12294" max="12294" width="4.625" style="92" customWidth="1"/>
    <col min="12295" max="12295" width="15.625" style="92" customWidth="1"/>
    <col min="12296" max="12296" width="19.125" style="92" customWidth="1"/>
    <col min="12297" max="12297" width="0" style="92" hidden="1" customWidth="1"/>
    <col min="12298" max="12298" width="12.625" style="92" customWidth="1"/>
    <col min="12299" max="12299" width="19.5" style="92" customWidth="1"/>
    <col min="12300" max="12544" width="12.625" style="92"/>
    <col min="12545" max="12546" width="4.625" style="92" customWidth="1"/>
    <col min="12547" max="12547" width="16.25" style="92" customWidth="1"/>
    <col min="12548" max="12548" width="19.125" style="92" customWidth="1"/>
    <col min="12549" max="12549" width="5.125" style="92" customWidth="1"/>
    <col min="12550" max="12550" width="4.625" style="92" customWidth="1"/>
    <col min="12551" max="12551" width="15.625" style="92" customWidth="1"/>
    <col min="12552" max="12552" width="19.125" style="92" customWidth="1"/>
    <col min="12553" max="12553" width="0" style="92" hidden="1" customWidth="1"/>
    <col min="12554" max="12554" width="12.625" style="92" customWidth="1"/>
    <col min="12555" max="12555" width="19.5" style="92" customWidth="1"/>
    <col min="12556" max="12800" width="12.625" style="92"/>
    <col min="12801" max="12802" width="4.625" style="92" customWidth="1"/>
    <col min="12803" max="12803" width="16.25" style="92" customWidth="1"/>
    <col min="12804" max="12804" width="19.125" style="92" customWidth="1"/>
    <col min="12805" max="12805" width="5.125" style="92" customWidth="1"/>
    <col min="12806" max="12806" width="4.625" style="92" customWidth="1"/>
    <col min="12807" max="12807" width="15.625" style="92" customWidth="1"/>
    <col min="12808" max="12808" width="19.125" style="92" customWidth="1"/>
    <col min="12809" max="12809" width="0" style="92" hidden="1" customWidth="1"/>
    <col min="12810" max="12810" width="12.625" style="92" customWidth="1"/>
    <col min="12811" max="12811" width="19.5" style="92" customWidth="1"/>
    <col min="12812" max="13056" width="12.625" style="92"/>
    <col min="13057" max="13058" width="4.625" style="92" customWidth="1"/>
    <col min="13059" max="13059" width="16.25" style="92" customWidth="1"/>
    <col min="13060" max="13060" width="19.125" style="92" customWidth="1"/>
    <col min="13061" max="13061" width="5.125" style="92" customWidth="1"/>
    <col min="13062" max="13062" width="4.625" style="92" customWidth="1"/>
    <col min="13063" max="13063" width="15.625" style="92" customWidth="1"/>
    <col min="13064" max="13064" width="19.125" style="92" customWidth="1"/>
    <col min="13065" max="13065" width="0" style="92" hidden="1" customWidth="1"/>
    <col min="13066" max="13066" width="12.625" style="92" customWidth="1"/>
    <col min="13067" max="13067" width="19.5" style="92" customWidth="1"/>
    <col min="13068" max="13312" width="12.625" style="92"/>
    <col min="13313" max="13314" width="4.625" style="92" customWidth="1"/>
    <col min="13315" max="13315" width="16.25" style="92" customWidth="1"/>
    <col min="13316" max="13316" width="19.125" style="92" customWidth="1"/>
    <col min="13317" max="13317" width="5.125" style="92" customWidth="1"/>
    <col min="13318" max="13318" width="4.625" style="92" customWidth="1"/>
    <col min="13319" max="13319" width="15.625" style="92" customWidth="1"/>
    <col min="13320" max="13320" width="19.125" style="92" customWidth="1"/>
    <col min="13321" max="13321" width="0" style="92" hidden="1" customWidth="1"/>
    <col min="13322" max="13322" width="12.625" style="92" customWidth="1"/>
    <col min="13323" max="13323" width="19.5" style="92" customWidth="1"/>
    <col min="13324" max="13568" width="12.625" style="92"/>
    <col min="13569" max="13570" width="4.625" style="92" customWidth="1"/>
    <col min="13571" max="13571" width="16.25" style="92" customWidth="1"/>
    <col min="13572" max="13572" width="19.125" style="92" customWidth="1"/>
    <col min="13573" max="13573" width="5.125" style="92" customWidth="1"/>
    <col min="13574" max="13574" width="4.625" style="92" customWidth="1"/>
    <col min="13575" max="13575" width="15.625" style="92" customWidth="1"/>
    <col min="13576" max="13576" width="19.125" style="92" customWidth="1"/>
    <col min="13577" max="13577" width="0" style="92" hidden="1" customWidth="1"/>
    <col min="13578" max="13578" width="12.625" style="92" customWidth="1"/>
    <col min="13579" max="13579" width="19.5" style="92" customWidth="1"/>
    <col min="13580" max="13824" width="12.625" style="92"/>
    <col min="13825" max="13826" width="4.625" style="92" customWidth="1"/>
    <col min="13827" max="13827" width="16.25" style="92" customWidth="1"/>
    <col min="13828" max="13828" width="19.125" style="92" customWidth="1"/>
    <col min="13829" max="13829" width="5.125" style="92" customWidth="1"/>
    <col min="13830" max="13830" width="4.625" style="92" customWidth="1"/>
    <col min="13831" max="13831" width="15.625" style="92" customWidth="1"/>
    <col min="13832" max="13832" width="19.125" style="92" customWidth="1"/>
    <col min="13833" max="13833" width="0" style="92" hidden="1" customWidth="1"/>
    <col min="13834" max="13834" width="12.625" style="92" customWidth="1"/>
    <col min="13835" max="13835" width="19.5" style="92" customWidth="1"/>
    <col min="13836" max="14080" width="12.625" style="92"/>
    <col min="14081" max="14082" width="4.625" style="92" customWidth="1"/>
    <col min="14083" max="14083" width="16.25" style="92" customWidth="1"/>
    <col min="14084" max="14084" width="19.125" style="92" customWidth="1"/>
    <col min="14085" max="14085" width="5.125" style="92" customWidth="1"/>
    <col min="14086" max="14086" width="4.625" style="92" customWidth="1"/>
    <col min="14087" max="14087" width="15.625" style="92" customWidth="1"/>
    <col min="14088" max="14088" width="19.125" style="92" customWidth="1"/>
    <col min="14089" max="14089" width="0" style="92" hidden="1" customWidth="1"/>
    <col min="14090" max="14090" width="12.625" style="92" customWidth="1"/>
    <col min="14091" max="14091" width="19.5" style="92" customWidth="1"/>
    <col min="14092" max="14336" width="12.625" style="92"/>
    <col min="14337" max="14338" width="4.625" style="92" customWidth="1"/>
    <col min="14339" max="14339" width="16.25" style="92" customWidth="1"/>
    <col min="14340" max="14340" width="19.125" style="92" customWidth="1"/>
    <col min="14341" max="14341" width="5.125" style="92" customWidth="1"/>
    <col min="14342" max="14342" width="4.625" style="92" customWidth="1"/>
    <col min="14343" max="14343" width="15.625" style="92" customWidth="1"/>
    <col min="14344" max="14344" width="19.125" style="92" customWidth="1"/>
    <col min="14345" max="14345" width="0" style="92" hidden="1" customWidth="1"/>
    <col min="14346" max="14346" width="12.625" style="92" customWidth="1"/>
    <col min="14347" max="14347" width="19.5" style="92" customWidth="1"/>
    <col min="14348" max="14592" width="12.625" style="92"/>
    <col min="14593" max="14594" width="4.625" style="92" customWidth="1"/>
    <col min="14595" max="14595" width="16.25" style="92" customWidth="1"/>
    <col min="14596" max="14596" width="19.125" style="92" customWidth="1"/>
    <col min="14597" max="14597" width="5.125" style="92" customWidth="1"/>
    <col min="14598" max="14598" width="4.625" style="92" customWidth="1"/>
    <col min="14599" max="14599" width="15.625" style="92" customWidth="1"/>
    <col min="14600" max="14600" width="19.125" style="92" customWidth="1"/>
    <col min="14601" max="14601" width="0" style="92" hidden="1" customWidth="1"/>
    <col min="14602" max="14602" width="12.625" style="92" customWidth="1"/>
    <col min="14603" max="14603" width="19.5" style="92" customWidth="1"/>
    <col min="14604" max="14848" width="12.625" style="92"/>
    <col min="14849" max="14850" width="4.625" style="92" customWidth="1"/>
    <col min="14851" max="14851" width="16.25" style="92" customWidth="1"/>
    <col min="14852" max="14852" width="19.125" style="92" customWidth="1"/>
    <col min="14853" max="14853" width="5.125" style="92" customWidth="1"/>
    <col min="14854" max="14854" width="4.625" style="92" customWidth="1"/>
    <col min="14855" max="14855" width="15.625" style="92" customWidth="1"/>
    <col min="14856" max="14856" width="19.125" style="92" customWidth="1"/>
    <col min="14857" max="14857" width="0" style="92" hidden="1" customWidth="1"/>
    <col min="14858" max="14858" width="12.625" style="92" customWidth="1"/>
    <col min="14859" max="14859" width="19.5" style="92" customWidth="1"/>
    <col min="14860" max="15104" width="12.625" style="92"/>
    <col min="15105" max="15106" width="4.625" style="92" customWidth="1"/>
    <col min="15107" max="15107" width="16.25" style="92" customWidth="1"/>
    <col min="15108" max="15108" width="19.125" style="92" customWidth="1"/>
    <col min="15109" max="15109" width="5.125" style="92" customWidth="1"/>
    <col min="15110" max="15110" width="4.625" style="92" customWidth="1"/>
    <col min="15111" max="15111" width="15.625" style="92" customWidth="1"/>
    <col min="15112" max="15112" width="19.125" style="92" customWidth="1"/>
    <col min="15113" max="15113" width="0" style="92" hidden="1" customWidth="1"/>
    <col min="15114" max="15114" width="12.625" style="92" customWidth="1"/>
    <col min="15115" max="15115" width="19.5" style="92" customWidth="1"/>
    <col min="15116" max="15360" width="12.625" style="92"/>
    <col min="15361" max="15362" width="4.625" style="92" customWidth="1"/>
    <col min="15363" max="15363" width="16.25" style="92" customWidth="1"/>
    <col min="15364" max="15364" width="19.125" style="92" customWidth="1"/>
    <col min="15365" max="15365" width="5.125" style="92" customWidth="1"/>
    <col min="15366" max="15366" width="4.625" style="92" customWidth="1"/>
    <col min="15367" max="15367" width="15.625" style="92" customWidth="1"/>
    <col min="15368" max="15368" width="19.125" style="92" customWidth="1"/>
    <col min="15369" max="15369" width="0" style="92" hidden="1" customWidth="1"/>
    <col min="15370" max="15370" width="12.625" style="92" customWidth="1"/>
    <col min="15371" max="15371" width="19.5" style="92" customWidth="1"/>
    <col min="15372" max="15616" width="12.625" style="92"/>
    <col min="15617" max="15618" width="4.625" style="92" customWidth="1"/>
    <col min="15619" max="15619" width="16.25" style="92" customWidth="1"/>
    <col min="15620" max="15620" width="19.125" style="92" customWidth="1"/>
    <col min="15621" max="15621" width="5.125" style="92" customWidth="1"/>
    <col min="15622" max="15622" width="4.625" style="92" customWidth="1"/>
    <col min="15623" max="15623" width="15.625" style="92" customWidth="1"/>
    <col min="15624" max="15624" width="19.125" style="92" customWidth="1"/>
    <col min="15625" max="15625" width="0" style="92" hidden="1" customWidth="1"/>
    <col min="15626" max="15626" width="12.625" style="92" customWidth="1"/>
    <col min="15627" max="15627" width="19.5" style="92" customWidth="1"/>
    <col min="15628" max="15872" width="12.625" style="92"/>
    <col min="15873" max="15874" width="4.625" style="92" customWidth="1"/>
    <col min="15875" max="15875" width="16.25" style="92" customWidth="1"/>
    <col min="15876" max="15876" width="19.125" style="92" customWidth="1"/>
    <col min="15877" max="15877" width="5.125" style="92" customWidth="1"/>
    <col min="15878" max="15878" width="4.625" style="92" customWidth="1"/>
    <col min="15879" max="15879" width="15.625" style="92" customWidth="1"/>
    <col min="15880" max="15880" width="19.125" style="92" customWidth="1"/>
    <col min="15881" max="15881" width="0" style="92" hidden="1" customWidth="1"/>
    <col min="15882" max="15882" width="12.625" style="92" customWidth="1"/>
    <col min="15883" max="15883" width="19.5" style="92" customWidth="1"/>
    <col min="15884" max="16128" width="12.625" style="92"/>
    <col min="16129" max="16130" width="4.625" style="92" customWidth="1"/>
    <col min="16131" max="16131" width="16.25" style="92" customWidth="1"/>
    <col min="16132" max="16132" width="19.125" style="92" customWidth="1"/>
    <col min="16133" max="16133" width="5.125" style="92" customWidth="1"/>
    <col min="16134" max="16134" width="4.625" style="92" customWidth="1"/>
    <col min="16135" max="16135" width="15.625" style="92" customWidth="1"/>
    <col min="16136" max="16136" width="19.125" style="92" customWidth="1"/>
    <col min="16137" max="16137" width="0" style="92" hidden="1" customWidth="1"/>
    <col min="16138" max="16138" width="12.625" style="92" customWidth="1"/>
    <col min="16139" max="16139" width="19.5" style="92" customWidth="1"/>
    <col min="16140" max="16384" width="12.625" style="92"/>
  </cols>
  <sheetData>
    <row r="1" spans="1:13" ht="23.25" customHeight="1">
      <c r="A1" s="93" t="s">
        <v>280</v>
      </c>
    </row>
    <row r="2" spans="1:13" ht="9.9499999999999993" customHeight="1">
      <c r="A2" s="93"/>
    </row>
    <row r="3" spans="1:13" s="94" customFormat="1" ht="15" customHeight="1">
      <c r="A3" s="2029">
        <v>45504</v>
      </c>
      <c r="B3" s="2029"/>
      <c r="C3" s="2029"/>
      <c r="H3" s="95" t="s">
        <v>57</v>
      </c>
    </row>
    <row r="4" spans="1:13" s="94" customFormat="1" ht="20.100000000000001" customHeight="1">
      <c r="A4" s="2023" t="s">
        <v>58</v>
      </c>
      <c r="B4" s="2024"/>
      <c r="C4" s="2025"/>
      <c r="D4" s="1732" t="s">
        <v>59</v>
      </c>
      <c r="E4" s="2026" t="s">
        <v>58</v>
      </c>
      <c r="F4" s="2027"/>
      <c r="G4" s="2028"/>
      <c r="H4" s="96" t="s">
        <v>59</v>
      </c>
    </row>
    <row r="5" spans="1:13" ht="20.100000000000001" customHeight="1">
      <c r="A5" s="109" t="s">
        <v>63</v>
      </c>
      <c r="B5" s="112"/>
      <c r="C5" s="101"/>
      <c r="D5" s="1731">
        <f>SUM(D6,D8,D27:D29,D32:D33)</f>
        <v>138424311906</v>
      </c>
      <c r="E5" s="1735" t="s">
        <v>81</v>
      </c>
      <c r="F5" s="1736"/>
      <c r="G5" s="1737"/>
      <c r="H5" s="114">
        <f>SUM(H6:H10)</f>
        <v>153982183</v>
      </c>
    </row>
    <row r="6" spans="1:13" ht="20.100000000000001" customHeight="1">
      <c r="A6" s="1727"/>
      <c r="B6" s="100" t="s">
        <v>1088</v>
      </c>
      <c r="C6" s="101"/>
      <c r="D6" s="1733">
        <f>D7</f>
        <v>10000000000</v>
      </c>
      <c r="E6" s="1728"/>
      <c r="F6" s="1738" t="s">
        <v>1036</v>
      </c>
      <c r="G6" s="1730"/>
      <c r="H6" s="514">
        <v>0</v>
      </c>
    </row>
    <row r="7" spans="1:13" ht="20.100000000000001" customHeight="1">
      <c r="A7" s="1727"/>
      <c r="B7" s="108"/>
      <c r="C7" s="103" t="s">
        <v>1089</v>
      </c>
      <c r="D7" s="1734">
        <v>10000000000</v>
      </c>
      <c r="E7" s="1728"/>
      <c r="F7" s="1486" t="s">
        <v>1038</v>
      </c>
      <c r="G7" s="1739"/>
      <c r="H7" s="514">
        <f>확정급여부채!C136</f>
        <v>528194836</v>
      </c>
    </row>
    <row r="8" spans="1:13" ht="20.100000000000001" customHeight="1">
      <c r="A8" s="104"/>
      <c r="B8" s="100" t="s">
        <v>64</v>
      </c>
      <c r="C8" s="101"/>
      <c r="D8" s="1733">
        <f>SUM(D9:D26)</f>
        <v>125802211833</v>
      </c>
      <c r="E8" s="1728"/>
      <c r="F8" s="1733" t="s">
        <v>1039</v>
      </c>
      <c r="G8" s="1729"/>
      <c r="H8" s="515">
        <f>-사외적립자산!G18</f>
        <v>-520558840</v>
      </c>
    </row>
    <row r="9" spans="1:13" ht="20.100000000000001" customHeight="1">
      <c r="A9" s="99"/>
      <c r="B9" s="108"/>
      <c r="C9" s="103" t="s">
        <v>65</v>
      </c>
      <c r="D9" s="1734">
        <v>10603626435</v>
      </c>
      <c r="E9" s="1727"/>
      <c r="F9" s="1740" t="s">
        <v>1043</v>
      </c>
      <c r="G9" s="1730"/>
      <c r="H9" s="204">
        <v>36346187</v>
      </c>
    </row>
    <row r="10" spans="1:13" ht="20.100000000000001" customHeight="1">
      <c r="A10" s="99"/>
      <c r="B10" s="108"/>
      <c r="C10" s="103" t="s">
        <v>66</v>
      </c>
      <c r="D10" s="1734">
        <v>17400094776</v>
      </c>
      <c r="E10" s="1741"/>
      <c r="F10" s="1738" t="s">
        <v>1044</v>
      </c>
      <c r="G10" s="1730"/>
      <c r="H10" s="204">
        <f>장기선수수익!D20</f>
        <v>110000000</v>
      </c>
    </row>
    <row r="11" spans="1:13" ht="20.100000000000001" customHeight="1">
      <c r="A11" s="99"/>
      <c r="B11" s="108"/>
      <c r="C11" s="103" t="s">
        <v>74</v>
      </c>
      <c r="D11" s="1680">
        <v>-4660486060</v>
      </c>
      <c r="E11" s="1679" t="s">
        <v>82</v>
      </c>
      <c r="F11" s="112"/>
      <c r="G11" s="201"/>
      <c r="H11" s="205">
        <f>SUM(H12,H18:H23)</f>
        <v>77133485633.568222</v>
      </c>
    </row>
    <row r="12" spans="1:13" ht="20.100000000000001" customHeight="1">
      <c r="A12" s="99"/>
      <c r="B12" s="108"/>
      <c r="C12" s="103" t="s">
        <v>68</v>
      </c>
      <c r="D12" s="1681">
        <v>43000158347</v>
      </c>
      <c r="E12" s="98"/>
      <c r="F12" s="206" t="s">
        <v>83</v>
      </c>
      <c r="G12" s="201"/>
      <c r="H12" s="204">
        <f>SUM(H13:H17)</f>
        <v>18123507582</v>
      </c>
    </row>
    <row r="13" spans="1:13" ht="20.100000000000001" customHeight="1">
      <c r="A13" s="99"/>
      <c r="B13" s="108"/>
      <c r="C13" s="103" t="s">
        <v>74</v>
      </c>
      <c r="D13" s="1680">
        <v>-22430873221</v>
      </c>
      <c r="F13" s="198"/>
      <c r="G13" s="92" t="s">
        <v>121</v>
      </c>
      <c r="H13" s="565">
        <f>'매입채무(외상매입금)'!D19</f>
        <v>15484460203</v>
      </c>
    </row>
    <row r="14" spans="1:13" ht="20.100000000000001" customHeight="1">
      <c r="A14" s="197"/>
      <c r="B14" s="198"/>
      <c r="C14" s="103" t="s">
        <v>120</v>
      </c>
      <c r="D14" s="1681">
        <v>25838070267</v>
      </c>
      <c r="E14" s="202"/>
      <c r="F14" s="200"/>
      <c r="G14" s="207" t="s">
        <v>84</v>
      </c>
      <c r="H14" s="204">
        <f>'미지급금(일반)'!D60+'미지급금(법인카드,자동이체)'!D18</f>
        <v>2355633088</v>
      </c>
      <c r="M14" s="1682"/>
    </row>
    <row r="15" spans="1:13" ht="20.100000000000001" customHeight="1">
      <c r="A15" s="197"/>
      <c r="B15" s="198"/>
      <c r="C15" s="103" t="s">
        <v>74</v>
      </c>
      <c r="D15" s="1680">
        <v>-14129338863</v>
      </c>
      <c r="E15" s="202"/>
      <c r="F15" s="198"/>
      <c r="G15" s="201" t="s">
        <v>85</v>
      </c>
      <c r="H15" s="204">
        <f>예수금!D22</f>
        <v>0</v>
      </c>
      <c r="M15" s="1682"/>
    </row>
    <row r="16" spans="1:13" ht="20.100000000000001" customHeight="1">
      <c r="A16" s="99"/>
      <c r="B16" s="108"/>
      <c r="C16" s="103" t="s">
        <v>69</v>
      </c>
      <c r="D16" s="1681">
        <v>150045152684</v>
      </c>
      <c r="E16" s="202"/>
      <c r="F16" s="198"/>
      <c r="G16" s="201" t="s">
        <v>86</v>
      </c>
      <c r="H16" s="204">
        <f>미지급비용!D17</f>
        <v>253872097</v>
      </c>
    </row>
    <row r="17" spans="1:11" ht="20.100000000000001" customHeight="1">
      <c r="A17" s="99"/>
      <c r="B17" s="108"/>
      <c r="C17" s="103" t="s">
        <v>74</v>
      </c>
      <c r="D17" s="1680">
        <v>-80111143285</v>
      </c>
      <c r="E17" s="98"/>
      <c r="F17" s="113"/>
      <c r="G17" s="201" t="s">
        <v>87</v>
      </c>
      <c r="H17" s="515">
        <v>29542194</v>
      </c>
    </row>
    <row r="18" spans="1:11" ht="20.100000000000001" customHeight="1">
      <c r="A18" s="99"/>
      <c r="B18" s="108"/>
      <c r="C18" s="103" t="s">
        <v>70</v>
      </c>
      <c r="D18" s="1681">
        <v>101919565</v>
      </c>
      <c r="E18" s="202"/>
      <c r="F18" s="123" t="s">
        <v>1086</v>
      </c>
      <c r="G18" s="201"/>
      <c r="H18" s="204">
        <f>예수보증금!D22</f>
        <v>2889375000</v>
      </c>
    </row>
    <row r="19" spans="1:11" ht="20.100000000000001" customHeight="1">
      <c r="A19" s="99"/>
      <c r="B19" s="108"/>
      <c r="C19" s="103" t="s">
        <v>74</v>
      </c>
      <c r="D19" s="1680">
        <v>-65739900</v>
      </c>
      <c r="E19" s="202"/>
      <c r="F19" s="1810" t="s">
        <v>1149</v>
      </c>
      <c r="G19" s="1733"/>
      <c r="H19" s="1811">
        <v>0</v>
      </c>
    </row>
    <row r="20" spans="1:11" ht="20.100000000000001" customHeight="1">
      <c r="A20" s="99"/>
      <c r="B20" s="108"/>
      <c r="C20" s="103" t="s">
        <v>75</v>
      </c>
      <c r="D20" s="1681">
        <v>255179164</v>
      </c>
      <c r="E20" s="98"/>
      <c r="F20" s="123" t="s">
        <v>875</v>
      </c>
      <c r="G20" s="201"/>
      <c r="H20" s="204">
        <v>0</v>
      </c>
    </row>
    <row r="21" spans="1:11" ht="20.100000000000001" customHeight="1">
      <c r="A21" s="99"/>
      <c r="B21" s="108"/>
      <c r="C21" s="103" t="s">
        <v>74</v>
      </c>
      <c r="D21" s="1680">
        <v>-227279841</v>
      </c>
      <c r="E21" s="102"/>
      <c r="F21" s="2030" t="s">
        <v>869</v>
      </c>
      <c r="G21" s="2031"/>
      <c r="H21" s="1340">
        <f>배출권!H32</f>
        <v>1115682216.5682271</v>
      </c>
    </row>
    <row r="22" spans="1:11" ht="20.100000000000001" customHeight="1">
      <c r="A22" s="99"/>
      <c r="B22" s="108"/>
      <c r="C22" s="103" t="s">
        <v>76</v>
      </c>
      <c r="D22" s="1681">
        <v>1098824992</v>
      </c>
      <c r="E22" s="98"/>
      <c r="F22" s="2030" t="s">
        <v>872</v>
      </c>
      <c r="G22" s="2031"/>
      <c r="H22" s="1340">
        <v>4920835</v>
      </c>
    </row>
    <row r="23" spans="1:11" ht="20.100000000000001" customHeight="1">
      <c r="A23" s="99"/>
      <c r="B23" s="108"/>
      <c r="C23" s="103" t="s">
        <v>74</v>
      </c>
      <c r="D23" s="1632">
        <v>-1067086362</v>
      </c>
      <c r="E23" s="98"/>
      <c r="F23" s="100" t="s">
        <v>1112</v>
      </c>
      <c r="G23" s="112"/>
      <c r="H23" s="106">
        <f>'차입금(장기,유동성)'!F17</f>
        <v>55000000000</v>
      </c>
    </row>
    <row r="24" spans="1:11" ht="20.100000000000001" customHeight="1">
      <c r="A24" s="197"/>
      <c r="B24" s="200"/>
      <c r="C24" s="1282" t="s">
        <v>873</v>
      </c>
      <c r="D24" s="1634">
        <v>74436589</v>
      </c>
      <c r="E24" s="203" t="s">
        <v>62</v>
      </c>
      <c r="F24" s="126"/>
      <c r="G24" s="127"/>
      <c r="H24" s="128">
        <f>H11+H5</f>
        <v>77287467816.568222</v>
      </c>
      <c r="K24" s="116"/>
    </row>
    <row r="25" spans="1:11" ht="20.100000000000001" customHeight="1">
      <c r="A25" s="197"/>
      <c r="B25" s="200"/>
      <c r="C25" s="1282" t="s">
        <v>874</v>
      </c>
      <c r="D25" s="1634">
        <v>-33303454</v>
      </c>
      <c r="E25" s="97" t="s">
        <v>88</v>
      </c>
      <c r="F25" s="98"/>
      <c r="G25" s="98"/>
      <c r="H25" s="121">
        <f>SUM(H26:H28,H30,H31)</f>
        <v>116615267565</v>
      </c>
      <c r="K25" s="116"/>
    </row>
    <row r="26" spans="1:11" ht="20.100000000000001" customHeight="1">
      <c r="A26" s="99"/>
      <c r="B26" s="105"/>
      <c r="C26" s="103" t="s">
        <v>71</v>
      </c>
      <c r="D26" s="1633">
        <v>110000000</v>
      </c>
      <c r="E26" s="104"/>
      <c r="F26" s="100" t="s">
        <v>89</v>
      </c>
      <c r="G26" s="112"/>
      <c r="H26" s="106">
        <v>70000000000</v>
      </c>
      <c r="K26" s="116"/>
    </row>
    <row r="27" spans="1:11" ht="20.100000000000001" customHeight="1">
      <c r="A27" s="99"/>
      <c r="B27" s="100" t="s">
        <v>996</v>
      </c>
      <c r="C27" s="101"/>
      <c r="D27" s="1633">
        <f>기타무형자산!D17</f>
        <v>218299200</v>
      </c>
      <c r="E27" s="104"/>
      <c r="F27" s="123" t="s">
        <v>90</v>
      </c>
      <c r="G27" s="101"/>
      <c r="H27" s="106"/>
      <c r="K27" s="116"/>
    </row>
    <row r="28" spans="1:11" ht="20.100000000000001" customHeight="1">
      <c r="A28" s="99"/>
      <c r="B28" s="100" t="s">
        <v>657</v>
      </c>
      <c r="C28" s="101"/>
      <c r="D28" s="204">
        <f>배출권!H31</f>
        <v>2088410580</v>
      </c>
      <c r="E28" s="104"/>
      <c r="F28" s="100" t="s">
        <v>91</v>
      </c>
      <c r="G28" s="101"/>
      <c r="H28" s="516">
        <f>H29</f>
        <v>13173246800</v>
      </c>
      <c r="K28" s="116"/>
    </row>
    <row r="29" spans="1:11" ht="20.100000000000001" customHeight="1">
      <c r="A29" s="197"/>
      <c r="B29" s="1941" t="s">
        <v>870</v>
      </c>
      <c r="C29" s="1279"/>
      <c r="D29" s="1340">
        <f>D30+D31</f>
        <v>0</v>
      </c>
      <c r="E29" s="97"/>
      <c r="F29" s="113"/>
      <c r="G29" s="103" t="s">
        <v>350</v>
      </c>
      <c r="H29" s="516">
        <v>13173246800</v>
      </c>
      <c r="K29" s="116"/>
    </row>
    <row r="30" spans="1:11" ht="20.100000000000001" customHeight="1">
      <c r="A30" s="99"/>
      <c r="B30" s="198"/>
      <c r="C30" s="1282" t="s">
        <v>870</v>
      </c>
      <c r="D30" s="204">
        <v>0</v>
      </c>
      <c r="E30" s="97"/>
      <c r="F30" s="124" t="s">
        <v>92</v>
      </c>
      <c r="G30" s="101"/>
      <c r="H30" s="111"/>
      <c r="K30" s="116"/>
    </row>
    <row r="31" spans="1:11" ht="20.100000000000001" customHeight="1">
      <c r="A31" s="197"/>
      <c r="B31" s="1281"/>
      <c r="C31" s="1283" t="s">
        <v>871</v>
      </c>
      <c r="D31" s="1340">
        <v>0</v>
      </c>
      <c r="E31" s="97"/>
      <c r="F31" s="100" t="s">
        <v>93</v>
      </c>
      <c r="G31" s="101"/>
      <c r="H31" s="373">
        <f>SUM(H32:H34)</f>
        <v>33442020765</v>
      </c>
    </row>
    <row r="32" spans="1:11" ht="20.100000000000001" customHeight="1">
      <c r="A32" s="99"/>
      <c r="B32" s="100" t="s">
        <v>77</v>
      </c>
      <c r="C32" s="1280"/>
      <c r="D32" s="204">
        <v>315390293</v>
      </c>
      <c r="E32" s="199"/>
      <c r="F32" s="198"/>
      <c r="G32" s="374" t="s">
        <v>261</v>
      </c>
      <c r="H32" s="375">
        <v>11700000000</v>
      </c>
    </row>
    <row r="33" spans="1:12" ht="20.100000000000001" customHeight="1">
      <c r="A33" s="1727"/>
      <c r="B33" s="100" t="s">
        <v>1087</v>
      </c>
      <c r="C33" s="1280"/>
      <c r="D33" s="204">
        <v>0</v>
      </c>
      <c r="E33" s="199"/>
      <c r="F33" s="198"/>
      <c r="G33" s="374" t="s">
        <v>262</v>
      </c>
      <c r="H33" s="515">
        <f>-보험수리적손익!C96</f>
        <v>-272256927</v>
      </c>
    </row>
    <row r="34" spans="1:12" ht="20.100000000000001" customHeight="1">
      <c r="A34" s="109" t="s">
        <v>60</v>
      </c>
      <c r="B34" s="112"/>
      <c r="C34" s="101"/>
      <c r="D34" s="205">
        <f>SUM(D35,D39,D45)</f>
        <v>55478423476.064735</v>
      </c>
      <c r="E34" s="199"/>
      <c r="F34" s="198"/>
      <c r="G34" s="374" t="s">
        <v>916</v>
      </c>
      <c r="H34" s="375">
        <v>22014277692</v>
      </c>
    </row>
    <row r="35" spans="1:12" ht="20.100000000000001" customHeight="1">
      <c r="A35" s="99"/>
      <c r="B35" s="110" t="s">
        <v>61</v>
      </c>
      <c r="C35" s="101"/>
      <c r="D35" s="204">
        <f>SUM(D36:D38)</f>
        <v>2863163210.064734</v>
      </c>
      <c r="E35" s="97"/>
      <c r="F35" s="108"/>
      <c r="G35" s="517" t="s">
        <v>94</v>
      </c>
      <c r="H35" s="106">
        <v>8173391673</v>
      </c>
    </row>
    <row r="36" spans="1:12" ht="20.100000000000001" customHeight="1">
      <c r="A36" s="99"/>
      <c r="B36" s="1486"/>
      <c r="C36" s="1484" t="s">
        <v>990</v>
      </c>
      <c r="D36" s="204">
        <f>원재료!I34</f>
        <v>1429803050.064734</v>
      </c>
      <c r="E36" s="97"/>
      <c r="F36" s="124"/>
      <c r="G36" s="517" t="s">
        <v>95</v>
      </c>
      <c r="H36" s="107">
        <v>19594800621</v>
      </c>
    </row>
    <row r="37" spans="1:12" ht="20.100000000000001" customHeight="1">
      <c r="A37" s="99"/>
      <c r="B37" s="1485"/>
      <c r="C37" s="1484" t="s">
        <v>991</v>
      </c>
      <c r="D37" s="204">
        <f>저장품!E73</f>
        <v>1433360160</v>
      </c>
      <c r="E37" s="97" t="s">
        <v>96</v>
      </c>
      <c r="F37" s="98"/>
      <c r="G37" s="115"/>
      <c r="H37" s="121">
        <v>0</v>
      </c>
    </row>
    <row r="38" spans="1:12" ht="20.100000000000001" customHeight="1">
      <c r="A38" s="99"/>
      <c r="B38" s="102"/>
      <c r="C38" s="103" t="s">
        <v>992</v>
      </c>
      <c r="D38" s="148">
        <f>기타재고!D17</f>
        <v>0</v>
      </c>
      <c r="E38" s="125" t="s">
        <v>67</v>
      </c>
      <c r="F38" s="126"/>
      <c r="G38" s="127"/>
      <c r="H38" s="128">
        <f>H25+H37</f>
        <v>116615267565</v>
      </c>
    </row>
    <row r="39" spans="1:12" ht="20.100000000000001" customHeight="1">
      <c r="A39" s="99"/>
      <c r="B39" s="100" t="s">
        <v>78</v>
      </c>
      <c r="C39" s="103"/>
      <c r="D39" s="112">
        <f>SUM(D40:D44)</f>
        <v>13992661998</v>
      </c>
      <c r="E39" s="1673"/>
      <c r="F39" s="1674"/>
      <c r="G39" s="1674"/>
      <c r="H39" s="1675"/>
    </row>
    <row r="40" spans="1:12" ht="20.100000000000001" customHeight="1">
      <c r="A40" s="99"/>
      <c r="B40" s="102"/>
      <c r="C40" s="103" t="s">
        <v>989</v>
      </c>
      <c r="D40" s="148">
        <f>매출채권!D25</f>
        <v>12434950019</v>
      </c>
      <c r="E40" s="1676"/>
      <c r="F40" s="98"/>
      <c r="G40" s="98"/>
      <c r="H40" s="1677"/>
    </row>
    <row r="41" spans="1:12" ht="20.100000000000001" customHeight="1">
      <c r="A41" s="99"/>
      <c r="B41" s="108"/>
      <c r="C41" s="103" t="s">
        <v>988</v>
      </c>
      <c r="D41" s="1678">
        <f>미수금!D17</f>
        <v>5459476</v>
      </c>
      <c r="E41" s="1676"/>
      <c r="F41" s="98"/>
      <c r="G41" s="98"/>
      <c r="H41" s="1677"/>
      <c r="L41" s="798"/>
    </row>
    <row r="42" spans="1:12" ht="20.100000000000001" customHeight="1">
      <c r="A42" s="99"/>
      <c r="B42" s="102"/>
      <c r="C42" s="103" t="s">
        <v>79</v>
      </c>
      <c r="D42" s="1678">
        <f>미수수익!H21</f>
        <v>249519239</v>
      </c>
      <c r="E42" s="1676"/>
      <c r="F42" s="98"/>
      <c r="G42" s="98"/>
      <c r="H42" s="1677"/>
    </row>
    <row r="43" spans="1:12" ht="20.100000000000001" customHeight="1">
      <c r="A43" s="99"/>
      <c r="B43" s="108"/>
      <c r="C43" s="103" t="s">
        <v>993</v>
      </c>
      <c r="D43" s="1678">
        <f>선급금!D18</f>
        <v>1073214930</v>
      </c>
      <c r="E43" s="1728"/>
      <c r="F43" s="98"/>
      <c r="G43" s="98"/>
      <c r="H43" s="1729"/>
    </row>
    <row r="44" spans="1:12" ht="20.100000000000001" customHeight="1">
      <c r="A44" s="197"/>
      <c r="B44" s="102"/>
      <c r="C44" s="103" t="s">
        <v>14</v>
      </c>
      <c r="D44" s="1678">
        <f>'선급비용(법인세,지방소득세)'!D60:F60+'선급비용(보험료,기타)'!H13</f>
        <v>229518334</v>
      </c>
      <c r="E44" s="1728"/>
      <c r="F44" s="98"/>
      <c r="G44" s="98"/>
      <c r="H44" s="1729"/>
    </row>
    <row r="45" spans="1:12" ht="18" customHeight="1">
      <c r="A45" s="99"/>
      <c r="B45" s="512" t="s">
        <v>80</v>
      </c>
      <c r="C45" s="513"/>
      <c r="D45" s="1672">
        <f>현금예금!D17</f>
        <v>38622598268</v>
      </c>
      <c r="E45" s="1728"/>
      <c r="F45" s="98"/>
      <c r="G45" s="98"/>
      <c r="H45" s="1729"/>
    </row>
    <row r="46" spans="1:12" ht="18" customHeight="1">
      <c r="A46" s="117" t="s">
        <v>72</v>
      </c>
      <c r="B46" s="118"/>
      <c r="C46" s="119"/>
      <c r="D46" s="122">
        <f>D34+D5</f>
        <v>193902735382.06473</v>
      </c>
      <c r="E46" s="117" t="s">
        <v>73</v>
      </c>
      <c r="F46" s="118"/>
      <c r="G46" s="119"/>
      <c r="H46" s="120">
        <f>H24+H38</f>
        <v>193902735381.56824</v>
      </c>
    </row>
  </sheetData>
  <mergeCells count="5">
    <mergeCell ref="A4:C4"/>
    <mergeCell ref="E4:G4"/>
    <mergeCell ref="A3:C3"/>
    <mergeCell ref="F22:G22"/>
    <mergeCell ref="F21:G21"/>
  </mergeCells>
  <phoneticPr fontId="2" type="noConversion"/>
  <pageMargins left="0.47244094488188981" right="0.47244094488188981" top="0.59055118110236227" bottom="0.59055118110236227" header="0.39370078740157483" footer="0.39370078740157483"/>
  <pageSetup paperSize="9" scale="9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zoomScaleNormal="100" workbookViewId="0"/>
  </sheetViews>
  <sheetFormatPr defaultColWidth="12.625" defaultRowHeight="20.100000000000001" customHeight="1"/>
  <cols>
    <col min="1" max="1" width="17.5" style="4" customWidth="1"/>
    <col min="2" max="2" width="14.875" style="4" customWidth="1"/>
    <col min="3" max="3" width="18.625" style="4" customWidth="1"/>
    <col min="4" max="4" width="13.875" style="4" customWidth="1"/>
    <col min="5" max="7" width="12.25" style="4" customWidth="1"/>
    <col min="8" max="8" width="15.625" style="5" customWidth="1"/>
    <col min="9" max="16384" width="12.625" style="4"/>
  </cols>
  <sheetData>
    <row r="1" spans="1:8" ht="20.100000000000001" customHeight="1">
      <c r="A1" s="3" t="s">
        <v>21</v>
      </c>
    </row>
    <row r="2" spans="1:8" ht="15" customHeight="1">
      <c r="B2" s="6"/>
      <c r="C2" s="6"/>
      <c r="D2" s="6"/>
      <c r="E2" s="6"/>
      <c r="F2" s="6"/>
      <c r="G2" s="6"/>
      <c r="H2" s="7"/>
    </row>
    <row r="3" spans="1:8" ht="20.100000000000001" customHeight="1">
      <c r="A3" s="1">
        <f>매출채권!A3</f>
        <v>45504</v>
      </c>
      <c r="B3" s="9"/>
      <c r="C3" s="9"/>
      <c r="D3" s="9"/>
      <c r="E3" s="9"/>
      <c r="F3" s="9"/>
      <c r="G3" s="9"/>
      <c r="H3" s="12" t="s">
        <v>0</v>
      </c>
    </row>
    <row r="4" spans="1:8" ht="20.100000000000001" customHeight="1">
      <c r="A4" s="241" t="s">
        <v>1</v>
      </c>
      <c r="B4" s="249" t="s">
        <v>135</v>
      </c>
      <c r="C4" s="249" t="s">
        <v>41</v>
      </c>
      <c r="D4" s="249" t="s">
        <v>42</v>
      </c>
      <c r="E4" s="249" t="s">
        <v>52</v>
      </c>
      <c r="F4" s="249" t="s">
        <v>104</v>
      </c>
      <c r="G4" s="244" t="s">
        <v>44</v>
      </c>
      <c r="H4" s="149" t="s">
        <v>43</v>
      </c>
    </row>
    <row r="5" spans="1:8" ht="21.95" customHeight="1">
      <c r="A5" s="2078" t="s">
        <v>282</v>
      </c>
      <c r="B5" s="250" t="s">
        <v>351</v>
      </c>
      <c r="C5" s="250" t="s">
        <v>418</v>
      </c>
      <c r="D5" s="250">
        <v>38600000000</v>
      </c>
      <c r="E5" s="2076" t="s">
        <v>352</v>
      </c>
      <c r="F5" s="2076"/>
      <c r="G5" s="2077"/>
      <c r="H5" s="190">
        <v>3557116</v>
      </c>
    </row>
    <row r="6" spans="1:8" ht="21.95" customHeight="1">
      <c r="A6" s="2079"/>
      <c r="B6" s="251" t="s">
        <v>136</v>
      </c>
      <c r="C6" s="251" t="s">
        <v>125</v>
      </c>
      <c r="D6" s="252">
        <v>22278378</v>
      </c>
      <c r="E6" s="2080" t="s">
        <v>895</v>
      </c>
      <c r="F6" s="2081"/>
      <c r="G6" s="2082"/>
      <c r="H6" s="191">
        <v>74455</v>
      </c>
    </row>
    <row r="7" spans="1:8" ht="21.95" customHeight="1">
      <c r="A7" s="242" t="s">
        <v>1090</v>
      </c>
      <c r="B7" s="251" t="s">
        <v>1091</v>
      </c>
      <c r="C7" s="251"/>
      <c r="D7" s="251">
        <v>10000000000</v>
      </c>
      <c r="E7" s="251"/>
      <c r="F7" s="251"/>
      <c r="G7" s="245">
        <v>4.5100000000000001E-2</v>
      </c>
      <c r="H7" s="191">
        <f>21005479+35832876+38304109+37068493+38304109+37068493+38304109</f>
        <v>245887668</v>
      </c>
    </row>
    <row r="8" spans="1:8" ht="21.95" customHeight="1">
      <c r="A8" s="242"/>
      <c r="B8" s="251"/>
      <c r="C8" s="251"/>
      <c r="D8" s="251"/>
      <c r="E8" s="251"/>
      <c r="F8" s="251"/>
      <c r="G8" s="245"/>
      <c r="H8" s="191"/>
    </row>
    <row r="9" spans="1:8" ht="21.95" customHeight="1">
      <c r="A9" s="242"/>
      <c r="B9" s="251"/>
      <c r="C9" s="251"/>
      <c r="D9" s="251"/>
      <c r="E9" s="251"/>
      <c r="F9" s="251"/>
      <c r="G9" s="245"/>
      <c r="H9" s="191"/>
    </row>
    <row r="10" spans="1:8" ht="21.95" customHeight="1">
      <c r="A10" s="242"/>
      <c r="B10" s="251"/>
      <c r="C10" s="251"/>
      <c r="D10" s="251"/>
      <c r="E10" s="251"/>
      <c r="F10" s="251"/>
      <c r="G10" s="245"/>
      <c r="H10" s="191"/>
    </row>
    <row r="11" spans="1:8" ht="21.95" customHeight="1">
      <c r="A11" s="130"/>
      <c r="B11" s="253"/>
      <c r="C11" s="253"/>
      <c r="D11" s="253"/>
      <c r="E11" s="253"/>
      <c r="F11" s="253"/>
      <c r="G11" s="246"/>
      <c r="H11" s="145"/>
    </row>
    <row r="12" spans="1:8" ht="21.95" customHeight="1">
      <c r="A12" s="130"/>
      <c r="B12" s="253"/>
      <c r="C12" s="253"/>
      <c r="D12" s="253"/>
      <c r="E12" s="253"/>
      <c r="F12" s="253"/>
      <c r="G12" s="246"/>
      <c r="H12" s="189"/>
    </row>
    <row r="13" spans="1:8" ht="21.95" customHeight="1">
      <c r="A13" s="243"/>
      <c r="B13" s="254"/>
      <c r="C13" s="254"/>
      <c r="D13" s="254"/>
      <c r="E13" s="254"/>
      <c r="F13" s="254"/>
      <c r="G13" s="247"/>
      <c r="H13" s="150"/>
    </row>
    <row r="14" spans="1:8" ht="21.95" customHeight="1">
      <c r="A14" s="243"/>
      <c r="B14" s="254"/>
      <c r="C14" s="254"/>
      <c r="D14" s="254"/>
      <c r="E14" s="254"/>
      <c r="F14" s="254"/>
      <c r="G14" s="247"/>
      <c r="H14" s="150"/>
    </row>
    <row r="15" spans="1:8" ht="21.95" customHeight="1">
      <c r="A15" s="243"/>
      <c r="B15" s="254"/>
      <c r="C15" s="254"/>
      <c r="D15" s="254"/>
      <c r="E15" s="254"/>
      <c r="F15" s="254"/>
      <c r="G15" s="247"/>
      <c r="H15" s="150"/>
    </row>
    <row r="16" spans="1:8" ht="21.95" customHeight="1">
      <c r="A16" s="243"/>
      <c r="B16" s="254"/>
      <c r="C16" s="254"/>
      <c r="D16" s="254"/>
      <c r="E16" s="254"/>
      <c r="F16" s="254"/>
      <c r="G16" s="247"/>
      <c r="H16" s="150"/>
    </row>
    <row r="17" spans="1:8" ht="21.95" customHeight="1">
      <c r="A17" s="243"/>
      <c r="B17" s="254"/>
      <c r="C17" s="254"/>
      <c r="D17" s="254"/>
      <c r="E17" s="254"/>
      <c r="F17" s="254"/>
      <c r="G17" s="247"/>
      <c r="H17" s="150"/>
    </row>
    <row r="18" spans="1:8" ht="21.95" customHeight="1">
      <c r="A18" s="243"/>
      <c r="B18" s="254"/>
      <c r="C18" s="254"/>
      <c r="D18" s="254"/>
      <c r="E18" s="254"/>
      <c r="F18" s="254"/>
      <c r="G18" s="247"/>
      <c r="H18" s="150"/>
    </row>
    <row r="19" spans="1:8" ht="21.95" customHeight="1">
      <c r="A19" s="243"/>
      <c r="B19" s="254"/>
      <c r="C19" s="254"/>
      <c r="D19" s="254"/>
      <c r="E19" s="254"/>
      <c r="F19" s="254"/>
      <c r="G19" s="247"/>
      <c r="H19" s="150"/>
    </row>
    <row r="20" spans="1:8" ht="21.95" customHeight="1">
      <c r="A20" s="243"/>
      <c r="B20" s="254"/>
      <c r="C20" s="254"/>
      <c r="D20" s="254"/>
      <c r="E20" s="254"/>
      <c r="F20" s="254"/>
      <c r="G20" s="247"/>
      <c r="H20" s="150"/>
    </row>
    <row r="21" spans="1:8" ht="20.100000000000001" customHeight="1">
      <c r="A21" s="241" t="s">
        <v>5</v>
      </c>
      <c r="B21" s="255"/>
      <c r="C21" s="255"/>
      <c r="D21" s="1440">
        <f>SUM(D5:D7)</f>
        <v>48622278378</v>
      </c>
      <c r="E21" s="255"/>
      <c r="F21" s="255"/>
      <c r="G21" s="248"/>
      <c r="H21" s="149">
        <f>SUM(H5:H20)</f>
        <v>249519239</v>
      </c>
    </row>
    <row r="22" spans="1:8" ht="20.100000000000001" customHeight="1">
      <c r="A22" s="2" t="str">
        <f>매출채권!A26</f>
        <v>김천에너지서비스㈜</v>
      </c>
    </row>
  </sheetData>
  <mergeCells count="3">
    <mergeCell ref="E5:G5"/>
    <mergeCell ref="A5:A6"/>
    <mergeCell ref="E6:G6"/>
  </mergeCells>
  <phoneticPr fontId="2" type="noConversion"/>
  <printOptions horizontalCentered="1"/>
  <pageMargins left="0.39370078740157483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showGridLines="0" zoomScaleNormal="100" workbookViewId="0">
      <selection activeCell="F17" sqref="F17"/>
    </sheetView>
  </sheetViews>
  <sheetFormatPr defaultColWidth="12.625" defaultRowHeight="20.100000000000001" customHeight="1"/>
  <cols>
    <col min="1" max="1" width="17.75" style="29" customWidth="1"/>
    <col min="2" max="2" width="25" style="29" customWidth="1"/>
    <col min="3" max="3" width="13.875" style="138" customWidth="1"/>
    <col min="4" max="4" width="12.125" style="138" customWidth="1"/>
    <col min="5" max="5" width="11.25" style="138" customWidth="1"/>
    <col min="6" max="6" width="14.75" style="138" customWidth="1"/>
    <col min="7" max="7" width="16.625" style="138" customWidth="1"/>
    <col min="8" max="8" width="13.875" style="29" customWidth="1"/>
    <col min="9" max="9" width="17.75" style="29" hidden="1" customWidth="1"/>
    <col min="10" max="10" width="15.75" style="29" hidden="1" customWidth="1"/>
    <col min="11" max="11" width="4.125" style="29" customWidth="1"/>
    <col min="12" max="17" width="12.625" style="29" hidden="1" customWidth="1"/>
    <col min="18" max="18" width="12.625" style="29" customWidth="1"/>
    <col min="19" max="19" width="14.875" style="29" bestFit="1" customWidth="1"/>
    <col min="20" max="23" width="12.625" style="29" customWidth="1"/>
    <col min="24" max="254" width="12.625" style="29"/>
    <col min="255" max="255" width="14.375" style="29" customWidth="1"/>
    <col min="256" max="256" width="15.625" style="29" customWidth="1"/>
    <col min="257" max="258" width="11.875" style="29" customWidth="1"/>
    <col min="259" max="259" width="8.625" style="29" customWidth="1"/>
    <col min="260" max="260" width="10.625" style="29" customWidth="1"/>
    <col min="261" max="261" width="16.75" style="29" customWidth="1"/>
    <col min="262" max="262" width="15.625" style="29" customWidth="1"/>
    <col min="263" max="263" width="14.5" style="29" customWidth="1"/>
    <col min="264" max="264" width="17.75" style="29" customWidth="1"/>
    <col min="265" max="265" width="15.75" style="29" customWidth="1"/>
    <col min="266" max="510" width="12.625" style="29"/>
    <col min="511" max="511" width="14.375" style="29" customWidth="1"/>
    <col min="512" max="512" width="15.625" style="29" customWidth="1"/>
    <col min="513" max="514" width="11.875" style="29" customWidth="1"/>
    <col min="515" max="515" width="8.625" style="29" customWidth="1"/>
    <col min="516" max="516" width="10.625" style="29" customWidth="1"/>
    <col min="517" max="517" width="16.75" style="29" customWidth="1"/>
    <col min="518" max="518" width="15.625" style="29" customWidth="1"/>
    <col min="519" max="519" width="14.5" style="29" customWidth="1"/>
    <col min="520" max="520" width="17.75" style="29" customWidth="1"/>
    <col min="521" max="521" width="15.75" style="29" customWidth="1"/>
    <col min="522" max="766" width="12.625" style="29"/>
    <col min="767" max="767" width="14.375" style="29" customWidth="1"/>
    <col min="768" max="768" width="15.625" style="29" customWidth="1"/>
    <col min="769" max="770" width="11.875" style="29" customWidth="1"/>
    <col min="771" max="771" width="8.625" style="29" customWidth="1"/>
    <col min="772" max="772" width="10.625" style="29" customWidth="1"/>
    <col min="773" max="773" width="16.75" style="29" customWidth="1"/>
    <col min="774" max="774" width="15.625" style="29" customWidth="1"/>
    <col min="775" max="775" width="14.5" style="29" customWidth="1"/>
    <col min="776" max="776" width="17.75" style="29" customWidth="1"/>
    <col min="777" max="777" width="15.75" style="29" customWidth="1"/>
    <col min="778" max="1022" width="12.625" style="29"/>
    <col min="1023" max="1023" width="14.375" style="29" customWidth="1"/>
    <col min="1024" max="1024" width="15.625" style="29" customWidth="1"/>
    <col min="1025" max="1026" width="11.875" style="29" customWidth="1"/>
    <col min="1027" max="1027" width="8.625" style="29" customWidth="1"/>
    <col min="1028" max="1028" width="10.625" style="29" customWidth="1"/>
    <col min="1029" max="1029" width="16.75" style="29" customWidth="1"/>
    <col min="1030" max="1030" width="15.625" style="29" customWidth="1"/>
    <col min="1031" max="1031" width="14.5" style="29" customWidth="1"/>
    <col min="1032" max="1032" width="17.75" style="29" customWidth="1"/>
    <col min="1033" max="1033" width="15.75" style="29" customWidth="1"/>
    <col min="1034" max="1278" width="12.625" style="29"/>
    <col min="1279" max="1279" width="14.375" style="29" customWidth="1"/>
    <col min="1280" max="1280" width="15.625" style="29" customWidth="1"/>
    <col min="1281" max="1282" width="11.875" style="29" customWidth="1"/>
    <col min="1283" max="1283" width="8.625" style="29" customWidth="1"/>
    <col min="1284" max="1284" width="10.625" style="29" customWidth="1"/>
    <col min="1285" max="1285" width="16.75" style="29" customWidth="1"/>
    <col min="1286" max="1286" width="15.625" style="29" customWidth="1"/>
    <col min="1287" max="1287" width="14.5" style="29" customWidth="1"/>
    <col min="1288" max="1288" width="17.75" style="29" customWidth="1"/>
    <col min="1289" max="1289" width="15.75" style="29" customWidth="1"/>
    <col min="1290" max="1534" width="12.625" style="29"/>
    <col min="1535" max="1535" width="14.375" style="29" customWidth="1"/>
    <col min="1536" max="1536" width="15.625" style="29" customWidth="1"/>
    <col min="1537" max="1538" width="11.875" style="29" customWidth="1"/>
    <col min="1539" max="1539" width="8.625" style="29" customWidth="1"/>
    <col min="1540" max="1540" width="10.625" style="29" customWidth="1"/>
    <col min="1541" max="1541" width="16.75" style="29" customWidth="1"/>
    <col min="1542" max="1542" width="15.625" style="29" customWidth="1"/>
    <col min="1543" max="1543" width="14.5" style="29" customWidth="1"/>
    <col min="1544" max="1544" width="17.75" style="29" customWidth="1"/>
    <col min="1545" max="1545" width="15.75" style="29" customWidth="1"/>
    <col min="1546" max="1790" width="12.625" style="29"/>
    <col min="1791" max="1791" width="14.375" style="29" customWidth="1"/>
    <col min="1792" max="1792" width="15.625" style="29" customWidth="1"/>
    <col min="1793" max="1794" width="11.875" style="29" customWidth="1"/>
    <col min="1795" max="1795" width="8.625" style="29" customWidth="1"/>
    <col min="1796" max="1796" width="10.625" style="29" customWidth="1"/>
    <col min="1797" max="1797" width="16.75" style="29" customWidth="1"/>
    <col min="1798" max="1798" width="15.625" style="29" customWidth="1"/>
    <col min="1799" max="1799" width="14.5" style="29" customWidth="1"/>
    <col min="1800" max="1800" width="17.75" style="29" customWidth="1"/>
    <col min="1801" max="1801" width="15.75" style="29" customWidth="1"/>
    <col min="1802" max="2046" width="12.625" style="29"/>
    <col min="2047" max="2047" width="14.375" style="29" customWidth="1"/>
    <col min="2048" max="2048" width="15.625" style="29" customWidth="1"/>
    <col min="2049" max="2050" width="11.875" style="29" customWidth="1"/>
    <col min="2051" max="2051" width="8.625" style="29" customWidth="1"/>
    <col min="2052" max="2052" width="10.625" style="29" customWidth="1"/>
    <col min="2053" max="2053" width="16.75" style="29" customWidth="1"/>
    <col min="2054" max="2054" width="15.625" style="29" customWidth="1"/>
    <col min="2055" max="2055" width="14.5" style="29" customWidth="1"/>
    <col min="2056" max="2056" width="17.75" style="29" customWidth="1"/>
    <col min="2057" max="2057" width="15.75" style="29" customWidth="1"/>
    <col min="2058" max="2302" width="12.625" style="29"/>
    <col min="2303" max="2303" width="14.375" style="29" customWidth="1"/>
    <col min="2304" max="2304" width="15.625" style="29" customWidth="1"/>
    <col min="2305" max="2306" width="11.875" style="29" customWidth="1"/>
    <col min="2307" max="2307" width="8.625" style="29" customWidth="1"/>
    <col min="2308" max="2308" width="10.625" style="29" customWidth="1"/>
    <col min="2309" max="2309" width="16.75" style="29" customWidth="1"/>
    <col min="2310" max="2310" width="15.625" style="29" customWidth="1"/>
    <col min="2311" max="2311" width="14.5" style="29" customWidth="1"/>
    <col min="2312" max="2312" width="17.75" style="29" customWidth="1"/>
    <col min="2313" max="2313" width="15.75" style="29" customWidth="1"/>
    <col min="2314" max="2558" width="12.625" style="29"/>
    <col min="2559" max="2559" width="14.375" style="29" customWidth="1"/>
    <col min="2560" max="2560" width="15.625" style="29" customWidth="1"/>
    <col min="2561" max="2562" width="11.875" style="29" customWidth="1"/>
    <col min="2563" max="2563" width="8.625" style="29" customWidth="1"/>
    <col min="2564" max="2564" width="10.625" style="29" customWidth="1"/>
    <col min="2565" max="2565" width="16.75" style="29" customWidth="1"/>
    <col min="2566" max="2566" width="15.625" style="29" customWidth="1"/>
    <col min="2567" max="2567" width="14.5" style="29" customWidth="1"/>
    <col min="2568" max="2568" width="17.75" style="29" customWidth="1"/>
    <col min="2569" max="2569" width="15.75" style="29" customWidth="1"/>
    <col min="2570" max="2814" width="12.625" style="29"/>
    <col min="2815" max="2815" width="14.375" style="29" customWidth="1"/>
    <col min="2816" max="2816" width="15.625" style="29" customWidth="1"/>
    <col min="2817" max="2818" width="11.875" style="29" customWidth="1"/>
    <col min="2819" max="2819" width="8.625" style="29" customWidth="1"/>
    <col min="2820" max="2820" width="10.625" style="29" customWidth="1"/>
    <col min="2821" max="2821" width="16.75" style="29" customWidth="1"/>
    <col min="2822" max="2822" width="15.625" style="29" customWidth="1"/>
    <col min="2823" max="2823" width="14.5" style="29" customWidth="1"/>
    <col min="2824" max="2824" width="17.75" style="29" customWidth="1"/>
    <col min="2825" max="2825" width="15.75" style="29" customWidth="1"/>
    <col min="2826" max="3070" width="12.625" style="29"/>
    <col min="3071" max="3071" width="14.375" style="29" customWidth="1"/>
    <col min="3072" max="3072" width="15.625" style="29" customWidth="1"/>
    <col min="3073" max="3074" width="11.875" style="29" customWidth="1"/>
    <col min="3075" max="3075" width="8.625" style="29" customWidth="1"/>
    <col min="3076" max="3076" width="10.625" style="29" customWidth="1"/>
    <col min="3077" max="3077" width="16.75" style="29" customWidth="1"/>
    <col min="3078" max="3078" width="15.625" style="29" customWidth="1"/>
    <col min="3079" max="3079" width="14.5" style="29" customWidth="1"/>
    <col min="3080" max="3080" width="17.75" style="29" customWidth="1"/>
    <col min="3081" max="3081" width="15.75" style="29" customWidth="1"/>
    <col min="3082" max="3326" width="12.625" style="29"/>
    <col min="3327" max="3327" width="14.375" style="29" customWidth="1"/>
    <col min="3328" max="3328" width="15.625" style="29" customWidth="1"/>
    <col min="3329" max="3330" width="11.875" style="29" customWidth="1"/>
    <col min="3331" max="3331" width="8.625" style="29" customWidth="1"/>
    <col min="3332" max="3332" width="10.625" style="29" customWidth="1"/>
    <col min="3333" max="3333" width="16.75" style="29" customWidth="1"/>
    <col min="3334" max="3334" width="15.625" style="29" customWidth="1"/>
    <col min="3335" max="3335" width="14.5" style="29" customWidth="1"/>
    <col min="3336" max="3336" width="17.75" style="29" customWidth="1"/>
    <col min="3337" max="3337" width="15.75" style="29" customWidth="1"/>
    <col min="3338" max="3582" width="12.625" style="29"/>
    <col min="3583" max="3583" width="14.375" style="29" customWidth="1"/>
    <col min="3584" max="3584" width="15.625" style="29" customWidth="1"/>
    <col min="3585" max="3586" width="11.875" style="29" customWidth="1"/>
    <col min="3587" max="3587" width="8.625" style="29" customWidth="1"/>
    <col min="3588" max="3588" width="10.625" style="29" customWidth="1"/>
    <col min="3589" max="3589" width="16.75" style="29" customWidth="1"/>
    <col min="3590" max="3590" width="15.625" style="29" customWidth="1"/>
    <col min="3591" max="3591" width="14.5" style="29" customWidth="1"/>
    <col min="3592" max="3592" width="17.75" style="29" customWidth="1"/>
    <col min="3593" max="3593" width="15.75" style="29" customWidth="1"/>
    <col min="3594" max="3838" width="12.625" style="29"/>
    <col min="3839" max="3839" width="14.375" style="29" customWidth="1"/>
    <col min="3840" max="3840" width="15.625" style="29" customWidth="1"/>
    <col min="3841" max="3842" width="11.875" style="29" customWidth="1"/>
    <col min="3843" max="3843" width="8.625" style="29" customWidth="1"/>
    <col min="3844" max="3844" width="10.625" style="29" customWidth="1"/>
    <col min="3845" max="3845" width="16.75" style="29" customWidth="1"/>
    <col min="3846" max="3846" width="15.625" style="29" customWidth="1"/>
    <col min="3847" max="3847" width="14.5" style="29" customWidth="1"/>
    <col min="3848" max="3848" width="17.75" style="29" customWidth="1"/>
    <col min="3849" max="3849" width="15.75" style="29" customWidth="1"/>
    <col min="3850" max="4094" width="12.625" style="29"/>
    <col min="4095" max="4095" width="14.375" style="29" customWidth="1"/>
    <col min="4096" max="4096" width="15.625" style="29" customWidth="1"/>
    <col min="4097" max="4098" width="11.875" style="29" customWidth="1"/>
    <col min="4099" max="4099" width="8.625" style="29" customWidth="1"/>
    <col min="4100" max="4100" width="10.625" style="29" customWidth="1"/>
    <col min="4101" max="4101" width="16.75" style="29" customWidth="1"/>
    <col min="4102" max="4102" width="15.625" style="29" customWidth="1"/>
    <col min="4103" max="4103" width="14.5" style="29" customWidth="1"/>
    <col min="4104" max="4104" width="17.75" style="29" customWidth="1"/>
    <col min="4105" max="4105" width="15.75" style="29" customWidth="1"/>
    <col min="4106" max="4350" width="12.625" style="29"/>
    <col min="4351" max="4351" width="14.375" style="29" customWidth="1"/>
    <col min="4352" max="4352" width="15.625" style="29" customWidth="1"/>
    <col min="4353" max="4354" width="11.875" style="29" customWidth="1"/>
    <col min="4355" max="4355" width="8.625" style="29" customWidth="1"/>
    <col min="4356" max="4356" width="10.625" style="29" customWidth="1"/>
    <col min="4357" max="4357" width="16.75" style="29" customWidth="1"/>
    <col min="4358" max="4358" width="15.625" style="29" customWidth="1"/>
    <col min="4359" max="4359" width="14.5" style="29" customWidth="1"/>
    <col min="4360" max="4360" width="17.75" style="29" customWidth="1"/>
    <col min="4361" max="4361" width="15.75" style="29" customWidth="1"/>
    <col min="4362" max="4606" width="12.625" style="29"/>
    <col min="4607" max="4607" width="14.375" style="29" customWidth="1"/>
    <col min="4608" max="4608" width="15.625" style="29" customWidth="1"/>
    <col min="4609" max="4610" width="11.875" style="29" customWidth="1"/>
    <col min="4611" max="4611" width="8.625" style="29" customWidth="1"/>
    <col min="4612" max="4612" width="10.625" style="29" customWidth="1"/>
    <col min="4613" max="4613" width="16.75" style="29" customWidth="1"/>
    <col min="4614" max="4614" width="15.625" style="29" customWidth="1"/>
    <col min="4615" max="4615" width="14.5" style="29" customWidth="1"/>
    <col min="4616" max="4616" width="17.75" style="29" customWidth="1"/>
    <col min="4617" max="4617" width="15.75" style="29" customWidth="1"/>
    <col min="4618" max="4862" width="12.625" style="29"/>
    <col min="4863" max="4863" width="14.375" style="29" customWidth="1"/>
    <col min="4864" max="4864" width="15.625" style="29" customWidth="1"/>
    <col min="4865" max="4866" width="11.875" style="29" customWidth="1"/>
    <col min="4867" max="4867" width="8.625" style="29" customWidth="1"/>
    <col min="4868" max="4868" width="10.625" style="29" customWidth="1"/>
    <col min="4869" max="4869" width="16.75" style="29" customWidth="1"/>
    <col min="4870" max="4870" width="15.625" style="29" customWidth="1"/>
    <col min="4871" max="4871" width="14.5" style="29" customWidth="1"/>
    <col min="4872" max="4872" width="17.75" style="29" customWidth="1"/>
    <col min="4873" max="4873" width="15.75" style="29" customWidth="1"/>
    <col min="4874" max="5118" width="12.625" style="29"/>
    <col min="5119" max="5119" width="14.375" style="29" customWidth="1"/>
    <col min="5120" max="5120" width="15.625" style="29" customWidth="1"/>
    <col min="5121" max="5122" width="11.875" style="29" customWidth="1"/>
    <col min="5123" max="5123" width="8.625" style="29" customWidth="1"/>
    <col min="5124" max="5124" width="10.625" style="29" customWidth="1"/>
    <col min="5125" max="5125" width="16.75" style="29" customWidth="1"/>
    <col min="5126" max="5126" width="15.625" style="29" customWidth="1"/>
    <col min="5127" max="5127" width="14.5" style="29" customWidth="1"/>
    <col min="5128" max="5128" width="17.75" style="29" customWidth="1"/>
    <col min="5129" max="5129" width="15.75" style="29" customWidth="1"/>
    <col min="5130" max="5374" width="12.625" style="29"/>
    <col min="5375" max="5375" width="14.375" style="29" customWidth="1"/>
    <col min="5376" max="5376" width="15.625" style="29" customWidth="1"/>
    <col min="5377" max="5378" width="11.875" style="29" customWidth="1"/>
    <col min="5379" max="5379" width="8.625" style="29" customWidth="1"/>
    <col min="5380" max="5380" width="10.625" style="29" customWidth="1"/>
    <col min="5381" max="5381" width="16.75" style="29" customWidth="1"/>
    <col min="5382" max="5382" width="15.625" style="29" customWidth="1"/>
    <col min="5383" max="5383" width="14.5" style="29" customWidth="1"/>
    <col min="5384" max="5384" width="17.75" style="29" customWidth="1"/>
    <col min="5385" max="5385" width="15.75" style="29" customWidth="1"/>
    <col min="5386" max="5630" width="12.625" style="29"/>
    <col min="5631" max="5631" width="14.375" style="29" customWidth="1"/>
    <col min="5632" max="5632" width="15.625" style="29" customWidth="1"/>
    <col min="5633" max="5634" width="11.875" style="29" customWidth="1"/>
    <col min="5635" max="5635" width="8.625" style="29" customWidth="1"/>
    <col min="5636" max="5636" width="10.625" style="29" customWidth="1"/>
    <col min="5637" max="5637" width="16.75" style="29" customWidth="1"/>
    <col min="5638" max="5638" width="15.625" style="29" customWidth="1"/>
    <col min="5639" max="5639" width="14.5" style="29" customWidth="1"/>
    <col min="5640" max="5640" width="17.75" style="29" customWidth="1"/>
    <col min="5641" max="5641" width="15.75" style="29" customWidth="1"/>
    <col min="5642" max="5886" width="12.625" style="29"/>
    <col min="5887" max="5887" width="14.375" style="29" customWidth="1"/>
    <col min="5888" max="5888" width="15.625" style="29" customWidth="1"/>
    <col min="5889" max="5890" width="11.875" style="29" customWidth="1"/>
    <col min="5891" max="5891" width="8.625" style="29" customWidth="1"/>
    <col min="5892" max="5892" width="10.625" style="29" customWidth="1"/>
    <col min="5893" max="5893" width="16.75" style="29" customWidth="1"/>
    <col min="5894" max="5894" width="15.625" style="29" customWidth="1"/>
    <col min="5895" max="5895" width="14.5" style="29" customWidth="1"/>
    <col min="5896" max="5896" width="17.75" style="29" customWidth="1"/>
    <col min="5897" max="5897" width="15.75" style="29" customWidth="1"/>
    <col min="5898" max="6142" width="12.625" style="29"/>
    <col min="6143" max="6143" width="14.375" style="29" customWidth="1"/>
    <col min="6144" max="6144" width="15.625" style="29" customWidth="1"/>
    <col min="6145" max="6146" width="11.875" style="29" customWidth="1"/>
    <col min="6147" max="6147" width="8.625" style="29" customWidth="1"/>
    <col min="6148" max="6148" width="10.625" style="29" customWidth="1"/>
    <col min="6149" max="6149" width="16.75" style="29" customWidth="1"/>
    <col min="6150" max="6150" width="15.625" style="29" customWidth="1"/>
    <col min="6151" max="6151" width="14.5" style="29" customWidth="1"/>
    <col min="6152" max="6152" width="17.75" style="29" customWidth="1"/>
    <col min="6153" max="6153" width="15.75" style="29" customWidth="1"/>
    <col min="6154" max="6398" width="12.625" style="29"/>
    <col min="6399" max="6399" width="14.375" style="29" customWidth="1"/>
    <col min="6400" max="6400" width="15.625" style="29" customWidth="1"/>
    <col min="6401" max="6402" width="11.875" style="29" customWidth="1"/>
    <col min="6403" max="6403" width="8.625" style="29" customWidth="1"/>
    <col min="6404" max="6404" width="10.625" style="29" customWidth="1"/>
    <col min="6405" max="6405" width="16.75" style="29" customWidth="1"/>
    <col min="6406" max="6406" width="15.625" style="29" customWidth="1"/>
    <col min="6407" max="6407" width="14.5" style="29" customWidth="1"/>
    <col min="6408" max="6408" width="17.75" style="29" customWidth="1"/>
    <col min="6409" max="6409" width="15.75" style="29" customWidth="1"/>
    <col min="6410" max="6654" width="12.625" style="29"/>
    <col min="6655" max="6655" width="14.375" style="29" customWidth="1"/>
    <col min="6656" max="6656" width="15.625" style="29" customWidth="1"/>
    <col min="6657" max="6658" width="11.875" style="29" customWidth="1"/>
    <col min="6659" max="6659" width="8.625" style="29" customWidth="1"/>
    <col min="6660" max="6660" width="10.625" style="29" customWidth="1"/>
    <col min="6661" max="6661" width="16.75" style="29" customWidth="1"/>
    <col min="6662" max="6662" width="15.625" style="29" customWidth="1"/>
    <col min="6663" max="6663" width="14.5" style="29" customWidth="1"/>
    <col min="6664" max="6664" width="17.75" style="29" customWidth="1"/>
    <col min="6665" max="6665" width="15.75" style="29" customWidth="1"/>
    <col min="6666" max="6910" width="12.625" style="29"/>
    <col min="6911" max="6911" width="14.375" style="29" customWidth="1"/>
    <col min="6912" max="6912" width="15.625" style="29" customWidth="1"/>
    <col min="6913" max="6914" width="11.875" style="29" customWidth="1"/>
    <col min="6915" max="6915" width="8.625" style="29" customWidth="1"/>
    <col min="6916" max="6916" width="10.625" style="29" customWidth="1"/>
    <col min="6917" max="6917" width="16.75" style="29" customWidth="1"/>
    <col min="6918" max="6918" width="15.625" style="29" customWidth="1"/>
    <col min="6919" max="6919" width="14.5" style="29" customWidth="1"/>
    <col min="6920" max="6920" width="17.75" style="29" customWidth="1"/>
    <col min="6921" max="6921" width="15.75" style="29" customWidth="1"/>
    <col min="6922" max="7166" width="12.625" style="29"/>
    <col min="7167" max="7167" width="14.375" style="29" customWidth="1"/>
    <col min="7168" max="7168" width="15.625" style="29" customWidth="1"/>
    <col min="7169" max="7170" width="11.875" style="29" customWidth="1"/>
    <col min="7171" max="7171" width="8.625" style="29" customWidth="1"/>
    <col min="7172" max="7172" width="10.625" style="29" customWidth="1"/>
    <col min="7173" max="7173" width="16.75" style="29" customWidth="1"/>
    <col min="7174" max="7174" width="15.625" style="29" customWidth="1"/>
    <col min="7175" max="7175" width="14.5" style="29" customWidth="1"/>
    <col min="7176" max="7176" width="17.75" style="29" customWidth="1"/>
    <col min="7177" max="7177" width="15.75" style="29" customWidth="1"/>
    <col min="7178" max="7422" width="12.625" style="29"/>
    <col min="7423" max="7423" width="14.375" style="29" customWidth="1"/>
    <col min="7424" max="7424" width="15.625" style="29" customWidth="1"/>
    <col min="7425" max="7426" width="11.875" style="29" customWidth="1"/>
    <col min="7427" max="7427" width="8.625" style="29" customWidth="1"/>
    <col min="7428" max="7428" width="10.625" style="29" customWidth="1"/>
    <col min="7429" max="7429" width="16.75" style="29" customWidth="1"/>
    <col min="7430" max="7430" width="15.625" style="29" customWidth="1"/>
    <col min="7431" max="7431" width="14.5" style="29" customWidth="1"/>
    <col min="7432" max="7432" width="17.75" style="29" customWidth="1"/>
    <col min="7433" max="7433" width="15.75" style="29" customWidth="1"/>
    <col min="7434" max="7678" width="12.625" style="29"/>
    <col min="7679" max="7679" width="14.375" style="29" customWidth="1"/>
    <col min="7680" max="7680" width="15.625" style="29" customWidth="1"/>
    <col min="7681" max="7682" width="11.875" style="29" customWidth="1"/>
    <col min="7683" max="7683" width="8.625" style="29" customWidth="1"/>
    <col min="7684" max="7684" width="10.625" style="29" customWidth="1"/>
    <col min="7685" max="7685" width="16.75" style="29" customWidth="1"/>
    <col min="7686" max="7686" width="15.625" style="29" customWidth="1"/>
    <col min="7687" max="7687" width="14.5" style="29" customWidth="1"/>
    <col min="7688" max="7688" width="17.75" style="29" customWidth="1"/>
    <col min="7689" max="7689" width="15.75" style="29" customWidth="1"/>
    <col min="7690" max="7934" width="12.625" style="29"/>
    <col min="7935" max="7935" width="14.375" style="29" customWidth="1"/>
    <col min="7936" max="7936" width="15.625" style="29" customWidth="1"/>
    <col min="7937" max="7938" width="11.875" style="29" customWidth="1"/>
    <col min="7939" max="7939" width="8.625" style="29" customWidth="1"/>
    <col min="7940" max="7940" width="10.625" style="29" customWidth="1"/>
    <col min="7941" max="7941" width="16.75" style="29" customWidth="1"/>
    <col min="7942" max="7942" width="15.625" style="29" customWidth="1"/>
    <col min="7943" max="7943" width="14.5" style="29" customWidth="1"/>
    <col min="7944" max="7944" width="17.75" style="29" customWidth="1"/>
    <col min="7945" max="7945" width="15.75" style="29" customWidth="1"/>
    <col min="7946" max="8190" width="12.625" style="29"/>
    <col min="8191" max="8191" width="14.375" style="29" customWidth="1"/>
    <col min="8192" max="8192" width="15.625" style="29" customWidth="1"/>
    <col min="8193" max="8194" width="11.875" style="29" customWidth="1"/>
    <col min="8195" max="8195" width="8.625" style="29" customWidth="1"/>
    <col min="8196" max="8196" width="10.625" style="29" customWidth="1"/>
    <col min="8197" max="8197" width="16.75" style="29" customWidth="1"/>
    <col min="8198" max="8198" width="15.625" style="29" customWidth="1"/>
    <col min="8199" max="8199" width="14.5" style="29" customWidth="1"/>
    <col min="8200" max="8200" width="17.75" style="29" customWidth="1"/>
    <col min="8201" max="8201" width="15.75" style="29" customWidth="1"/>
    <col min="8202" max="8446" width="12.625" style="29"/>
    <col min="8447" max="8447" width="14.375" style="29" customWidth="1"/>
    <col min="8448" max="8448" width="15.625" style="29" customWidth="1"/>
    <col min="8449" max="8450" width="11.875" style="29" customWidth="1"/>
    <col min="8451" max="8451" width="8.625" style="29" customWidth="1"/>
    <col min="8452" max="8452" width="10.625" style="29" customWidth="1"/>
    <col min="8453" max="8453" width="16.75" style="29" customWidth="1"/>
    <col min="8454" max="8454" width="15.625" style="29" customWidth="1"/>
    <col min="8455" max="8455" width="14.5" style="29" customWidth="1"/>
    <col min="8456" max="8456" width="17.75" style="29" customWidth="1"/>
    <col min="8457" max="8457" width="15.75" style="29" customWidth="1"/>
    <col min="8458" max="8702" width="12.625" style="29"/>
    <col min="8703" max="8703" width="14.375" style="29" customWidth="1"/>
    <col min="8704" max="8704" width="15.625" style="29" customWidth="1"/>
    <col min="8705" max="8706" width="11.875" style="29" customWidth="1"/>
    <col min="8707" max="8707" width="8.625" style="29" customWidth="1"/>
    <col min="8708" max="8708" width="10.625" style="29" customWidth="1"/>
    <col min="8709" max="8709" width="16.75" style="29" customWidth="1"/>
    <col min="8710" max="8710" width="15.625" style="29" customWidth="1"/>
    <col min="8711" max="8711" width="14.5" style="29" customWidth="1"/>
    <col min="8712" max="8712" width="17.75" style="29" customWidth="1"/>
    <col min="8713" max="8713" width="15.75" style="29" customWidth="1"/>
    <col min="8714" max="8958" width="12.625" style="29"/>
    <col min="8959" max="8959" width="14.375" style="29" customWidth="1"/>
    <col min="8960" max="8960" width="15.625" style="29" customWidth="1"/>
    <col min="8961" max="8962" width="11.875" style="29" customWidth="1"/>
    <col min="8963" max="8963" width="8.625" style="29" customWidth="1"/>
    <col min="8964" max="8964" width="10.625" style="29" customWidth="1"/>
    <col min="8965" max="8965" width="16.75" style="29" customWidth="1"/>
    <col min="8966" max="8966" width="15.625" style="29" customWidth="1"/>
    <col min="8967" max="8967" width="14.5" style="29" customWidth="1"/>
    <col min="8968" max="8968" width="17.75" style="29" customWidth="1"/>
    <col min="8969" max="8969" width="15.75" style="29" customWidth="1"/>
    <col min="8970" max="9214" width="12.625" style="29"/>
    <col min="9215" max="9215" width="14.375" style="29" customWidth="1"/>
    <col min="9216" max="9216" width="15.625" style="29" customWidth="1"/>
    <col min="9217" max="9218" width="11.875" style="29" customWidth="1"/>
    <col min="9219" max="9219" width="8.625" style="29" customWidth="1"/>
    <col min="9220" max="9220" width="10.625" style="29" customWidth="1"/>
    <col min="9221" max="9221" width="16.75" style="29" customWidth="1"/>
    <col min="9222" max="9222" width="15.625" style="29" customWidth="1"/>
    <col min="9223" max="9223" width="14.5" style="29" customWidth="1"/>
    <col min="9224" max="9224" width="17.75" style="29" customWidth="1"/>
    <col min="9225" max="9225" width="15.75" style="29" customWidth="1"/>
    <col min="9226" max="9470" width="12.625" style="29"/>
    <col min="9471" max="9471" width="14.375" style="29" customWidth="1"/>
    <col min="9472" max="9472" width="15.625" style="29" customWidth="1"/>
    <col min="9473" max="9474" width="11.875" style="29" customWidth="1"/>
    <col min="9475" max="9475" width="8.625" style="29" customWidth="1"/>
    <col min="9476" max="9476" width="10.625" style="29" customWidth="1"/>
    <col min="9477" max="9477" width="16.75" style="29" customWidth="1"/>
    <col min="9478" max="9478" width="15.625" style="29" customWidth="1"/>
    <col min="9479" max="9479" width="14.5" style="29" customWidth="1"/>
    <col min="9480" max="9480" width="17.75" style="29" customWidth="1"/>
    <col min="9481" max="9481" width="15.75" style="29" customWidth="1"/>
    <col min="9482" max="9726" width="12.625" style="29"/>
    <col min="9727" max="9727" width="14.375" style="29" customWidth="1"/>
    <col min="9728" max="9728" width="15.625" style="29" customWidth="1"/>
    <col min="9729" max="9730" width="11.875" style="29" customWidth="1"/>
    <col min="9731" max="9731" width="8.625" style="29" customWidth="1"/>
    <col min="9732" max="9732" width="10.625" style="29" customWidth="1"/>
    <col min="9733" max="9733" width="16.75" style="29" customWidth="1"/>
    <col min="9734" max="9734" width="15.625" style="29" customWidth="1"/>
    <col min="9735" max="9735" width="14.5" style="29" customWidth="1"/>
    <col min="9736" max="9736" width="17.75" style="29" customWidth="1"/>
    <col min="9737" max="9737" width="15.75" style="29" customWidth="1"/>
    <col min="9738" max="9982" width="12.625" style="29"/>
    <col min="9983" max="9983" width="14.375" style="29" customWidth="1"/>
    <col min="9984" max="9984" width="15.625" style="29" customWidth="1"/>
    <col min="9985" max="9986" width="11.875" style="29" customWidth="1"/>
    <col min="9987" max="9987" width="8.625" style="29" customWidth="1"/>
    <col min="9988" max="9988" width="10.625" style="29" customWidth="1"/>
    <col min="9989" max="9989" width="16.75" style="29" customWidth="1"/>
    <col min="9990" max="9990" width="15.625" style="29" customWidth="1"/>
    <col min="9991" max="9991" width="14.5" style="29" customWidth="1"/>
    <col min="9992" max="9992" width="17.75" style="29" customWidth="1"/>
    <col min="9993" max="9993" width="15.75" style="29" customWidth="1"/>
    <col min="9994" max="10238" width="12.625" style="29"/>
    <col min="10239" max="10239" width="14.375" style="29" customWidth="1"/>
    <col min="10240" max="10240" width="15.625" style="29" customWidth="1"/>
    <col min="10241" max="10242" width="11.875" style="29" customWidth="1"/>
    <col min="10243" max="10243" width="8.625" style="29" customWidth="1"/>
    <col min="10244" max="10244" width="10.625" style="29" customWidth="1"/>
    <col min="10245" max="10245" width="16.75" style="29" customWidth="1"/>
    <col min="10246" max="10246" width="15.625" style="29" customWidth="1"/>
    <col min="10247" max="10247" width="14.5" style="29" customWidth="1"/>
    <col min="10248" max="10248" width="17.75" style="29" customWidth="1"/>
    <col min="10249" max="10249" width="15.75" style="29" customWidth="1"/>
    <col min="10250" max="10494" width="12.625" style="29"/>
    <col min="10495" max="10495" width="14.375" style="29" customWidth="1"/>
    <col min="10496" max="10496" width="15.625" style="29" customWidth="1"/>
    <col min="10497" max="10498" width="11.875" style="29" customWidth="1"/>
    <col min="10499" max="10499" width="8.625" style="29" customWidth="1"/>
    <col min="10500" max="10500" width="10.625" style="29" customWidth="1"/>
    <col min="10501" max="10501" width="16.75" style="29" customWidth="1"/>
    <col min="10502" max="10502" width="15.625" style="29" customWidth="1"/>
    <col min="10503" max="10503" width="14.5" style="29" customWidth="1"/>
    <col min="10504" max="10504" width="17.75" style="29" customWidth="1"/>
    <col min="10505" max="10505" width="15.75" style="29" customWidth="1"/>
    <col min="10506" max="10750" width="12.625" style="29"/>
    <col min="10751" max="10751" width="14.375" style="29" customWidth="1"/>
    <col min="10752" max="10752" width="15.625" style="29" customWidth="1"/>
    <col min="10753" max="10754" width="11.875" style="29" customWidth="1"/>
    <col min="10755" max="10755" width="8.625" style="29" customWidth="1"/>
    <col min="10756" max="10756" width="10.625" style="29" customWidth="1"/>
    <col min="10757" max="10757" width="16.75" style="29" customWidth="1"/>
    <col min="10758" max="10758" width="15.625" style="29" customWidth="1"/>
    <col min="10759" max="10759" width="14.5" style="29" customWidth="1"/>
    <col min="10760" max="10760" width="17.75" style="29" customWidth="1"/>
    <col min="10761" max="10761" width="15.75" style="29" customWidth="1"/>
    <col min="10762" max="11006" width="12.625" style="29"/>
    <col min="11007" max="11007" width="14.375" style="29" customWidth="1"/>
    <col min="11008" max="11008" width="15.625" style="29" customWidth="1"/>
    <col min="11009" max="11010" width="11.875" style="29" customWidth="1"/>
    <col min="11011" max="11011" width="8.625" style="29" customWidth="1"/>
    <col min="11012" max="11012" width="10.625" style="29" customWidth="1"/>
    <col min="11013" max="11013" width="16.75" style="29" customWidth="1"/>
    <col min="11014" max="11014" width="15.625" style="29" customWidth="1"/>
    <col min="11015" max="11015" width="14.5" style="29" customWidth="1"/>
    <col min="11016" max="11016" width="17.75" style="29" customWidth="1"/>
    <col min="11017" max="11017" width="15.75" style="29" customWidth="1"/>
    <col min="11018" max="11262" width="12.625" style="29"/>
    <col min="11263" max="11263" width="14.375" style="29" customWidth="1"/>
    <col min="11264" max="11264" width="15.625" style="29" customWidth="1"/>
    <col min="11265" max="11266" width="11.875" style="29" customWidth="1"/>
    <col min="11267" max="11267" width="8.625" style="29" customWidth="1"/>
    <col min="11268" max="11268" width="10.625" style="29" customWidth="1"/>
    <col min="11269" max="11269" width="16.75" style="29" customWidth="1"/>
    <col min="11270" max="11270" width="15.625" style="29" customWidth="1"/>
    <col min="11271" max="11271" width="14.5" style="29" customWidth="1"/>
    <col min="11272" max="11272" width="17.75" style="29" customWidth="1"/>
    <col min="11273" max="11273" width="15.75" style="29" customWidth="1"/>
    <col min="11274" max="11518" width="12.625" style="29"/>
    <col min="11519" max="11519" width="14.375" style="29" customWidth="1"/>
    <col min="11520" max="11520" width="15.625" style="29" customWidth="1"/>
    <col min="11521" max="11522" width="11.875" style="29" customWidth="1"/>
    <col min="11523" max="11523" width="8.625" style="29" customWidth="1"/>
    <col min="11524" max="11524" width="10.625" style="29" customWidth="1"/>
    <col min="11525" max="11525" width="16.75" style="29" customWidth="1"/>
    <col min="11526" max="11526" width="15.625" style="29" customWidth="1"/>
    <col min="11527" max="11527" width="14.5" style="29" customWidth="1"/>
    <col min="11528" max="11528" width="17.75" style="29" customWidth="1"/>
    <col min="11529" max="11529" width="15.75" style="29" customWidth="1"/>
    <col min="11530" max="11774" width="12.625" style="29"/>
    <col min="11775" max="11775" width="14.375" style="29" customWidth="1"/>
    <col min="11776" max="11776" width="15.625" style="29" customWidth="1"/>
    <col min="11777" max="11778" width="11.875" style="29" customWidth="1"/>
    <col min="11779" max="11779" width="8.625" style="29" customWidth="1"/>
    <col min="11780" max="11780" width="10.625" style="29" customWidth="1"/>
    <col min="11781" max="11781" width="16.75" style="29" customWidth="1"/>
    <col min="11782" max="11782" width="15.625" style="29" customWidth="1"/>
    <col min="11783" max="11783" width="14.5" style="29" customWidth="1"/>
    <col min="11784" max="11784" width="17.75" style="29" customWidth="1"/>
    <col min="11785" max="11785" width="15.75" style="29" customWidth="1"/>
    <col min="11786" max="12030" width="12.625" style="29"/>
    <col min="12031" max="12031" width="14.375" style="29" customWidth="1"/>
    <col min="12032" max="12032" width="15.625" style="29" customWidth="1"/>
    <col min="12033" max="12034" width="11.875" style="29" customWidth="1"/>
    <col min="12035" max="12035" width="8.625" style="29" customWidth="1"/>
    <col min="12036" max="12036" width="10.625" style="29" customWidth="1"/>
    <col min="12037" max="12037" width="16.75" style="29" customWidth="1"/>
    <col min="12038" max="12038" width="15.625" style="29" customWidth="1"/>
    <col min="12039" max="12039" width="14.5" style="29" customWidth="1"/>
    <col min="12040" max="12040" width="17.75" style="29" customWidth="1"/>
    <col min="12041" max="12041" width="15.75" style="29" customWidth="1"/>
    <col min="12042" max="12286" width="12.625" style="29"/>
    <col min="12287" max="12287" width="14.375" style="29" customWidth="1"/>
    <col min="12288" max="12288" width="15.625" style="29" customWidth="1"/>
    <col min="12289" max="12290" width="11.875" style="29" customWidth="1"/>
    <col min="12291" max="12291" width="8.625" style="29" customWidth="1"/>
    <col min="12292" max="12292" width="10.625" style="29" customWidth="1"/>
    <col min="12293" max="12293" width="16.75" style="29" customWidth="1"/>
    <col min="12294" max="12294" width="15.625" style="29" customWidth="1"/>
    <col min="12295" max="12295" width="14.5" style="29" customWidth="1"/>
    <col min="12296" max="12296" width="17.75" style="29" customWidth="1"/>
    <col min="12297" max="12297" width="15.75" style="29" customWidth="1"/>
    <col min="12298" max="12542" width="12.625" style="29"/>
    <col min="12543" max="12543" width="14.375" style="29" customWidth="1"/>
    <col min="12544" max="12544" width="15.625" style="29" customWidth="1"/>
    <col min="12545" max="12546" width="11.875" style="29" customWidth="1"/>
    <col min="12547" max="12547" width="8.625" style="29" customWidth="1"/>
    <col min="12548" max="12548" width="10.625" style="29" customWidth="1"/>
    <col min="12549" max="12549" width="16.75" style="29" customWidth="1"/>
    <col min="12550" max="12550" width="15.625" style="29" customWidth="1"/>
    <col min="12551" max="12551" width="14.5" style="29" customWidth="1"/>
    <col min="12552" max="12552" width="17.75" style="29" customWidth="1"/>
    <col min="12553" max="12553" width="15.75" style="29" customWidth="1"/>
    <col min="12554" max="12798" width="12.625" style="29"/>
    <col min="12799" max="12799" width="14.375" style="29" customWidth="1"/>
    <col min="12800" max="12800" width="15.625" style="29" customWidth="1"/>
    <col min="12801" max="12802" width="11.875" style="29" customWidth="1"/>
    <col min="12803" max="12803" width="8.625" style="29" customWidth="1"/>
    <col min="12804" max="12804" width="10.625" style="29" customWidth="1"/>
    <col min="12805" max="12805" width="16.75" style="29" customWidth="1"/>
    <col min="12806" max="12806" width="15.625" style="29" customWidth="1"/>
    <col min="12807" max="12807" width="14.5" style="29" customWidth="1"/>
    <col min="12808" max="12808" width="17.75" style="29" customWidth="1"/>
    <col min="12809" max="12809" width="15.75" style="29" customWidth="1"/>
    <col min="12810" max="13054" width="12.625" style="29"/>
    <col min="13055" max="13055" width="14.375" style="29" customWidth="1"/>
    <col min="13056" max="13056" width="15.625" style="29" customWidth="1"/>
    <col min="13057" max="13058" width="11.875" style="29" customWidth="1"/>
    <col min="13059" max="13059" width="8.625" style="29" customWidth="1"/>
    <col min="13060" max="13060" width="10.625" style="29" customWidth="1"/>
    <col min="13061" max="13061" width="16.75" style="29" customWidth="1"/>
    <col min="13062" max="13062" width="15.625" style="29" customWidth="1"/>
    <col min="13063" max="13063" width="14.5" style="29" customWidth="1"/>
    <col min="13064" max="13064" width="17.75" style="29" customWidth="1"/>
    <col min="13065" max="13065" width="15.75" style="29" customWidth="1"/>
    <col min="13066" max="13310" width="12.625" style="29"/>
    <col min="13311" max="13311" width="14.375" style="29" customWidth="1"/>
    <col min="13312" max="13312" width="15.625" style="29" customWidth="1"/>
    <col min="13313" max="13314" width="11.875" style="29" customWidth="1"/>
    <col min="13315" max="13315" width="8.625" style="29" customWidth="1"/>
    <col min="13316" max="13316" width="10.625" style="29" customWidth="1"/>
    <col min="13317" max="13317" width="16.75" style="29" customWidth="1"/>
    <col min="13318" max="13318" width="15.625" style="29" customWidth="1"/>
    <col min="13319" max="13319" width="14.5" style="29" customWidth="1"/>
    <col min="13320" max="13320" width="17.75" style="29" customWidth="1"/>
    <col min="13321" max="13321" width="15.75" style="29" customWidth="1"/>
    <col min="13322" max="13566" width="12.625" style="29"/>
    <col min="13567" max="13567" width="14.375" style="29" customWidth="1"/>
    <col min="13568" max="13568" width="15.625" style="29" customWidth="1"/>
    <col min="13569" max="13570" width="11.875" style="29" customWidth="1"/>
    <col min="13571" max="13571" width="8.625" style="29" customWidth="1"/>
    <col min="13572" max="13572" width="10.625" style="29" customWidth="1"/>
    <col min="13573" max="13573" width="16.75" style="29" customWidth="1"/>
    <col min="13574" max="13574" width="15.625" style="29" customWidth="1"/>
    <col min="13575" max="13575" width="14.5" style="29" customWidth="1"/>
    <col min="13576" max="13576" width="17.75" style="29" customWidth="1"/>
    <col min="13577" max="13577" width="15.75" style="29" customWidth="1"/>
    <col min="13578" max="13822" width="12.625" style="29"/>
    <col min="13823" max="13823" width="14.375" style="29" customWidth="1"/>
    <col min="13824" max="13824" width="15.625" style="29" customWidth="1"/>
    <col min="13825" max="13826" width="11.875" style="29" customWidth="1"/>
    <col min="13827" max="13827" width="8.625" style="29" customWidth="1"/>
    <col min="13828" max="13828" width="10.625" style="29" customWidth="1"/>
    <col min="13829" max="13829" width="16.75" style="29" customWidth="1"/>
    <col min="13830" max="13830" width="15.625" style="29" customWidth="1"/>
    <col min="13831" max="13831" width="14.5" style="29" customWidth="1"/>
    <col min="13832" max="13832" width="17.75" style="29" customWidth="1"/>
    <col min="13833" max="13833" width="15.75" style="29" customWidth="1"/>
    <col min="13834" max="14078" width="12.625" style="29"/>
    <col min="14079" max="14079" width="14.375" style="29" customWidth="1"/>
    <col min="14080" max="14080" width="15.625" style="29" customWidth="1"/>
    <col min="14081" max="14082" width="11.875" style="29" customWidth="1"/>
    <col min="14083" max="14083" width="8.625" style="29" customWidth="1"/>
    <col min="14084" max="14084" width="10.625" style="29" customWidth="1"/>
    <col min="14085" max="14085" width="16.75" style="29" customWidth="1"/>
    <col min="14086" max="14086" width="15.625" style="29" customWidth="1"/>
    <col min="14087" max="14087" width="14.5" style="29" customWidth="1"/>
    <col min="14088" max="14088" width="17.75" style="29" customWidth="1"/>
    <col min="14089" max="14089" width="15.75" style="29" customWidth="1"/>
    <col min="14090" max="14334" width="12.625" style="29"/>
    <col min="14335" max="14335" width="14.375" style="29" customWidth="1"/>
    <col min="14336" max="14336" width="15.625" style="29" customWidth="1"/>
    <col min="14337" max="14338" width="11.875" style="29" customWidth="1"/>
    <col min="14339" max="14339" width="8.625" style="29" customWidth="1"/>
    <col min="14340" max="14340" width="10.625" style="29" customWidth="1"/>
    <col min="14341" max="14341" width="16.75" style="29" customWidth="1"/>
    <col min="14342" max="14342" width="15.625" style="29" customWidth="1"/>
    <col min="14343" max="14343" width="14.5" style="29" customWidth="1"/>
    <col min="14344" max="14344" width="17.75" style="29" customWidth="1"/>
    <col min="14345" max="14345" width="15.75" style="29" customWidth="1"/>
    <col min="14346" max="14590" width="12.625" style="29"/>
    <col min="14591" max="14591" width="14.375" style="29" customWidth="1"/>
    <col min="14592" max="14592" width="15.625" style="29" customWidth="1"/>
    <col min="14593" max="14594" width="11.875" style="29" customWidth="1"/>
    <col min="14595" max="14595" width="8.625" style="29" customWidth="1"/>
    <col min="14596" max="14596" width="10.625" style="29" customWidth="1"/>
    <col min="14597" max="14597" width="16.75" style="29" customWidth="1"/>
    <col min="14598" max="14598" width="15.625" style="29" customWidth="1"/>
    <col min="14599" max="14599" width="14.5" style="29" customWidth="1"/>
    <col min="14600" max="14600" width="17.75" style="29" customWidth="1"/>
    <col min="14601" max="14601" width="15.75" style="29" customWidth="1"/>
    <col min="14602" max="14846" width="12.625" style="29"/>
    <col min="14847" max="14847" width="14.375" style="29" customWidth="1"/>
    <col min="14848" max="14848" width="15.625" style="29" customWidth="1"/>
    <col min="14849" max="14850" width="11.875" style="29" customWidth="1"/>
    <col min="14851" max="14851" width="8.625" style="29" customWidth="1"/>
    <col min="14852" max="14852" width="10.625" style="29" customWidth="1"/>
    <col min="14853" max="14853" width="16.75" style="29" customWidth="1"/>
    <col min="14854" max="14854" width="15.625" style="29" customWidth="1"/>
    <col min="14855" max="14855" width="14.5" style="29" customWidth="1"/>
    <col min="14856" max="14856" width="17.75" style="29" customWidth="1"/>
    <col min="14857" max="14857" width="15.75" style="29" customWidth="1"/>
    <col min="14858" max="15102" width="12.625" style="29"/>
    <col min="15103" max="15103" width="14.375" style="29" customWidth="1"/>
    <col min="15104" max="15104" width="15.625" style="29" customWidth="1"/>
    <col min="15105" max="15106" width="11.875" style="29" customWidth="1"/>
    <col min="15107" max="15107" width="8.625" style="29" customWidth="1"/>
    <col min="15108" max="15108" width="10.625" style="29" customWidth="1"/>
    <col min="15109" max="15109" width="16.75" style="29" customWidth="1"/>
    <col min="15110" max="15110" width="15.625" style="29" customWidth="1"/>
    <col min="15111" max="15111" width="14.5" style="29" customWidth="1"/>
    <col min="15112" max="15112" width="17.75" style="29" customWidth="1"/>
    <col min="15113" max="15113" width="15.75" style="29" customWidth="1"/>
    <col min="15114" max="15358" width="12.625" style="29"/>
    <col min="15359" max="15359" width="14.375" style="29" customWidth="1"/>
    <col min="15360" max="15360" width="15.625" style="29" customWidth="1"/>
    <col min="15361" max="15362" width="11.875" style="29" customWidth="1"/>
    <col min="15363" max="15363" width="8.625" style="29" customWidth="1"/>
    <col min="15364" max="15364" width="10.625" style="29" customWidth="1"/>
    <col min="15365" max="15365" width="16.75" style="29" customWidth="1"/>
    <col min="15366" max="15366" width="15.625" style="29" customWidth="1"/>
    <col min="15367" max="15367" width="14.5" style="29" customWidth="1"/>
    <col min="15368" max="15368" width="17.75" style="29" customWidth="1"/>
    <col min="15369" max="15369" width="15.75" style="29" customWidth="1"/>
    <col min="15370" max="15614" width="12.625" style="29"/>
    <col min="15615" max="15615" width="14.375" style="29" customWidth="1"/>
    <col min="15616" max="15616" width="15.625" style="29" customWidth="1"/>
    <col min="15617" max="15618" width="11.875" style="29" customWidth="1"/>
    <col min="15619" max="15619" width="8.625" style="29" customWidth="1"/>
    <col min="15620" max="15620" width="10.625" style="29" customWidth="1"/>
    <col min="15621" max="15621" width="16.75" style="29" customWidth="1"/>
    <col min="15622" max="15622" width="15.625" style="29" customWidth="1"/>
    <col min="15623" max="15623" width="14.5" style="29" customWidth="1"/>
    <col min="15624" max="15624" width="17.75" style="29" customWidth="1"/>
    <col min="15625" max="15625" width="15.75" style="29" customWidth="1"/>
    <col min="15626" max="15870" width="12.625" style="29"/>
    <col min="15871" max="15871" width="14.375" style="29" customWidth="1"/>
    <col min="15872" max="15872" width="15.625" style="29" customWidth="1"/>
    <col min="15873" max="15874" width="11.875" style="29" customWidth="1"/>
    <col min="15875" max="15875" width="8.625" style="29" customWidth="1"/>
    <col min="15876" max="15876" width="10.625" style="29" customWidth="1"/>
    <col min="15877" max="15877" width="16.75" style="29" customWidth="1"/>
    <col min="15878" max="15878" width="15.625" style="29" customWidth="1"/>
    <col min="15879" max="15879" width="14.5" style="29" customWidth="1"/>
    <col min="15880" max="15880" width="17.75" style="29" customWidth="1"/>
    <col min="15881" max="15881" width="15.75" style="29" customWidth="1"/>
    <col min="15882" max="16126" width="12.625" style="29"/>
    <col min="16127" max="16127" width="14.375" style="29" customWidth="1"/>
    <col min="16128" max="16128" width="15.625" style="29" customWidth="1"/>
    <col min="16129" max="16130" width="11.875" style="29" customWidth="1"/>
    <col min="16131" max="16131" width="8.625" style="29" customWidth="1"/>
    <col min="16132" max="16132" width="10.625" style="29" customWidth="1"/>
    <col min="16133" max="16133" width="16.75" style="29" customWidth="1"/>
    <col min="16134" max="16134" width="15.625" style="29" customWidth="1"/>
    <col min="16135" max="16135" width="14.5" style="29" customWidth="1"/>
    <col min="16136" max="16136" width="17.75" style="29" customWidth="1"/>
    <col min="16137" max="16137" width="15.75" style="29" customWidth="1"/>
    <col min="16138" max="16384" width="12.625" style="29"/>
  </cols>
  <sheetData>
    <row r="1" spans="1:16" ht="25.5" customHeight="1">
      <c r="A1" s="27" t="s">
        <v>879</v>
      </c>
      <c r="C1" s="192"/>
      <c r="D1" s="137"/>
      <c r="E1" s="137"/>
      <c r="F1" s="137"/>
      <c r="G1" s="137"/>
    </row>
    <row r="2" spans="1:16" ht="9" customHeight="1">
      <c r="C2" s="192"/>
      <c r="D2" s="137"/>
      <c r="E2" s="137"/>
      <c r="F2" s="137"/>
      <c r="G2" s="137"/>
    </row>
    <row r="3" spans="1:16" s="30" customFormat="1" ht="21" customHeight="1">
      <c r="A3" s="2083" t="e">
        <f>'예수금(기타)'!A3:B3</f>
        <v>#REF!</v>
      </c>
      <c r="B3" s="2083"/>
      <c r="C3" s="138"/>
      <c r="D3" s="138"/>
      <c r="E3" s="138"/>
      <c r="F3" s="138"/>
      <c r="G3" s="138"/>
      <c r="H3" s="31" t="s">
        <v>0</v>
      </c>
    </row>
    <row r="4" spans="1:16" s="30" customFormat="1" ht="21.95" customHeight="1">
      <c r="A4" s="32" t="s">
        <v>1</v>
      </c>
      <c r="B4" s="33" t="s">
        <v>2</v>
      </c>
      <c r="C4" s="139" t="s">
        <v>100</v>
      </c>
      <c r="D4" s="140" t="s">
        <v>642</v>
      </c>
      <c r="E4" s="141" t="s">
        <v>17</v>
      </c>
      <c r="F4" s="287" t="s">
        <v>13</v>
      </c>
      <c r="G4" s="290" t="s">
        <v>643</v>
      </c>
      <c r="H4" s="34" t="s">
        <v>4</v>
      </c>
    </row>
    <row r="5" spans="1:16" s="74" customFormat="1" ht="21.95" customHeight="1">
      <c r="A5" s="638"/>
      <c r="B5" s="263"/>
      <c r="C5" s="1182"/>
      <c r="D5" s="264"/>
      <c r="E5" s="1239"/>
      <c r="F5" s="338"/>
      <c r="G5" s="644"/>
      <c r="H5" s="265"/>
      <c r="L5" s="162"/>
      <c r="M5" s="162"/>
      <c r="N5" s="162"/>
    </row>
    <row r="6" spans="1:16" s="74" customFormat="1" ht="21.95" customHeight="1">
      <c r="A6" s="642"/>
      <c r="B6" s="1052"/>
      <c r="C6" s="1183"/>
      <c r="D6" s="829"/>
      <c r="E6" s="643"/>
      <c r="F6" s="288"/>
      <c r="G6" s="645"/>
      <c r="H6" s="270"/>
      <c r="L6" s="162"/>
      <c r="M6" s="162"/>
      <c r="N6" s="162"/>
    </row>
    <row r="7" spans="1:16" s="74" customFormat="1" ht="21.95" customHeight="1">
      <c r="A7" s="266"/>
      <c r="B7" s="271"/>
      <c r="C7" s="267"/>
      <c r="D7" s="829"/>
      <c r="E7" s="269"/>
      <c r="F7" s="288"/>
      <c r="G7" s="291"/>
      <c r="H7" s="270"/>
      <c r="M7" s="163"/>
      <c r="N7" s="163"/>
    </row>
    <row r="8" spans="1:16" s="74" customFormat="1" ht="21.95" customHeight="1">
      <c r="A8" s="266"/>
      <c r="B8" s="271"/>
      <c r="C8" s="267"/>
      <c r="D8" s="829"/>
      <c r="E8" s="269"/>
      <c r="F8" s="288"/>
      <c r="G8" s="291"/>
      <c r="H8" s="270"/>
      <c r="M8" s="163"/>
      <c r="N8" s="163"/>
    </row>
    <row r="9" spans="1:16" s="74" customFormat="1" ht="21.95" customHeight="1">
      <c r="A9" s="266"/>
      <c r="B9" s="271"/>
      <c r="C9" s="267"/>
      <c r="D9" s="268"/>
      <c r="E9" s="269"/>
      <c r="F9" s="288"/>
      <c r="G9" s="291"/>
      <c r="H9" s="270"/>
      <c r="M9" s="163"/>
      <c r="N9" s="163"/>
    </row>
    <row r="10" spans="1:16" s="74" customFormat="1" ht="21.95" customHeight="1">
      <c r="A10" s="266"/>
      <c r="B10" s="271"/>
      <c r="C10" s="267"/>
      <c r="D10" s="268"/>
      <c r="E10" s="269"/>
      <c r="F10" s="288"/>
      <c r="G10" s="291"/>
      <c r="H10" s="270"/>
      <c r="M10" s="163"/>
      <c r="N10" s="163"/>
    </row>
    <row r="11" spans="1:16" s="74" customFormat="1" ht="21.95" customHeight="1">
      <c r="A11" s="266"/>
      <c r="B11" s="271"/>
      <c r="C11" s="267"/>
      <c r="D11" s="268"/>
      <c r="E11" s="269"/>
      <c r="F11" s="288"/>
      <c r="G11" s="291"/>
      <c r="H11" s="270"/>
      <c r="M11" s="163"/>
      <c r="N11" s="163"/>
    </row>
    <row r="12" spans="1:16" s="74" customFormat="1" ht="21.95" customHeight="1">
      <c r="A12" s="386"/>
      <c r="B12" s="387"/>
      <c r="C12" s="388"/>
      <c r="D12" s="389"/>
      <c r="E12" s="390"/>
      <c r="F12" s="391"/>
      <c r="G12" s="392"/>
      <c r="H12" s="393"/>
      <c r="M12" s="163"/>
      <c r="N12" s="163"/>
    </row>
    <row r="13" spans="1:16" s="74" customFormat="1" ht="21.95" customHeight="1">
      <c r="A13" s="386"/>
      <c r="B13" s="387"/>
      <c r="C13" s="388"/>
      <c r="D13" s="389"/>
      <c r="E13" s="390"/>
      <c r="F13" s="391"/>
      <c r="G13" s="392"/>
      <c r="H13" s="393"/>
      <c r="M13" s="163"/>
      <c r="N13" s="163"/>
    </row>
    <row r="14" spans="1:16" s="74" customFormat="1" ht="21.95" customHeight="1">
      <c r="A14" s="266"/>
      <c r="B14" s="271"/>
      <c r="C14" s="267"/>
      <c r="D14" s="268"/>
      <c r="E14" s="269"/>
      <c r="F14" s="288"/>
      <c r="G14" s="291"/>
      <c r="H14" s="270"/>
    </row>
    <row r="15" spans="1:16" s="89" customFormat="1" ht="21.95" customHeight="1">
      <c r="A15" s="272"/>
      <c r="B15" s="273"/>
      <c r="C15" s="267"/>
      <c r="D15" s="274"/>
      <c r="E15" s="275"/>
      <c r="F15" s="288"/>
      <c r="G15" s="291"/>
      <c r="H15" s="270"/>
      <c r="L15" s="163">
        <v>4.6800000000000001E-2</v>
      </c>
      <c r="M15" s="163">
        <v>4.48E-2</v>
      </c>
      <c r="N15" s="74"/>
      <c r="O15" s="74"/>
      <c r="P15" s="9">
        <v>4.48E-2</v>
      </c>
    </row>
    <row r="16" spans="1:16" s="30" customFormat="1" ht="21.95" customHeight="1">
      <c r="A16" s="276"/>
      <c r="B16" s="277"/>
      <c r="C16" s="267"/>
      <c r="D16" s="274"/>
      <c r="E16" s="275"/>
      <c r="F16" s="288"/>
      <c r="G16" s="291"/>
      <c r="H16" s="270"/>
      <c r="L16" s="164">
        <v>4.3999999999999997E-2</v>
      </c>
      <c r="M16" s="164">
        <v>4.2000000000000003E-2</v>
      </c>
      <c r="N16" s="29"/>
      <c r="O16" s="29"/>
      <c r="P16" s="9">
        <v>4.2000000000000003E-2</v>
      </c>
    </row>
    <row r="17" spans="1:16" s="30" customFormat="1" ht="21.95" customHeight="1">
      <c r="A17" s="276"/>
      <c r="B17" s="277"/>
      <c r="C17" s="267"/>
      <c r="D17" s="274"/>
      <c r="E17" s="275"/>
      <c r="F17" s="288"/>
      <c r="G17" s="291"/>
      <c r="H17" s="270"/>
      <c r="L17" s="164">
        <v>4.4200000000000003E-2</v>
      </c>
      <c r="M17" s="164">
        <v>4.2200000000000001E-2</v>
      </c>
      <c r="N17" s="29"/>
      <c r="O17" s="29"/>
      <c r="P17" s="9">
        <v>4.2200000000000001E-2</v>
      </c>
    </row>
    <row r="18" spans="1:16" s="30" customFormat="1" ht="21.95" customHeight="1">
      <c r="A18" s="276"/>
      <c r="B18" s="277"/>
      <c r="C18" s="278"/>
      <c r="D18" s="274"/>
      <c r="E18" s="275"/>
      <c r="F18" s="288"/>
      <c r="G18" s="291"/>
      <c r="H18" s="270"/>
      <c r="L18" s="164">
        <v>4.6800000000000001E-2</v>
      </c>
      <c r="M18" s="164">
        <v>4.48E-2</v>
      </c>
      <c r="N18" s="29"/>
      <c r="O18" s="29"/>
      <c r="P18" s="9">
        <v>4.48E-2</v>
      </c>
    </row>
    <row r="19" spans="1:16" ht="21.95" customHeight="1">
      <c r="A19" s="279"/>
      <c r="B19" s="280"/>
      <c r="C19" s="278"/>
      <c r="D19" s="274"/>
      <c r="E19" s="275"/>
      <c r="F19" s="288"/>
      <c r="G19" s="291"/>
      <c r="H19" s="270"/>
      <c r="L19" s="164">
        <v>4.9299999999999997E-2</v>
      </c>
      <c r="M19" s="164">
        <v>4.7300000000000002E-2</v>
      </c>
      <c r="P19" s="165">
        <v>4.7300000000000002E-2</v>
      </c>
    </row>
    <row r="20" spans="1:16" ht="21.95" customHeight="1">
      <c r="A20" s="281"/>
      <c r="B20" s="282"/>
      <c r="C20" s="283"/>
      <c r="D20" s="284"/>
      <c r="E20" s="285"/>
      <c r="F20" s="289"/>
      <c r="G20" s="292"/>
      <c r="H20" s="286"/>
      <c r="L20" s="164">
        <v>4.9099999999999998E-2</v>
      </c>
      <c r="M20" s="164">
        <v>4.7100000000000003E-2</v>
      </c>
      <c r="P20" s="165">
        <v>4.7100000000000003E-2</v>
      </c>
    </row>
    <row r="21" spans="1:16" ht="21.95" customHeight="1">
      <c r="A21" s="2084" t="s">
        <v>5</v>
      </c>
      <c r="B21" s="2085"/>
      <c r="C21" s="2085"/>
      <c r="D21" s="2085"/>
      <c r="E21" s="2085"/>
      <c r="F21" s="2086"/>
      <c r="G21" s="293">
        <f>SUM(G5:G20)</f>
        <v>0</v>
      </c>
      <c r="H21" s="193"/>
    </row>
    <row r="22" spans="1:16" ht="21.95" customHeight="1">
      <c r="A22" s="2" t="str">
        <f>예수금!A23</f>
        <v>김천에너지서비스㈜</v>
      </c>
      <c r="C22" s="194"/>
    </row>
    <row r="23" spans="1:16" ht="21.95" customHeight="1">
      <c r="A23" s="1237"/>
      <c r="B23" s="196"/>
      <c r="C23" s="194"/>
    </row>
    <row r="24" spans="1:16" ht="21.95" customHeight="1">
      <c r="A24" s="195"/>
      <c r="B24" s="196"/>
      <c r="C24" s="194"/>
    </row>
    <row r="25" spans="1:16" ht="21.95" customHeight="1">
      <c r="A25" s="195"/>
      <c r="B25" s="196"/>
      <c r="C25" s="194"/>
    </row>
    <row r="26" spans="1:16" ht="21.95" customHeight="1">
      <c r="A26" s="195"/>
      <c r="B26" s="196"/>
      <c r="C26" s="194"/>
    </row>
    <row r="27" spans="1:16" ht="21.95" customHeight="1">
      <c r="A27" s="195"/>
      <c r="B27" s="196"/>
      <c r="C27" s="194"/>
    </row>
    <row r="28" spans="1:16" ht="21.95" customHeight="1">
      <c r="A28" s="195"/>
      <c r="B28" s="196"/>
      <c r="C28" s="194"/>
    </row>
    <row r="29" spans="1:16" ht="21.95" customHeight="1">
      <c r="A29" s="195"/>
      <c r="B29" s="196"/>
      <c r="C29" s="194"/>
    </row>
    <row r="30" spans="1:16" ht="21.95" customHeight="1">
      <c r="A30" s="195"/>
      <c r="B30" s="196"/>
    </row>
    <row r="31" spans="1:16" ht="21.95" customHeight="1"/>
    <row r="32" spans="1:16" ht="21.95" customHeight="1"/>
    <row r="33" ht="21.95" customHeight="1"/>
    <row r="34" ht="21.95" customHeight="1"/>
    <row r="35" ht="21.95" customHeight="1"/>
  </sheetData>
  <mergeCells count="2">
    <mergeCell ref="A3:B3"/>
    <mergeCell ref="A21:F21"/>
  </mergeCells>
  <phoneticPr fontId="2" type="noConversion"/>
  <printOptions horizontalCentered="1"/>
  <pageMargins left="0.39370078740157483" right="0.39370078740157483" top="0.43307086614173229" bottom="0.43307086614173229" header="0.39370078740157483" footer="0.39370078740157483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workbookViewId="0"/>
  </sheetViews>
  <sheetFormatPr defaultColWidth="12.625" defaultRowHeight="20.100000000000001" customHeight="1"/>
  <cols>
    <col min="1" max="1" width="24" style="4" customWidth="1"/>
    <col min="2" max="2" width="42.75" style="80" bestFit="1" customWidth="1"/>
    <col min="3" max="3" width="18.75" style="80" customWidth="1"/>
    <col min="4" max="4" width="18.75" style="4" customWidth="1"/>
    <col min="5" max="5" width="22.5" style="4" customWidth="1"/>
    <col min="6" max="16384" width="12.625" style="4"/>
  </cols>
  <sheetData>
    <row r="1" spans="1:5" ht="20.100000000000001" customHeight="1">
      <c r="A1" s="3" t="s">
        <v>22</v>
      </c>
    </row>
    <row r="2" spans="1:5" ht="9.75" customHeight="1">
      <c r="B2" s="7"/>
      <c r="C2" s="7"/>
      <c r="D2" s="8"/>
    </row>
    <row r="3" spans="1:5" ht="20.100000000000001" customHeight="1">
      <c r="A3" s="1">
        <f>매출채권!A3</f>
        <v>45504</v>
      </c>
      <c r="B3" s="10"/>
      <c r="C3" s="10"/>
      <c r="D3" s="11"/>
      <c r="E3" s="12" t="s">
        <v>0</v>
      </c>
    </row>
    <row r="4" spans="1:5" ht="20.100000000000001" customHeight="1">
      <c r="A4" s="13" t="s">
        <v>1</v>
      </c>
      <c r="B4" s="13" t="s">
        <v>2</v>
      </c>
      <c r="C4" s="13" t="s">
        <v>56</v>
      </c>
      <c r="D4" s="14" t="s">
        <v>3</v>
      </c>
      <c r="E4" s="15" t="s">
        <v>4</v>
      </c>
    </row>
    <row r="5" spans="1:5" ht="21.95" customHeight="1">
      <c r="A5" s="170" t="s">
        <v>1339</v>
      </c>
      <c r="B5" s="18" t="s">
        <v>1338</v>
      </c>
      <c r="C5" s="335" t="s">
        <v>1340</v>
      </c>
      <c r="D5" s="19">
        <v>54620420</v>
      </c>
      <c r="E5" s="20"/>
    </row>
    <row r="6" spans="1:5" ht="21.95" customHeight="1">
      <c r="A6" s="1812" t="s">
        <v>1342</v>
      </c>
      <c r="B6" s="1812" t="s">
        <v>1341</v>
      </c>
      <c r="C6" s="1813" t="s">
        <v>1343</v>
      </c>
      <c r="D6" s="1814">
        <v>1018594510</v>
      </c>
      <c r="E6" s="1815"/>
    </row>
    <row r="7" spans="1:5" ht="21.95" customHeight="1">
      <c r="A7" s="1812"/>
      <c r="B7" s="1812"/>
      <c r="C7" s="1813"/>
      <c r="D7" s="1814"/>
      <c r="E7" s="1815"/>
    </row>
    <row r="8" spans="1:5" ht="21.95" customHeight="1">
      <c r="A8" s="18"/>
      <c r="B8" s="18"/>
      <c r="C8" s="335"/>
      <c r="D8" s="146"/>
      <c r="E8" s="20"/>
    </row>
    <row r="9" spans="1:5" ht="21.95" customHeight="1">
      <c r="A9" s="18"/>
      <c r="B9" s="18"/>
      <c r="C9" s="335"/>
      <c r="D9" s="146"/>
      <c r="E9" s="20"/>
    </row>
    <row r="10" spans="1:5" ht="21.95" customHeight="1">
      <c r="A10" s="18"/>
      <c r="B10" s="18"/>
      <c r="C10" s="335"/>
      <c r="D10" s="146"/>
      <c r="E10" s="20"/>
    </row>
    <row r="11" spans="1:5" ht="21.95" customHeight="1">
      <c r="A11" s="18"/>
      <c r="B11" s="18"/>
      <c r="C11" s="335"/>
      <c r="D11" s="146"/>
      <c r="E11" s="20"/>
    </row>
    <row r="12" spans="1:5" ht="21.95" customHeight="1">
      <c r="A12" s="18"/>
      <c r="B12" s="18"/>
      <c r="C12" s="335"/>
      <c r="D12" s="19"/>
      <c r="E12" s="20"/>
    </row>
    <row r="13" spans="1:5" ht="21.95" customHeight="1">
      <c r="A13" s="77"/>
      <c r="B13" s="77"/>
      <c r="C13" s="335"/>
      <c r="D13" s="84"/>
      <c r="E13" s="129"/>
    </row>
    <row r="14" spans="1:5" ht="21.95" customHeight="1">
      <c r="A14" s="16"/>
      <c r="B14" s="18"/>
      <c r="C14" s="335"/>
      <c r="D14" s="19"/>
      <c r="E14" s="22"/>
    </row>
    <row r="15" spans="1:5" ht="21.95" customHeight="1">
      <c r="A15" s="16"/>
      <c r="B15" s="18"/>
      <c r="C15" s="335"/>
      <c r="D15" s="19"/>
      <c r="E15" s="20"/>
    </row>
    <row r="16" spans="1:5" ht="21.95" customHeight="1">
      <c r="A16" s="16"/>
      <c r="B16" s="18"/>
      <c r="C16" s="335"/>
      <c r="D16" s="19"/>
      <c r="E16" s="20"/>
    </row>
    <row r="17" spans="1:5" ht="21.95" customHeight="1">
      <c r="A17" s="16"/>
      <c r="B17" s="18"/>
      <c r="C17" s="335"/>
      <c r="D17" s="19"/>
      <c r="E17" s="146"/>
    </row>
    <row r="18" spans="1:5" ht="20.100000000000001" customHeight="1">
      <c r="A18" s="13" t="s">
        <v>5</v>
      </c>
      <c r="B18" s="13"/>
      <c r="C18" s="13"/>
      <c r="D18" s="25">
        <f>SUM(D5:D17)</f>
        <v>1073214930</v>
      </c>
      <c r="E18" s="26"/>
    </row>
    <row r="19" spans="1:5" ht="20.100000000000001" customHeight="1">
      <c r="A19" s="2" t="str">
        <f>매출채권!A26</f>
        <v>김천에너지서비스㈜</v>
      </c>
    </row>
  </sheetData>
  <phoneticPr fontId="2" type="noConversion"/>
  <printOptions horizontalCentered="1"/>
  <pageMargins left="0.47244094488188981" right="0.47244094488188981" top="0.59055118110236227" bottom="0.59055118110236227" header="0.39370078740157483" footer="0.39370078740157483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showGridLines="0" workbookViewId="0">
      <pane ySplit="4" topLeftCell="A23" activePane="bottomLeft" state="frozen"/>
      <selection activeCell="B31" sqref="B31"/>
      <selection pane="bottomLeft"/>
    </sheetView>
  </sheetViews>
  <sheetFormatPr defaultColWidth="12.625" defaultRowHeight="20.100000000000001" customHeight="1"/>
  <cols>
    <col min="1" max="1" width="15.125" style="4" customWidth="1"/>
    <col min="2" max="2" width="14.5" style="4" customWidth="1"/>
    <col min="3" max="3" width="27.625" style="80" customWidth="1"/>
    <col min="4" max="5" width="16.625" style="4" customWidth="1"/>
    <col min="6" max="6" width="16.625" style="6" customWidth="1"/>
    <col min="7" max="7" width="15.625" style="80" customWidth="1"/>
    <col min="8" max="8" width="12.625" style="4"/>
    <col min="9" max="9" width="12.875" style="4" bestFit="1" customWidth="1"/>
    <col min="10" max="16384" width="12.625" style="4"/>
  </cols>
  <sheetData>
    <row r="1" spans="1:9" ht="20.100000000000001" customHeight="1">
      <c r="A1" s="3" t="s">
        <v>258</v>
      </c>
    </row>
    <row r="2" spans="1:9" ht="15" customHeight="1">
      <c r="B2" s="6"/>
      <c r="C2" s="7"/>
      <c r="D2" s="6"/>
      <c r="E2" s="6"/>
      <c r="G2" s="7"/>
    </row>
    <row r="3" spans="1:9" ht="20.100000000000001" customHeight="1">
      <c r="A3" s="1">
        <f>매출채권!A3</f>
        <v>45504</v>
      </c>
      <c r="B3" s="9"/>
      <c r="C3" s="10"/>
      <c r="D3" s="9"/>
      <c r="E3" s="9"/>
      <c r="F3" s="257"/>
      <c r="G3" s="12" t="s">
        <v>0</v>
      </c>
    </row>
    <row r="4" spans="1:9" ht="20.100000000000001" customHeight="1">
      <c r="A4" s="669" t="s">
        <v>139</v>
      </c>
      <c r="B4" s="249" t="s">
        <v>137</v>
      </c>
      <c r="C4" s="249" t="s">
        <v>138</v>
      </c>
      <c r="D4" s="256" t="s">
        <v>140</v>
      </c>
      <c r="E4" s="249" t="s">
        <v>141</v>
      </c>
      <c r="F4" s="258" t="s">
        <v>142</v>
      </c>
      <c r="G4" s="149" t="s">
        <v>143</v>
      </c>
    </row>
    <row r="5" spans="1:9" ht="20.100000000000001" customHeight="1">
      <c r="A5" s="1742" t="s">
        <v>1209</v>
      </c>
      <c r="B5" s="1743" t="s">
        <v>144</v>
      </c>
      <c r="C5" s="1743" t="s">
        <v>1213</v>
      </c>
      <c r="D5" s="1744">
        <v>209139726</v>
      </c>
      <c r="E5" s="1744">
        <v>52284930</v>
      </c>
      <c r="F5" s="1745">
        <v>5228490</v>
      </c>
      <c r="G5" s="336"/>
      <c r="I5" s="1445"/>
    </row>
    <row r="6" spans="1:9" ht="20.100000000000001" customHeight="1">
      <c r="A6" s="1742" t="s">
        <v>1210</v>
      </c>
      <c r="B6" s="1743" t="s">
        <v>144</v>
      </c>
      <c r="C6" s="1743" t="s">
        <v>283</v>
      </c>
      <c r="D6" s="1744">
        <v>56024530</v>
      </c>
      <c r="E6" s="1744">
        <v>7843340</v>
      </c>
      <c r="F6" s="1745">
        <v>784260</v>
      </c>
      <c r="G6" s="336"/>
    </row>
    <row r="7" spans="1:9" ht="20.100000000000001" customHeight="1">
      <c r="A7" s="1742" t="s">
        <v>1211</v>
      </c>
      <c r="B7" s="1743" t="s">
        <v>144</v>
      </c>
      <c r="C7" s="1743" t="s">
        <v>283</v>
      </c>
      <c r="D7" s="1744">
        <v>41525351</v>
      </c>
      <c r="E7" s="1744">
        <v>5813490</v>
      </c>
      <c r="F7" s="1745">
        <v>581290</v>
      </c>
      <c r="G7" s="336"/>
    </row>
    <row r="8" spans="1:9" ht="20.100000000000001" customHeight="1">
      <c r="A8" s="670" t="s">
        <v>1212</v>
      </c>
      <c r="B8" s="1743" t="s">
        <v>144</v>
      </c>
      <c r="C8" s="1743" t="s">
        <v>283</v>
      </c>
      <c r="D8" s="254">
        <v>32533272</v>
      </c>
      <c r="E8" s="254">
        <v>4554620</v>
      </c>
      <c r="F8" s="569">
        <v>455420</v>
      </c>
      <c r="G8" s="336"/>
    </row>
    <row r="9" spans="1:9" ht="20.100000000000001" customHeight="1">
      <c r="A9" s="670" t="s">
        <v>1220</v>
      </c>
      <c r="B9" s="1743" t="s">
        <v>144</v>
      </c>
      <c r="C9" s="1743" t="s">
        <v>283</v>
      </c>
      <c r="D9" s="254">
        <v>34881547</v>
      </c>
      <c r="E9" s="570">
        <v>4883380</v>
      </c>
      <c r="F9" s="569">
        <v>488300</v>
      </c>
      <c r="G9" s="336"/>
    </row>
    <row r="10" spans="1:9" ht="20.100000000000001" customHeight="1">
      <c r="A10" s="671" t="s">
        <v>1221</v>
      </c>
      <c r="B10" s="1743" t="s">
        <v>144</v>
      </c>
      <c r="C10" s="1743" t="s">
        <v>283</v>
      </c>
      <c r="D10" s="577">
        <v>5106128</v>
      </c>
      <c r="E10" s="583">
        <v>714840</v>
      </c>
      <c r="F10" s="584">
        <v>71470</v>
      </c>
      <c r="G10" s="585"/>
    </row>
    <row r="11" spans="1:9" ht="20.100000000000001" customHeight="1">
      <c r="A11" s="670" t="s">
        <v>1222</v>
      </c>
      <c r="B11" s="1743" t="s">
        <v>144</v>
      </c>
      <c r="C11" s="1743" t="s">
        <v>283</v>
      </c>
      <c r="D11" s="254">
        <v>56892750</v>
      </c>
      <c r="E11" s="254">
        <v>7964930</v>
      </c>
      <c r="F11" s="323">
        <v>796450</v>
      </c>
      <c r="G11" s="336"/>
    </row>
    <row r="12" spans="1:9" ht="20.100000000000001" customHeight="1">
      <c r="A12" s="671" t="s">
        <v>1223</v>
      </c>
      <c r="B12" s="1743" t="s">
        <v>144</v>
      </c>
      <c r="C12" s="1743" t="s">
        <v>283</v>
      </c>
      <c r="D12" s="577">
        <v>39508994</v>
      </c>
      <c r="E12" s="254">
        <v>5531200</v>
      </c>
      <c r="F12" s="323">
        <v>553070</v>
      </c>
      <c r="G12" s="579"/>
    </row>
    <row r="13" spans="1:9" ht="20.100000000000001" customHeight="1">
      <c r="A13" s="671" t="s">
        <v>1224</v>
      </c>
      <c r="B13" s="1743" t="s">
        <v>144</v>
      </c>
      <c r="C13" s="1743" t="s">
        <v>283</v>
      </c>
      <c r="D13" s="577">
        <v>16422867</v>
      </c>
      <c r="E13" s="254">
        <v>2299160</v>
      </c>
      <c r="F13" s="323">
        <v>229880</v>
      </c>
      <c r="G13" s="579"/>
    </row>
    <row r="14" spans="1:9" ht="20.100000000000001" customHeight="1">
      <c r="A14" s="671" t="s">
        <v>1226</v>
      </c>
      <c r="B14" s="1743" t="s">
        <v>144</v>
      </c>
      <c r="C14" s="1743" t="s">
        <v>283</v>
      </c>
      <c r="D14" s="577">
        <v>29031746</v>
      </c>
      <c r="E14" s="577">
        <v>4064400</v>
      </c>
      <c r="F14" s="578">
        <v>406400</v>
      </c>
      <c r="G14" s="579"/>
    </row>
    <row r="15" spans="1:9" ht="20.100000000000001" customHeight="1">
      <c r="A15" s="671" t="s">
        <v>1227</v>
      </c>
      <c r="B15" s="1743" t="s">
        <v>144</v>
      </c>
      <c r="C15" s="1743" t="s">
        <v>283</v>
      </c>
      <c r="D15" s="577">
        <v>35009180</v>
      </c>
      <c r="E15" s="577">
        <v>4901220</v>
      </c>
      <c r="F15" s="578">
        <v>490060</v>
      </c>
      <c r="G15" s="579"/>
    </row>
    <row r="16" spans="1:9" ht="20.100000000000001" customHeight="1">
      <c r="A16" s="671" t="s">
        <v>1228</v>
      </c>
      <c r="B16" s="1743" t="s">
        <v>144</v>
      </c>
      <c r="C16" s="1743" t="s">
        <v>283</v>
      </c>
      <c r="D16" s="577">
        <v>3696195</v>
      </c>
      <c r="E16" s="577">
        <v>517460</v>
      </c>
      <c r="F16" s="578">
        <v>51740</v>
      </c>
      <c r="G16" s="579"/>
    </row>
    <row r="17" spans="1:7" ht="20.100000000000001" customHeight="1">
      <c r="A17" s="671" t="s">
        <v>1229</v>
      </c>
      <c r="B17" s="1743" t="s">
        <v>144</v>
      </c>
      <c r="C17" s="1743" t="s">
        <v>283</v>
      </c>
      <c r="D17" s="577">
        <v>84733375</v>
      </c>
      <c r="E17" s="577">
        <v>11862410</v>
      </c>
      <c r="F17" s="578">
        <v>1186010</v>
      </c>
      <c r="G17" s="579"/>
    </row>
    <row r="18" spans="1:7" ht="20.100000000000001" customHeight="1">
      <c r="A18" s="671" t="s">
        <v>1238</v>
      </c>
      <c r="B18" s="1743" t="s">
        <v>144</v>
      </c>
      <c r="C18" s="1743" t="s">
        <v>283</v>
      </c>
      <c r="D18" s="577">
        <v>17632558</v>
      </c>
      <c r="E18" s="577">
        <v>2468540</v>
      </c>
      <c r="F18" s="578">
        <v>246840</v>
      </c>
      <c r="G18" s="579"/>
    </row>
    <row r="19" spans="1:7" ht="20.100000000000001" customHeight="1">
      <c r="A19" s="671" t="s">
        <v>1239</v>
      </c>
      <c r="B19" s="1743" t="s">
        <v>144</v>
      </c>
      <c r="C19" s="1743" t="s">
        <v>283</v>
      </c>
      <c r="D19" s="577">
        <v>15120864</v>
      </c>
      <c r="E19" s="577">
        <v>2116830</v>
      </c>
      <c r="F19" s="578">
        <v>211620</v>
      </c>
      <c r="G19" s="579"/>
    </row>
    <row r="20" spans="1:7" ht="20.100000000000001" customHeight="1">
      <c r="A20" s="671" t="s">
        <v>1240</v>
      </c>
      <c r="B20" s="1743" t="s">
        <v>144</v>
      </c>
      <c r="C20" s="1743" t="s">
        <v>283</v>
      </c>
      <c r="D20" s="577">
        <v>41761928</v>
      </c>
      <c r="E20" s="577">
        <v>5846590</v>
      </c>
      <c r="F20" s="578">
        <v>584570</v>
      </c>
      <c r="G20" s="579"/>
    </row>
    <row r="21" spans="1:7" ht="20.100000000000001" customHeight="1">
      <c r="A21" s="671" t="s">
        <v>1241</v>
      </c>
      <c r="B21" s="1743" t="s">
        <v>144</v>
      </c>
      <c r="C21" s="1743" t="s">
        <v>283</v>
      </c>
      <c r="D21" s="577">
        <v>21454775</v>
      </c>
      <c r="E21" s="577">
        <v>3003640</v>
      </c>
      <c r="F21" s="578">
        <v>300330</v>
      </c>
      <c r="G21" s="579"/>
    </row>
    <row r="22" spans="1:7" ht="20.100000000000001" customHeight="1">
      <c r="A22" s="671" t="s">
        <v>1242</v>
      </c>
      <c r="B22" s="1743" t="s">
        <v>144</v>
      </c>
      <c r="C22" s="1743" t="s">
        <v>283</v>
      </c>
      <c r="D22" s="577">
        <v>33891131</v>
      </c>
      <c r="E22" s="577">
        <v>4744690</v>
      </c>
      <c r="F22" s="578">
        <v>474390</v>
      </c>
      <c r="G22" s="579"/>
    </row>
    <row r="23" spans="1:7" ht="20.100000000000001" customHeight="1">
      <c r="A23" s="671" t="s">
        <v>1243</v>
      </c>
      <c r="B23" s="1743" t="s">
        <v>144</v>
      </c>
      <c r="C23" s="1743" t="s">
        <v>283</v>
      </c>
      <c r="D23" s="577">
        <v>23475700</v>
      </c>
      <c r="E23" s="577">
        <v>3286570</v>
      </c>
      <c r="F23" s="578">
        <v>328630</v>
      </c>
      <c r="G23" s="579"/>
    </row>
    <row r="24" spans="1:7" ht="20.100000000000001" customHeight="1">
      <c r="A24" s="671" t="s">
        <v>1247</v>
      </c>
      <c r="B24" s="1743" t="s">
        <v>144</v>
      </c>
      <c r="C24" s="1743" t="s">
        <v>283</v>
      </c>
      <c r="D24" s="577">
        <v>30600221</v>
      </c>
      <c r="E24" s="577">
        <v>4284000</v>
      </c>
      <c r="F24" s="578">
        <v>428360</v>
      </c>
      <c r="G24" s="579"/>
    </row>
    <row r="25" spans="1:7" ht="20.100000000000001" customHeight="1">
      <c r="A25" s="672" t="s">
        <v>1248</v>
      </c>
      <c r="B25" s="1743" t="s">
        <v>144</v>
      </c>
      <c r="C25" s="1743" t="s">
        <v>283</v>
      </c>
      <c r="D25" s="629">
        <v>99281280</v>
      </c>
      <c r="E25" s="629">
        <v>13899200</v>
      </c>
      <c r="F25" s="630">
        <v>1389770</v>
      </c>
      <c r="G25" s="631"/>
    </row>
    <row r="26" spans="1:7" ht="20.100000000000001" customHeight="1">
      <c r="A26" s="672" t="s">
        <v>1300</v>
      </c>
      <c r="B26" s="1743" t="s">
        <v>144</v>
      </c>
      <c r="C26" s="1743" t="s">
        <v>283</v>
      </c>
      <c r="D26" s="629">
        <v>237344</v>
      </c>
      <c r="E26" s="629">
        <v>33220</v>
      </c>
      <c r="F26" s="630">
        <v>3320</v>
      </c>
      <c r="G26" s="631"/>
    </row>
    <row r="27" spans="1:7" ht="20.100000000000001" customHeight="1">
      <c r="A27" s="672" t="s">
        <v>1301</v>
      </c>
      <c r="B27" s="1743" t="s">
        <v>144</v>
      </c>
      <c r="C27" s="1743" t="s">
        <v>283</v>
      </c>
      <c r="D27" s="629">
        <v>77648054</v>
      </c>
      <c r="E27" s="629">
        <v>10870640</v>
      </c>
      <c r="F27" s="630">
        <v>1086970</v>
      </c>
      <c r="G27" s="631"/>
    </row>
    <row r="28" spans="1:7" ht="20.100000000000001" customHeight="1">
      <c r="A28" s="673" t="s">
        <v>1302</v>
      </c>
      <c r="B28" s="1743" t="s">
        <v>144</v>
      </c>
      <c r="C28" s="1743" t="s">
        <v>283</v>
      </c>
      <c r="D28" s="639">
        <v>8682720</v>
      </c>
      <c r="E28" s="639">
        <v>1215540</v>
      </c>
      <c r="F28" s="640">
        <v>121510</v>
      </c>
      <c r="G28" s="641"/>
    </row>
    <row r="29" spans="1:7" ht="20.100000000000001" customHeight="1">
      <c r="A29" s="673" t="s">
        <v>1303</v>
      </c>
      <c r="B29" s="1743" t="s">
        <v>144</v>
      </c>
      <c r="C29" s="1743" t="s">
        <v>283</v>
      </c>
      <c r="D29" s="639">
        <v>26785366</v>
      </c>
      <c r="E29" s="639">
        <v>3749890</v>
      </c>
      <c r="F29" s="640">
        <v>374930</v>
      </c>
      <c r="G29" s="641"/>
    </row>
    <row r="30" spans="1:7" ht="20.100000000000001" customHeight="1">
      <c r="A30" s="673" t="s">
        <v>1304</v>
      </c>
      <c r="B30" s="1743" t="s">
        <v>144</v>
      </c>
      <c r="C30" s="1743" t="s">
        <v>283</v>
      </c>
      <c r="D30" s="639">
        <v>8466725</v>
      </c>
      <c r="E30" s="639">
        <v>1185310</v>
      </c>
      <c r="F30" s="640">
        <v>118520</v>
      </c>
      <c r="G30" s="641"/>
    </row>
    <row r="31" spans="1:7" ht="20.100000000000001" customHeight="1">
      <c r="A31" s="673" t="s">
        <v>1344</v>
      </c>
      <c r="B31" s="1743" t="s">
        <v>144</v>
      </c>
      <c r="C31" s="1743" t="s">
        <v>283</v>
      </c>
      <c r="D31" s="639">
        <v>12814111</v>
      </c>
      <c r="E31" s="639">
        <v>1793970</v>
      </c>
      <c r="F31" s="640">
        <v>179390</v>
      </c>
      <c r="G31" s="641"/>
    </row>
    <row r="32" spans="1:7" ht="20.100000000000001" customHeight="1">
      <c r="A32" s="673" t="s">
        <v>1345</v>
      </c>
      <c r="B32" s="1743" t="s">
        <v>144</v>
      </c>
      <c r="C32" s="1743" t="s">
        <v>283</v>
      </c>
      <c r="D32" s="639">
        <v>7268564</v>
      </c>
      <c r="E32" s="639">
        <v>1017590</v>
      </c>
      <c r="F32" s="640">
        <v>101750</v>
      </c>
      <c r="G32" s="641"/>
    </row>
    <row r="33" spans="1:7" ht="20.100000000000001" customHeight="1">
      <c r="A33" s="672" t="s">
        <v>1346</v>
      </c>
      <c r="B33" s="1743" t="s">
        <v>144</v>
      </c>
      <c r="C33" s="1743" t="s">
        <v>283</v>
      </c>
      <c r="D33" s="629">
        <v>25751133</v>
      </c>
      <c r="E33" s="629">
        <v>3605090</v>
      </c>
      <c r="F33" s="630">
        <v>360450</v>
      </c>
      <c r="G33" s="631"/>
    </row>
    <row r="34" spans="1:7" ht="20.100000000000001" customHeight="1">
      <c r="A34" s="671" t="s">
        <v>1347</v>
      </c>
      <c r="B34" s="1743" t="s">
        <v>144</v>
      </c>
      <c r="C34" s="1743" t="s">
        <v>283</v>
      </c>
      <c r="D34" s="577">
        <v>24810717</v>
      </c>
      <c r="E34" s="577">
        <v>3473460</v>
      </c>
      <c r="F34" s="578">
        <v>347310</v>
      </c>
      <c r="G34" s="579"/>
    </row>
    <row r="35" spans="1:7" ht="20.100000000000001" customHeight="1">
      <c r="A35" s="922" t="s">
        <v>1349</v>
      </c>
      <c r="B35" s="1743" t="s">
        <v>144</v>
      </c>
      <c r="C35" s="1743" t="s">
        <v>283</v>
      </c>
      <c r="D35" s="923">
        <v>30787944</v>
      </c>
      <c r="E35" s="923">
        <v>4310260</v>
      </c>
      <c r="F35" s="924">
        <v>430990</v>
      </c>
      <c r="G35" s="925"/>
    </row>
    <row r="36" spans="1:7" ht="20.100000000000001" customHeight="1">
      <c r="A36" s="922" t="s">
        <v>1350</v>
      </c>
      <c r="B36" s="1743" t="s">
        <v>144</v>
      </c>
      <c r="C36" s="1743" t="s">
        <v>1352</v>
      </c>
      <c r="D36" s="923">
        <v>31606575</v>
      </c>
      <c r="E36" s="923">
        <v>4424920</v>
      </c>
      <c r="F36" s="924">
        <v>442490</v>
      </c>
      <c r="G36" s="925"/>
    </row>
    <row r="37" spans="1:7" ht="20.100000000000001" customHeight="1">
      <c r="A37" s="922" t="s">
        <v>1351</v>
      </c>
      <c r="B37" s="1743" t="s">
        <v>144</v>
      </c>
      <c r="C37" s="1743" t="s">
        <v>283</v>
      </c>
      <c r="D37" s="923">
        <v>24737190</v>
      </c>
      <c r="E37" s="923">
        <v>3463170</v>
      </c>
      <c r="F37" s="924">
        <v>346270</v>
      </c>
      <c r="G37" s="925"/>
    </row>
    <row r="38" spans="1:7" ht="20.100000000000001" customHeight="1">
      <c r="A38" s="922"/>
      <c r="B38" s="1743"/>
      <c r="C38" s="1743"/>
      <c r="D38" s="666"/>
      <c r="E38" s="666"/>
      <c r="F38" s="667"/>
      <c r="G38" s="668"/>
    </row>
    <row r="39" spans="1:7" ht="20.100000000000001" hidden="1" customHeight="1">
      <c r="A39" s="674"/>
      <c r="B39" s="1743"/>
      <c r="C39" s="1743"/>
      <c r="D39" s="666"/>
      <c r="E39" s="666"/>
      <c r="F39" s="667"/>
      <c r="G39" s="668"/>
    </row>
    <row r="40" spans="1:7" ht="20.100000000000001" hidden="1" customHeight="1">
      <c r="A40" s="1817"/>
      <c r="B40" s="1818"/>
      <c r="C40" s="1818"/>
      <c r="D40" s="1819"/>
      <c r="E40" s="1819"/>
      <c r="F40" s="1820"/>
      <c r="G40" s="1821"/>
    </row>
    <row r="41" spans="1:7" ht="20.100000000000001" hidden="1" customHeight="1">
      <c r="A41" s="1817"/>
      <c r="B41" s="1818"/>
      <c r="C41" s="1818"/>
      <c r="D41" s="1819"/>
      <c r="E41" s="1819"/>
      <c r="F41" s="1820"/>
      <c r="G41" s="1821"/>
    </row>
    <row r="42" spans="1:7" ht="20.100000000000001" hidden="1" customHeight="1">
      <c r="A42" s="1817"/>
      <c r="B42" s="1818"/>
      <c r="C42" s="1818"/>
      <c r="D42" s="1819"/>
      <c r="E42" s="1819"/>
      <c r="F42" s="1820"/>
      <c r="G42" s="1821"/>
    </row>
    <row r="43" spans="1:7" ht="20.100000000000001" hidden="1" customHeight="1">
      <c r="A43" s="1817"/>
      <c r="B43" s="1818"/>
      <c r="C43" s="1818"/>
      <c r="D43" s="1819"/>
      <c r="E43" s="1819"/>
      <c r="F43" s="1820"/>
      <c r="G43" s="1821"/>
    </row>
    <row r="44" spans="1:7" ht="20.100000000000001" hidden="1" customHeight="1">
      <c r="A44" s="1817"/>
      <c r="B44" s="1818"/>
      <c r="C44" s="1818"/>
      <c r="D44" s="1819"/>
      <c r="E44" s="1819"/>
      <c r="F44" s="1820"/>
      <c r="G44" s="1821"/>
    </row>
    <row r="45" spans="1:7" ht="20.100000000000001" hidden="1" customHeight="1">
      <c r="A45" s="1240"/>
      <c r="B45" s="259"/>
      <c r="C45" s="259"/>
      <c r="D45" s="1242"/>
      <c r="E45" s="1242"/>
      <c r="F45" s="1243"/>
      <c r="G45" s="1244"/>
    </row>
    <row r="46" spans="1:7" ht="20.100000000000001" hidden="1" customHeight="1">
      <c r="A46" s="1240"/>
      <c r="B46" s="259"/>
      <c r="C46" s="259"/>
      <c r="D46" s="1242"/>
      <c r="E46" s="1242"/>
      <c r="F46" s="1243"/>
      <c r="G46" s="1244"/>
    </row>
    <row r="47" spans="1:7" ht="20.100000000000001" hidden="1" customHeight="1">
      <c r="A47" s="1240"/>
      <c r="B47" s="259"/>
      <c r="C47" s="259"/>
      <c r="D47" s="1242"/>
      <c r="E47" s="1242"/>
      <c r="F47" s="1243"/>
      <c r="G47" s="1244"/>
    </row>
    <row r="48" spans="1:7" ht="20.100000000000001" hidden="1" customHeight="1">
      <c r="A48" s="1240"/>
      <c r="B48" s="259"/>
      <c r="C48" s="259"/>
      <c r="D48" s="1242"/>
      <c r="E48" s="1242"/>
      <c r="F48" s="1243"/>
      <c r="G48" s="1244"/>
    </row>
    <row r="49" spans="1:7" ht="20.100000000000001" hidden="1" customHeight="1">
      <c r="A49" s="1240"/>
      <c r="B49" s="259"/>
      <c r="C49" s="259"/>
      <c r="D49" s="1242"/>
      <c r="E49" s="1242"/>
      <c r="F49" s="1243"/>
      <c r="G49" s="1244"/>
    </row>
    <row r="50" spans="1:7" ht="20.100000000000001" hidden="1" customHeight="1">
      <c r="A50" s="1240"/>
      <c r="B50" s="259"/>
      <c r="C50" s="259"/>
      <c r="D50" s="1242"/>
      <c r="E50" s="1242"/>
      <c r="F50" s="1243"/>
      <c r="G50" s="1244"/>
    </row>
    <row r="51" spans="1:7" ht="20.100000000000001" hidden="1" customHeight="1">
      <c r="A51" s="1240"/>
      <c r="B51" s="1241"/>
      <c r="C51" s="1241"/>
      <c r="D51" s="1242"/>
      <c r="E51" s="1242"/>
      <c r="F51" s="1243"/>
      <c r="G51" s="1244"/>
    </row>
    <row r="52" spans="1:7" ht="20.100000000000001" hidden="1" customHeight="1">
      <c r="A52" s="673"/>
      <c r="B52" s="259"/>
      <c r="C52" s="259"/>
      <c r="D52" s="639"/>
      <c r="E52" s="639"/>
      <c r="F52" s="640"/>
      <c r="G52" s="1244"/>
    </row>
    <row r="53" spans="1:7" ht="20.100000000000001" hidden="1" customHeight="1">
      <c r="A53" s="1169"/>
      <c r="B53" s="1170"/>
      <c r="C53" s="1170"/>
      <c r="D53" s="1171"/>
      <c r="E53" s="1171"/>
      <c r="F53" s="1172"/>
      <c r="G53" s="1173"/>
    </row>
    <row r="54" spans="1:7" ht="20.100000000000001" hidden="1" customHeight="1">
      <c r="A54" s="674"/>
      <c r="B54" s="576"/>
      <c r="C54" s="576"/>
      <c r="D54" s="666"/>
      <c r="E54" s="666"/>
      <c r="F54" s="667"/>
      <c r="G54" s="668"/>
    </row>
    <row r="55" spans="1:7" ht="20.100000000000001" customHeight="1">
      <c r="A55" s="669" t="s">
        <v>255</v>
      </c>
      <c r="B55" s="255"/>
      <c r="C55" s="249"/>
      <c r="D55" s="255">
        <f>SUM(D5:D54)</f>
        <v>1207320561</v>
      </c>
      <c r="E55" s="255">
        <f>SUM(E5:E54)</f>
        <v>192028500</v>
      </c>
      <c r="F55" s="255">
        <f>SUM(F5:F54)</f>
        <v>19201250</v>
      </c>
      <c r="G55" s="149"/>
    </row>
    <row r="56" spans="1:7" ht="20.100000000000001" customHeight="1">
      <c r="A56" s="663"/>
    </row>
    <row r="57" spans="1:7" ht="20.100000000000001" customHeight="1">
      <c r="A57" s="675"/>
      <c r="B57" s="359" t="s">
        <v>254</v>
      </c>
      <c r="C57" s="360" t="s">
        <v>256</v>
      </c>
      <c r="D57" s="2087">
        <v>0</v>
      </c>
      <c r="E57" s="2088"/>
      <c r="F57" s="2089"/>
      <c r="G57" s="361"/>
    </row>
    <row r="58" spans="1:7" ht="20.100000000000001" customHeight="1">
      <c r="A58" s="1774" t="s">
        <v>1348</v>
      </c>
      <c r="B58" s="1773" t="s">
        <v>1121</v>
      </c>
      <c r="C58" s="1771"/>
      <c r="D58" s="2093">
        <v>626160</v>
      </c>
      <c r="E58" s="2094"/>
      <c r="F58" s="2095"/>
      <c r="G58" s="1772" t="s">
        <v>1110</v>
      </c>
    </row>
    <row r="59" spans="1:7" ht="20.100000000000001" customHeight="1" thickBot="1">
      <c r="A59" s="366" t="s">
        <v>255</v>
      </c>
      <c r="B59" s="367"/>
      <c r="C59" s="368"/>
      <c r="D59" s="367"/>
      <c r="E59" s="367">
        <f>E57</f>
        <v>0</v>
      </c>
      <c r="F59" s="367"/>
      <c r="G59" s="369"/>
    </row>
    <row r="60" spans="1:7" ht="20.100000000000001" customHeight="1" thickTop="1">
      <c r="A60" s="362" t="s">
        <v>257</v>
      </c>
      <c r="B60" s="363"/>
      <c r="C60" s="364"/>
      <c r="D60" s="2090">
        <f>E55+F55+D57+D58</f>
        <v>211855910</v>
      </c>
      <c r="E60" s="2091"/>
      <c r="F60" s="2092"/>
      <c r="G60" s="365"/>
    </row>
    <row r="61" spans="1:7" ht="20.100000000000001" customHeight="1">
      <c r="A61" s="2" t="str">
        <f>매출채권!A26</f>
        <v>김천에너지서비스㈜</v>
      </c>
    </row>
  </sheetData>
  <autoFilter ref="A4:G4"/>
  <mergeCells count="3">
    <mergeCell ref="D57:F57"/>
    <mergeCell ref="D60:F60"/>
    <mergeCell ref="D58:F58"/>
  </mergeCells>
  <phoneticPr fontId="2" type="noConversion"/>
  <printOptions horizontalCentered="1"/>
  <pageMargins left="0.39370078740157483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showGridLines="0" zoomScaleNormal="100" workbookViewId="0">
      <pane xSplit="2" ySplit="5" topLeftCell="C6" activePane="bottomRight" state="frozen"/>
      <selection activeCell="B31" sqref="B31"/>
      <selection pane="topRight" activeCell="B31" sqref="B31"/>
      <selection pane="bottomLeft" activeCell="B31" sqref="B31"/>
      <selection pane="bottomRight"/>
    </sheetView>
  </sheetViews>
  <sheetFormatPr defaultColWidth="12.625" defaultRowHeight="20.100000000000001" customHeight="1"/>
  <cols>
    <col min="1" max="1" width="16.75" style="29" customWidth="1"/>
    <col min="2" max="2" width="22.875" style="29" bestFit="1" customWidth="1"/>
    <col min="3" max="4" width="13.875" style="29" customWidth="1"/>
    <col min="5" max="6" width="12.625" style="29" customWidth="1"/>
    <col min="7" max="7" width="16.625" style="29" customWidth="1"/>
    <col min="8" max="8" width="18.625" style="29" customWidth="1"/>
    <col min="9" max="9" width="1.375" style="29" customWidth="1"/>
    <col min="10" max="10" width="12.625" style="29" customWidth="1"/>
    <col min="11" max="11" width="3.25" style="29" customWidth="1"/>
    <col min="12" max="14" width="12.625" style="29"/>
    <col min="15" max="15" width="4.25" style="29" customWidth="1"/>
    <col min="16" max="254" width="12.625" style="29"/>
    <col min="255" max="255" width="10.625" style="29" customWidth="1"/>
    <col min="256" max="256" width="17" style="29" customWidth="1"/>
    <col min="257" max="258" width="13.875" style="29" customWidth="1"/>
    <col min="259" max="260" width="12.625" style="29" customWidth="1"/>
    <col min="261" max="261" width="16.625" style="29" customWidth="1"/>
    <col min="262" max="262" width="19.25" style="29" customWidth="1"/>
    <col min="263" max="263" width="14.125" style="29" customWidth="1"/>
    <col min="264" max="510" width="12.625" style="29"/>
    <col min="511" max="511" width="10.625" style="29" customWidth="1"/>
    <col min="512" max="512" width="17" style="29" customWidth="1"/>
    <col min="513" max="514" width="13.875" style="29" customWidth="1"/>
    <col min="515" max="516" width="12.625" style="29" customWidth="1"/>
    <col min="517" max="517" width="16.625" style="29" customWidth="1"/>
    <col min="518" max="518" width="19.25" style="29" customWidth="1"/>
    <col min="519" max="519" width="14.125" style="29" customWidth="1"/>
    <col min="520" max="766" width="12.625" style="29"/>
    <col min="767" max="767" width="10.625" style="29" customWidth="1"/>
    <col min="768" max="768" width="17" style="29" customWidth="1"/>
    <col min="769" max="770" width="13.875" style="29" customWidth="1"/>
    <col min="771" max="772" width="12.625" style="29" customWidth="1"/>
    <col min="773" max="773" width="16.625" style="29" customWidth="1"/>
    <col min="774" max="774" width="19.25" style="29" customWidth="1"/>
    <col min="775" max="775" width="14.125" style="29" customWidth="1"/>
    <col min="776" max="1022" width="12.625" style="29"/>
    <col min="1023" max="1023" width="10.625" style="29" customWidth="1"/>
    <col min="1024" max="1024" width="17" style="29" customWidth="1"/>
    <col min="1025" max="1026" width="13.875" style="29" customWidth="1"/>
    <col min="1027" max="1028" width="12.625" style="29" customWidth="1"/>
    <col min="1029" max="1029" width="16.625" style="29" customWidth="1"/>
    <col min="1030" max="1030" width="19.25" style="29" customWidth="1"/>
    <col min="1031" max="1031" width="14.125" style="29" customWidth="1"/>
    <col min="1032" max="1278" width="12.625" style="29"/>
    <col min="1279" max="1279" width="10.625" style="29" customWidth="1"/>
    <col min="1280" max="1280" width="17" style="29" customWidth="1"/>
    <col min="1281" max="1282" width="13.875" style="29" customWidth="1"/>
    <col min="1283" max="1284" width="12.625" style="29" customWidth="1"/>
    <col min="1285" max="1285" width="16.625" style="29" customWidth="1"/>
    <col min="1286" max="1286" width="19.25" style="29" customWidth="1"/>
    <col min="1287" max="1287" width="14.125" style="29" customWidth="1"/>
    <col min="1288" max="1534" width="12.625" style="29"/>
    <col min="1535" max="1535" width="10.625" style="29" customWidth="1"/>
    <col min="1536" max="1536" width="17" style="29" customWidth="1"/>
    <col min="1537" max="1538" width="13.875" style="29" customWidth="1"/>
    <col min="1539" max="1540" width="12.625" style="29" customWidth="1"/>
    <col min="1541" max="1541" width="16.625" style="29" customWidth="1"/>
    <col min="1542" max="1542" width="19.25" style="29" customWidth="1"/>
    <col min="1543" max="1543" width="14.125" style="29" customWidth="1"/>
    <col min="1544" max="1790" width="12.625" style="29"/>
    <col min="1791" max="1791" width="10.625" style="29" customWidth="1"/>
    <col min="1792" max="1792" width="17" style="29" customWidth="1"/>
    <col min="1793" max="1794" width="13.875" style="29" customWidth="1"/>
    <col min="1795" max="1796" width="12.625" style="29" customWidth="1"/>
    <col min="1797" max="1797" width="16.625" style="29" customWidth="1"/>
    <col min="1798" max="1798" width="19.25" style="29" customWidth="1"/>
    <col min="1799" max="1799" width="14.125" style="29" customWidth="1"/>
    <col min="1800" max="2046" width="12.625" style="29"/>
    <col min="2047" max="2047" width="10.625" style="29" customWidth="1"/>
    <col min="2048" max="2048" width="17" style="29" customWidth="1"/>
    <col min="2049" max="2050" width="13.875" style="29" customWidth="1"/>
    <col min="2051" max="2052" width="12.625" style="29" customWidth="1"/>
    <col min="2053" max="2053" width="16.625" style="29" customWidth="1"/>
    <col min="2054" max="2054" width="19.25" style="29" customWidth="1"/>
    <col min="2055" max="2055" width="14.125" style="29" customWidth="1"/>
    <col min="2056" max="2302" width="12.625" style="29"/>
    <col min="2303" max="2303" width="10.625" style="29" customWidth="1"/>
    <col min="2304" max="2304" width="17" style="29" customWidth="1"/>
    <col min="2305" max="2306" width="13.875" style="29" customWidth="1"/>
    <col min="2307" max="2308" width="12.625" style="29" customWidth="1"/>
    <col min="2309" max="2309" width="16.625" style="29" customWidth="1"/>
    <col min="2310" max="2310" width="19.25" style="29" customWidth="1"/>
    <col min="2311" max="2311" width="14.125" style="29" customWidth="1"/>
    <col min="2312" max="2558" width="12.625" style="29"/>
    <col min="2559" max="2559" width="10.625" style="29" customWidth="1"/>
    <col min="2560" max="2560" width="17" style="29" customWidth="1"/>
    <col min="2561" max="2562" width="13.875" style="29" customWidth="1"/>
    <col min="2563" max="2564" width="12.625" style="29" customWidth="1"/>
    <col min="2565" max="2565" width="16.625" style="29" customWidth="1"/>
    <col min="2566" max="2566" width="19.25" style="29" customWidth="1"/>
    <col min="2567" max="2567" width="14.125" style="29" customWidth="1"/>
    <col min="2568" max="2814" width="12.625" style="29"/>
    <col min="2815" max="2815" width="10.625" style="29" customWidth="1"/>
    <col min="2816" max="2816" width="17" style="29" customWidth="1"/>
    <col min="2817" max="2818" width="13.875" style="29" customWidth="1"/>
    <col min="2819" max="2820" width="12.625" style="29" customWidth="1"/>
    <col min="2821" max="2821" width="16.625" style="29" customWidth="1"/>
    <col min="2822" max="2822" width="19.25" style="29" customWidth="1"/>
    <col min="2823" max="2823" width="14.125" style="29" customWidth="1"/>
    <col min="2824" max="3070" width="12.625" style="29"/>
    <col min="3071" max="3071" width="10.625" style="29" customWidth="1"/>
    <col min="3072" max="3072" width="17" style="29" customWidth="1"/>
    <col min="3073" max="3074" width="13.875" style="29" customWidth="1"/>
    <col min="3075" max="3076" width="12.625" style="29" customWidth="1"/>
    <col min="3077" max="3077" width="16.625" style="29" customWidth="1"/>
    <col min="3078" max="3078" width="19.25" style="29" customWidth="1"/>
    <col min="3079" max="3079" width="14.125" style="29" customWidth="1"/>
    <col min="3080" max="3326" width="12.625" style="29"/>
    <col min="3327" max="3327" width="10.625" style="29" customWidth="1"/>
    <col min="3328" max="3328" width="17" style="29" customWidth="1"/>
    <col min="3329" max="3330" width="13.875" style="29" customWidth="1"/>
    <col min="3331" max="3332" width="12.625" style="29" customWidth="1"/>
    <col min="3333" max="3333" width="16.625" style="29" customWidth="1"/>
    <col min="3334" max="3334" width="19.25" style="29" customWidth="1"/>
    <col min="3335" max="3335" width="14.125" style="29" customWidth="1"/>
    <col min="3336" max="3582" width="12.625" style="29"/>
    <col min="3583" max="3583" width="10.625" style="29" customWidth="1"/>
    <col min="3584" max="3584" width="17" style="29" customWidth="1"/>
    <col min="3585" max="3586" width="13.875" style="29" customWidth="1"/>
    <col min="3587" max="3588" width="12.625" style="29" customWidth="1"/>
    <col min="3589" max="3589" width="16.625" style="29" customWidth="1"/>
    <col min="3590" max="3590" width="19.25" style="29" customWidth="1"/>
    <col min="3591" max="3591" width="14.125" style="29" customWidth="1"/>
    <col min="3592" max="3838" width="12.625" style="29"/>
    <col min="3839" max="3839" width="10.625" style="29" customWidth="1"/>
    <col min="3840" max="3840" width="17" style="29" customWidth="1"/>
    <col min="3841" max="3842" width="13.875" style="29" customWidth="1"/>
    <col min="3843" max="3844" width="12.625" style="29" customWidth="1"/>
    <col min="3845" max="3845" width="16.625" style="29" customWidth="1"/>
    <col min="3846" max="3846" width="19.25" style="29" customWidth="1"/>
    <col min="3847" max="3847" width="14.125" style="29" customWidth="1"/>
    <col min="3848" max="4094" width="12.625" style="29"/>
    <col min="4095" max="4095" width="10.625" style="29" customWidth="1"/>
    <col min="4096" max="4096" width="17" style="29" customWidth="1"/>
    <col min="4097" max="4098" width="13.875" style="29" customWidth="1"/>
    <col min="4099" max="4100" width="12.625" style="29" customWidth="1"/>
    <col min="4101" max="4101" width="16.625" style="29" customWidth="1"/>
    <col min="4102" max="4102" width="19.25" style="29" customWidth="1"/>
    <col min="4103" max="4103" width="14.125" style="29" customWidth="1"/>
    <col min="4104" max="4350" width="12.625" style="29"/>
    <col min="4351" max="4351" width="10.625" style="29" customWidth="1"/>
    <col min="4352" max="4352" width="17" style="29" customWidth="1"/>
    <col min="4353" max="4354" width="13.875" style="29" customWidth="1"/>
    <col min="4355" max="4356" width="12.625" style="29" customWidth="1"/>
    <col min="4357" max="4357" width="16.625" style="29" customWidth="1"/>
    <col min="4358" max="4358" width="19.25" style="29" customWidth="1"/>
    <col min="4359" max="4359" width="14.125" style="29" customWidth="1"/>
    <col min="4360" max="4606" width="12.625" style="29"/>
    <col min="4607" max="4607" width="10.625" style="29" customWidth="1"/>
    <col min="4608" max="4608" width="17" style="29" customWidth="1"/>
    <col min="4609" max="4610" width="13.875" style="29" customWidth="1"/>
    <col min="4611" max="4612" width="12.625" style="29" customWidth="1"/>
    <col min="4613" max="4613" width="16.625" style="29" customWidth="1"/>
    <col min="4614" max="4614" width="19.25" style="29" customWidth="1"/>
    <col min="4615" max="4615" width="14.125" style="29" customWidth="1"/>
    <col min="4616" max="4862" width="12.625" style="29"/>
    <col min="4863" max="4863" width="10.625" style="29" customWidth="1"/>
    <col min="4864" max="4864" width="17" style="29" customWidth="1"/>
    <col min="4865" max="4866" width="13.875" style="29" customWidth="1"/>
    <col min="4867" max="4868" width="12.625" style="29" customWidth="1"/>
    <col min="4869" max="4869" width="16.625" style="29" customWidth="1"/>
    <col min="4870" max="4870" width="19.25" style="29" customWidth="1"/>
    <col min="4871" max="4871" width="14.125" style="29" customWidth="1"/>
    <col min="4872" max="5118" width="12.625" style="29"/>
    <col min="5119" max="5119" width="10.625" style="29" customWidth="1"/>
    <col min="5120" max="5120" width="17" style="29" customWidth="1"/>
    <col min="5121" max="5122" width="13.875" style="29" customWidth="1"/>
    <col min="5123" max="5124" width="12.625" style="29" customWidth="1"/>
    <col min="5125" max="5125" width="16.625" style="29" customWidth="1"/>
    <col min="5126" max="5126" width="19.25" style="29" customWidth="1"/>
    <col min="5127" max="5127" width="14.125" style="29" customWidth="1"/>
    <col min="5128" max="5374" width="12.625" style="29"/>
    <col min="5375" max="5375" width="10.625" style="29" customWidth="1"/>
    <col min="5376" max="5376" width="17" style="29" customWidth="1"/>
    <col min="5377" max="5378" width="13.875" style="29" customWidth="1"/>
    <col min="5379" max="5380" width="12.625" style="29" customWidth="1"/>
    <col min="5381" max="5381" width="16.625" style="29" customWidth="1"/>
    <col min="5382" max="5382" width="19.25" style="29" customWidth="1"/>
    <col min="5383" max="5383" width="14.125" style="29" customWidth="1"/>
    <col min="5384" max="5630" width="12.625" style="29"/>
    <col min="5631" max="5631" width="10.625" style="29" customWidth="1"/>
    <col min="5632" max="5632" width="17" style="29" customWidth="1"/>
    <col min="5633" max="5634" width="13.875" style="29" customWidth="1"/>
    <col min="5635" max="5636" width="12.625" style="29" customWidth="1"/>
    <col min="5637" max="5637" width="16.625" style="29" customWidth="1"/>
    <col min="5638" max="5638" width="19.25" style="29" customWidth="1"/>
    <col min="5639" max="5639" width="14.125" style="29" customWidth="1"/>
    <col min="5640" max="5886" width="12.625" style="29"/>
    <col min="5887" max="5887" width="10.625" style="29" customWidth="1"/>
    <col min="5888" max="5888" width="17" style="29" customWidth="1"/>
    <col min="5889" max="5890" width="13.875" style="29" customWidth="1"/>
    <col min="5891" max="5892" width="12.625" style="29" customWidth="1"/>
    <col min="5893" max="5893" width="16.625" style="29" customWidth="1"/>
    <col min="5894" max="5894" width="19.25" style="29" customWidth="1"/>
    <col min="5895" max="5895" width="14.125" style="29" customWidth="1"/>
    <col min="5896" max="6142" width="12.625" style="29"/>
    <col min="6143" max="6143" width="10.625" style="29" customWidth="1"/>
    <col min="6144" max="6144" width="17" style="29" customWidth="1"/>
    <col min="6145" max="6146" width="13.875" style="29" customWidth="1"/>
    <col min="6147" max="6148" width="12.625" style="29" customWidth="1"/>
    <col min="6149" max="6149" width="16.625" style="29" customWidth="1"/>
    <col min="6150" max="6150" width="19.25" style="29" customWidth="1"/>
    <col min="6151" max="6151" width="14.125" style="29" customWidth="1"/>
    <col min="6152" max="6398" width="12.625" style="29"/>
    <col min="6399" max="6399" width="10.625" style="29" customWidth="1"/>
    <col min="6400" max="6400" width="17" style="29" customWidth="1"/>
    <col min="6401" max="6402" width="13.875" style="29" customWidth="1"/>
    <col min="6403" max="6404" width="12.625" style="29" customWidth="1"/>
    <col min="6405" max="6405" width="16.625" style="29" customWidth="1"/>
    <col min="6406" max="6406" width="19.25" style="29" customWidth="1"/>
    <col min="6407" max="6407" width="14.125" style="29" customWidth="1"/>
    <col min="6408" max="6654" width="12.625" style="29"/>
    <col min="6655" max="6655" width="10.625" style="29" customWidth="1"/>
    <col min="6656" max="6656" width="17" style="29" customWidth="1"/>
    <col min="6657" max="6658" width="13.875" style="29" customWidth="1"/>
    <col min="6659" max="6660" width="12.625" style="29" customWidth="1"/>
    <col min="6661" max="6661" width="16.625" style="29" customWidth="1"/>
    <col min="6662" max="6662" width="19.25" style="29" customWidth="1"/>
    <col min="6663" max="6663" width="14.125" style="29" customWidth="1"/>
    <col min="6664" max="6910" width="12.625" style="29"/>
    <col min="6911" max="6911" width="10.625" style="29" customWidth="1"/>
    <col min="6912" max="6912" width="17" style="29" customWidth="1"/>
    <col min="6913" max="6914" width="13.875" style="29" customWidth="1"/>
    <col min="6915" max="6916" width="12.625" style="29" customWidth="1"/>
    <col min="6917" max="6917" width="16.625" style="29" customWidth="1"/>
    <col min="6918" max="6918" width="19.25" style="29" customWidth="1"/>
    <col min="6919" max="6919" width="14.125" style="29" customWidth="1"/>
    <col min="6920" max="7166" width="12.625" style="29"/>
    <col min="7167" max="7167" width="10.625" style="29" customWidth="1"/>
    <col min="7168" max="7168" width="17" style="29" customWidth="1"/>
    <col min="7169" max="7170" width="13.875" style="29" customWidth="1"/>
    <col min="7171" max="7172" width="12.625" style="29" customWidth="1"/>
    <col min="7173" max="7173" width="16.625" style="29" customWidth="1"/>
    <col min="7174" max="7174" width="19.25" style="29" customWidth="1"/>
    <col min="7175" max="7175" width="14.125" style="29" customWidth="1"/>
    <col min="7176" max="7422" width="12.625" style="29"/>
    <col min="7423" max="7423" width="10.625" style="29" customWidth="1"/>
    <col min="7424" max="7424" width="17" style="29" customWidth="1"/>
    <col min="7425" max="7426" width="13.875" style="29" customWidth="1"/>
    <col min="7427" max="7428" width="12.625" style="29" customWidth="1"/>
    <col min="7429" max="7429" width="16.625" style="29" customWidth="1"/>
    <col min="7430" max="7430" width="19.25" style="29" customWidth="1"/>
    <col min="7431" max="7431" width="14.125" style="29" customWidth="1"/>
    <col min="7432" max="7678" width="12.625" style="29"/>
    <col min="7679" max="7679" width="10.625" style="29" customWidth="1"/>
    <col min="7680" max="7680" width="17" style="29" customWidth="1"/>
    <col min="7681" max="7682" width="13.875" style="29" customWidth="1"/>
    <col min="7683" max="7684" width="12.625" style="29" customWidth="1"/>
    <col min="7685" max="7685" width="16.625" style="29" customWidth="1"/>
    <col min="7686" max="7686" width="19.25" style="29" customWidth="1"/>
    <col min="7687" max="7687" width="14.125" style="29" customWidth="1"/>
    <col min="7688" max="7934" width="12.625" style="29"/>
    <col min="7935" max="7935" width="10.625" style="29" customWidth="1"/>
    <col min="7936" max="7936" width="17" style="29" customWidth="1"/>
    <col min="7937" max="7938" width="13.875" style="29" customWidth="1"/>
    <col min="7939" max="7940" width="12.625" style="29" customWidth="1"/>
    <col min="7941" max="7941" width="16.625" style="29" customWidth="1"/>
    <col min="7942" max="7942" width="19.25" style="29" customWidth="1"/>
    <col min="7943" max="7943" width="14.125" style="29" customWidth="1"/>
    <col min="7944" max="8190" width="12.625" style="29"/>
    <col min="8191" max="8191" width="10.625" style="29" customWidth="1"/>
    <col min="8192" max="8192" width="17" style="29" customWidth="1"/>
    <col min="8193" max="8194" width="13.875" style="29" customWidth="1"/>
    <col min="8195" max="8196" width="12.625" style="29" customWidth="1"/>
    <col min="8197" max="8197" width="16.625" style="29" customWidth="1"/>
    <col min="8198" max="8198" width="19.25" style="29" customWidth="1"/>
    <col min="8199" max="8199" width="14.125" style="29" customWidth="1"/>
    <col min="8200" max="8446" width="12.625" style="29"/>
    <col min="8447" max="8447" width="10.625" style="29" customWidth="1"/>
    <col min="8448" max="8448" width="17" style="29" customWidth="1"/>
    <col min="8449" max="8450" width="13.875" style="29" customWidth="1"/>
    <col min="8451" max="8452" width="12.625" style="29" customWidth="1"/>
    <col min="8453" max="8453" width="16.625" style="29" customWidth="1"/>
    <col min="8454" max="8454" width="19.25" style="29" customWidth="1"/>
    <col min="8455" max="8455" width="14.125" style="29" customWidth="1"/>
    <col min="8456" max="8702" width="12.625" style="29"/>
    <col min="8703" max="8703" width="10.625" style="29" customWidth="1"/>
    <col min="8704" max="8704" width="17" style="29" customWidth="1"/>
    <col min="8705" max="8706" width="13.875" style="29" customWidth="1"/>
    <col min="8707" max="8708" width="12.625" style="29" customWidth="1"/>
    <col min="8709" max="8709" width="16.625" style="29" customWidth="1"/>
    <col min="8710" max="8710" width="19.25" style="29" customWidth="1"/>
    <col min="8711" max="8711" width="14.125" style="29" customWidth="1"/>
    <col min="8712" max="8958" width="12.625" style="29"/>
    <col min="8959" max="8959" width="10.625" style="29" customWidth="1"/>
    <col min="8960" max="8960" width="17" style="29" customWidth="1"/>
    <col min="8961" max="8962" width="13.875" style="29" customWidth="1"/>
    <col min="8963" max="8964" width="12.625" style="29" customWidth="1"/>
    <col min="8965" max="8965" width="16.625" style="29" customWidth="1"/>
    <col min="8966" max="8966" width="19.25" style="29" customWidth="1"/>
    <col min="8967" max="8967" width="14.125" style="29" customWidth="1"/>
    <col min="8968" max="9214" width="12.625" style="29"/>
    <col min="9215" max="9215" width="10.625" style="29" customWidth="1"/>
    <col min="9216" max="9216" width="17" style="29" customWidth="1"/>
    <col min="9217" max="9218" width="13.875" style="29" customWidth="1"/>
    <col min="9219" max="9220" width="12.625" style="29" customWidth="1"/>
    <col min="9221" max="9221" width="16.625" style="29" customWidth="1"/>
    <col min="9222" max="9222" width="19.25" style="29" customWidth="1"/>
    <col min="9223" max="9223" width="14.125" style="29" customWidth="1"/>
    <col min="9224" max="9470" width="12.625" style="29"/>
    <col min="9471" max="9471" width="10.625" style="29" customWidth="1"/>
    <col min="9472" max="9472" width="17" style="29" customWidth="1"/>
    <col min="9473" max="9474" width="13.875" style="29" customWidth="1"/>
    <col min="9475" max="9476" width="12.625" style="29" customWidth="1"/>
    <col min="9477" max="9477" width="16.625" style="29" customWidth="1"/>
    <col min="9478" max="9478" width="19.25" style="29" customWidth="1"/>
    <col min="9479" max="9479" width="14.125" style="29" customWidth="1"/>
    <col min="9480" max="9726" width="12.625" style="29"/>
    <col min="9727" max="9727" width="10.625" style="29" customWidth="1"/>
    <col min="9728" max="9728" width="17" style="29" customWidth="1"/>
    <col min="9729" max="9730" width="13.875" style="29" customWidth="1"/>
    <col min="9731" max="9732" width="12.625" style="29" customWidth="1"/>
    <col min="9733" max="9733" width="16.625" style="29" customWidth="1"/>
    <col min="9734" max="9734" width="19.25" style="29" customWidth="1"/>
    <col min="9735" max="9735" width="14.125" style="29" customWidth="1"/>
    <col min="9736" max="9982" width="12.625" style="29"/>
    <col min="9983" max="9983" width="10.625" style="29" customWidth="1"/>
    <col min="9984" max="9984" width="17" style="29" customWidth="1"/>
    <col min="9985" max="9986" width="13.875" style="29" customWidth="1"/>
    <col min="9987" max="9988" width="12.625" style="29" customWidth="1"/>
    <col min="9989" max="9989" width="16.625" style="29" customWidth="1"/>
    <col min="9990" max="9990" width="19.25" style="29" customWidth="1"/>
    <col min="9991" max="9991" width="14.125" style="29" customWidth="1"/>
    <col min="9992" max="10238" width="12.625" style="29"/>
    <col min="10239" max="10239" width="10.625" style="29" customWidth="1"/>
    <col min="10240" max="10240" width="17" style="29" customWidth="1"/>
    <col min="10241" max="10242" width="13.875" style="29" customWidth="1"/>
    <col min="10243" max="10244" width="12.625" style="29" customWidth="1"/>
    <col min="10245" max="10245" width="16.625" style="29" customWidth="1"/>
    <col min="10246" max="10246" width="19.25" style="29" customWidth="1"/>
    <col min="10247" max="10247" width="14.125" style="29" customWidth="1"/>
    <col min="10248" max="10494" width="12.625" style="29"/>
    <col min="10495" max="10495" width="10.625" style="29" customWidth="1"/>
    <col min="10496" max="10496" width="17" style="29" customWidth="1"/>
    <col min="10497" max="10498" width="13.875" style="29" customWidth="1"/>
    <col min="10499" max="10500" width="12.625" style="29" customWidth="1"/>
    <col min="10501" max="10501" width="16.625" style="29" customWidth="1"/>
    <col min="10502" max="10502" width="19.25" style="29" customWidth="1"/>
    <col min="10503" max="10503" width="14.125" style="29" customWidth="1"/>
    <col min="10504" max="10750" width="12.625" style="29"/>
    <col min="10751" max="10751" width="10.625" style="29" customWidth="1"/>
    <col min="10752" max="10752" width="17" style="29" customWidth="1"/>
    <col min="10753" max="10754" width="13.875" style="29" customWidth="1"/>
    <col min="10755" max="10756" width="12.625" style="29" customWidth="1"/>
    <col min="10757" max="10757" width="16.625" style="29" customWidth="1"/>
    <col min="10758" max="10758" width="19.25" style="29" customWidth="1"/>
    <col min="10759" max="10759" width="14.125" style="29" customWidth="1"/>
    <col min="10760" max="11006" width="12.625" style="29"/>
    <col min="11007" max="11007" width="10.625" style="29" customWidth="1"/>
    <col min="11008" max="11008" width="17" style="29" customWidth="1"/>
    <col min="11009" max="11010" width="13.875" style="29" customWidth="1"/>
    <col min="11011" max="11012" width="12.625" style="29" customWidth="1"/>
    <col min="11013" max="11013" width="16.625" style="29" customWidth="1"/>
    <col min="11014" max="11014" width="19.25" style="29" customWidth="1"/>
    <col min="11015" max="11015" width="14.125" style="29" customWidth="1"/>
    <col min="11016" max="11262" width="12.625" style="29"/>
    <col min="11263" max="11263" width="10.625" style="29" customWidth="1"/>
    <col min="11264" max="11264" width="17" style="29" customWidth="1"/>
    <col min="11265" max="11266" width="13.875" style="29" customWidth="1"/>
    <col min="11267" max="11268" width="12.625" style="29" customWidth="1"/>
    <col min="11269" max="11269" width="16.625" style="29" customWidth="1"/>
    <col min="11270" max="11270" width="19.25" style="29" customWidth="1"/>
    <col min="11271" max="11271" width="14.125" style="29" customWidth="1"/>
    <col min="11272" max="11518" width="12.625" style="29"/>
    <col min="11519" max="11519" width="10.625" style="29" customWidth="1"/>
    <col min="11520" max="11520" width="17" style="29" customWidth="1"/>
    <col min="11521" max="11522" width="13.875" style="29" customWidth="1"/>
    <col min="11523" max="11524" width="12.625" style="29" customWidth="1"/>
    <col min="11525" max="11525" width="16.625" style="29" customWidth="1"/>
    <col min="11526" max="11526" width="19.25" style="29" customWidth="1"/>
    <col min="11527" max="11527" width="14.125" style="29" customWidth="1"/>
    <col min="11528" max="11774" width="12.625" style="29"/>
    <col min="11775" max="11775" width="10.625" style="29" customWidth="1"/>
    <col min="11776" max="11776" width="17" style="29" customWidth="1"/>
    <col min="11777" max="11778" width="13.875" style="29" customWidth="1"/>
    <col min="11779" max="11780" width="12.625" style="29" customWidth="1"/>
    <col min="11781" max="11781" width="16.625" style="29" customWidth="1"/>
    <col min="11782" max="11782" width="19.25" style="29" customWidth="1"/>
    <col min="11783" max="11783" width="14.125" style="29" customWidth="1"/>
    <col min="11784" max="12030" width="12.625" style="29"/>
    <col min="12031" max="12031" width="10.625" style="29" customWidth="1"/>
    <col min="12032" max="12032" width="17" style="29" customWidth="1"/>
    <col min="12033" max="12034" width="13.875" style="29" customWidth="1"/>
    <col min="12035" max="12036" width="12.625" style="29" customWidth="1"/>
    <col min="12037" max="12037" width="16.625" style="29" customWidth="1"/>
    <col min="12038" max="12038" width="19.25" style="29" customWidth="1"/>
    <col min="12039" max="12039" width="14.125" style="29" customWidth="1"/>
    <col min="12040" max="12286" width="12.625" style="29"/>
    <col min="12287" max="12287" width="10.625" style="29" customWidth="1"/>
    <col min="12288" max="12288" width="17" style="29" customWidth="1"/>
    <col min="12289" max="12290" width="13.875" style="29" customWidth="1"/>
    <col min="12291" max="12292" width="12.625" style="29" customWidth="1"/>
    <col min="12293" max="12293" width="16.625" style="29" customWidth="1"/>
    <col min="12294" max="12294" width="19.25" style="29" customWidth="1"/>
    <col min="12295" max="12295" width="14.125" style="29" customWidth="1"/>
    <col min="12296" max="12542" width="12.625" style="29"/>
    <col min="12543" max="12543" width="10.625" style="29" customWidth="1"/>
    <col min="12544" max="12544" width="17" style="29" customWidth="1"/>
    <col min="12545" max="12546" width="13.875" style="29" customWidth="1"/>
    <col min="12547" max="12548" width="12.625" style="29" customWidth="1"/>
    <col min="12549" max="12549" width="16.625" style="29" customWidth="1"/>
    <col min="12550" max="12550" width="19.25" style="29" customWidth="1"/>
    <col min="12551" max="12551" width="14.125" style="29" customWidth="1"/>
    <col min="12552" max="12798" width="12.625" style="29"/>
    <col min="12799" max="12799" width="10.625" style="29" customWidth="1"/>
    <col min="12800" max="12800" width="17" style="29" customWidth="1"/>
    <col min="12801" max="12802" width="13.875" style="29" customWidth="1"/>
    <col min="12803" max="12804" width="12.625" style="29" customWidth="1"/>
    <col min="12805" max="12805" width="16.625" style="29" customWidth="1"/>
    <col min="12806" max="12806" width="19.25" style="29" customWidth="1"/>
    <col min="12807" max="12807" width="14.125" style="29" customWidth="1"/>
    <col min="12808" max="13054" width="12.625" style="29"/>
    <col min="13055" max="13055" width="10.625" style="29" customWidth="1"/>
    <col min="13056" max="13056" width="17" style="29" customWidth="1"/>
    <col min="13057" max="13058" width="13.875" style="29" customWidth="1"/>
    <col min="13059" max="13060" width="12.625" style="29" customWidth="1"/>
    <col min="13061" max="13061" width="16.625" style="29" customWidth="1"/>
    <col min="13062" max="13062" width="19.25" style="29" customWidth="1"/>
    <col min="13063" max="13063" width="14.125" style="29" customWidth="1"/>
    <col min="13064" max="13310" width="12.625" style="29"/>
    <col min="13311" max="13311" width="10.625" style="29" customWidth="1"/>
    <col min="13312" max="13312" width="17" style="29" customWidth="1"/>
    <col min="13313" max="13314" width="13.875" style="29" customWidth="1"/>
    <col min="13315" max="13316" width="12.625" style="29" customWidth="1"/>
    <col min="13317" max="13317" width="16.625" style="29" customWidth="1"/>
    <col min="13318" max="13318" width="19.25" style="29" customWidth="1"/>
    <col min="13319" max="13319" width="14.125" style="29" customWidth="1"/>
    <col min="13320" max="13566" width="12.625" style="29"/>
    <col min="13567" max="13567" width="10.625" style="29" customWidth="1"/>
    <col min="13568" max="13568" width="17" style="29" customWidth="1"/>
    <col min="13569" max="13570" width="13.875" style="29" customWidth="1"/>
    <col min="13571" max="13572" width="12.625" style="29" customWidth="1"/>
    <col min="13573" max="13573" width="16.625" style="29" customWidth="1"/>
    <col min="13574" max="13574" width="19.25" style="29" customWidth="1"/>
    <col min="13575" max="13575" width="14.125" style="29" customWidth="1"/>
    <col min="13576" max="13822" width="12.625" style="29"/>
    <col min="13823" max="13823" width="10.625" style="29" customWidth="1"/>
    <col min="13824" max="13824" width="17" style="29" customWidth="1"/>
    <col min="13825" max="13826" width="13.875" style="29" customWidth="1"/>
    <col min="13827" max="13828" width="12.625" style="29" customWidth="1"/>
    <col min="13829" max="13829" width="16.625" style="29" customWidth="1"/>
    <col min="13830" max="13830" width="19.25" style="29" customWidth="1"/>
    <col min="13831" max="13831" width="14.125" style="29" customWidth="1"/>
    <col min="13832" max="14078" width="12.625" style="29"/>
    <col min="14079" max="14079" width="10.625" style="29" customWidth="1"/>
    <col min="14080" max="14080" width="17" style="29" customWidth="1"/>
    <col min="14081" max="14082" width="13.875" style="29" customWidth="1"/>
    <col min="14083" max="14084" width="12.625" style="29" customWidth="1"/>
    <col min="14085" max="14085" width="16.625" style="29" customWidth="1"/>
    <col min="14086" max="14086" width="19.25" style="29" customWidth="1"/>
    <col min="14087" max="14087" width="14.125" style="29" customWidth="1"/>
    <col min="14088" max="14334" width="12.625" style="29"/>
    <col min="14335" max="14335" width="10.625" style="29" customWidth="1"/>
    <col min="14336" max="14336" width="17" style="29" customWidth="1"/>
    <col min="14337" max="14338" width="13.875" style="29" customWidth="1"/>
    <col min="14339" max="14340" width="12.625" style="29" customWidth="1"/>
    <col min="14341" max="14341" width="16.625" style="29" customWidth="1"/>
    <col min="14342" max="14342" width="19.25" style="29" customWidth="1"/>
    <col min="14343" max="14343" width="14.125" style="29" customWidth="1"/>
    <col min="14344" max="14590" width="12.625" style="29"/>
    <col min="14591" max="14591" width="10.625" style="29" customWidth="1"/>
    <col min="14592" max="14592" width="17" style="29" customWidth="1"/>
    <col min="14593" max="14594" width="13.875" style="29" customWidth="1"/>
    <col min="14595" max="14596" width="12.625" style="29" customWidth="1"/>
    <col min="14597" max="14597" width="16.625" style="29" customWidth="1"/>
    <col min="14598" max="14598" width="19.25" style="29" customWidth="1"/>
    <col min="14599" max="14599" width="14.125" style="29" customWidth="1"/>
    <col min="14600" max="14846" width="12.625" style="29"/>
    <col min="14847" max="14847" width="10.625" style="29" customWidth="1"/>
    <col min="14848" max="14848" width="17" style="29" customWidth="1"/>
    <col min="14849" max="14850" width="13.875" style="29" customWidth="1"/>
    <col min="14851" max="14852" width="12.625" style="29" customWidth="1"/>
    <col min="14853" max="14853" width="16.625" style="29" customWidth="1"/>
    <col min="14854" max="14854" width="19.25" style="29" customWidth="1"/>
    <col min="14855" max="14855" width="14.125" style="29" customWidth="1"/>
    <col min="14856" max="15102" width="12.625" style="29"/>
    <col min="15103" max="15103" width="10.625" style="29" customWidth="1"/>
    <col min="15104" max="15104" width="17" style="29" customWidth="1"/>
    <col min="15105" max="15106" width="13.875" style="29" customWidth="1"/>
    <col min="15107" max="15108" width="12.625" style="29" customWidth="1"/>
    <col min="15109" max="15109" width="16.625" style="29" customWidth="1"/>
    <col min="15110" max="15110" width="19.25" style="29" customWidth="1"/>
    <col min="15111" max="15111" width="14.125" style="29" customWidth="1"/>
    <col min="15112" max="15358" width="12.625" style="29"/>
    <col min="15359" max="15359" width="10.625" style="29" customWidth="1"/>
    <col min="15360" max="15360" width="17" style="29" customWidth="1"/>
    <col min="15361" max="15362" width="13.875" style="29" customWidth="1"/>
    <col min="15363" max="15364" width="12.625" style="29" customWidth="1"/>
    <col min="15365" max="15365" width="16.625" style="29" customWidth="1"/>
    <col min="15366" max="15366" width="19.25" style="29" customWidth="1"/>
    <col min="15367" max="15367" width="14.125" style="29" customWidth="1"/>
    <col min="15368" max="15614" width="12.625" style="29"/>
    <col min="15615" max="15615" width="10.625" style="29" customWidth="1"/>
    <col min="15616" max="15616" width="17" style="29" customWidth="1"/>
    <col min="15617" max="15618" width="13.875" style="29" customWidth="1"/>
    <col min="15619" max="15620" width="12.625" style="29" customWidth="1"/>
    <col min="15621" max="15621" width="16.625" style="29" customWidth="1"/>
    <col min="15622" max="15622" width="19.25" style="29" customWidth="1"/>
    <col min="15623" max="15623" width="14.125" style="29" customWidth="1"/>
    <col min="15624" max="15870" width="12.625" style="29"/>
    <col min="15871" max="15871" width="10.625" style="29" customWidth="1"/>
    <col min="15872" max="15872" width="17" style="29" customWidth="1"/>
    <col min="15873" max="15874" width="13.875" style="29" customWidth="1"/>
    <col min="15875" max="15876" width="12.625" style="29" customWidth="1"/>
    <col min="15877" max="15877" width="16.625" style="29" customWidth="1"/>
    <col min="15878" max="15878" width="19.25" style="29" customWidth="1"/>
    <col min="15879" max="15879" width="14.125" style="29" customWidth="1"/>
    <col min="15880" max="16126" width="12.625" style="29"/>
    <col min="16127" max="16127" width="10.625" style="29" customWidth="1"/>
    <col min="16128" max="16128" width="17" style="29" customWidth="1"/>
    <col min="16129" max="16130" width="13.875" style="29" customWidth="1"/>
    <col min="16131" max="16132" width="12.625" style="29" customWidth="1"/>
    <col min="16133" max="16133" width="16.625" style="29" customWidth="1"/>
    <col min="16134" max="16134" width="19.25" style="29" customWidth="1"/>
    <col min="16135" max="16135" width="14.125" style="29" customWidth="1"/>
    <col min="16136" max="16384" width="12.625" style="29"/>
  </cols>
  <sheetData>
    <row r="1" spans="1:10" ht="20.100000000000001" customHeight="1">
      <c r="A1" s="27" t="s">
        <v>145</v>
      </c>
      <c r="B1" s="28"/>
    </row>
    <row r="2" spans="1:10" ht="10.5" customHeight="1"/>
    <row r="3" spans="1:10" s="30" customFormat="1" ht="20.100000000000001" customHeight="1">
      <c r="A3" s="2083">
        <f>'선급비용(법인세,지방소득세)'!A3</f>
        <v>45504</v>
      </c>
      <c r="B3" s="2083"/>
      <c r="H3" s="31" t="s">
        <v>0</v>
      </c>
    </row>
    <row r="4" spans="1:10" s="30" customFormat="1" ht="21.95" customHeight="1">
      <c r="A4" s="142" t="s">
        <v>1</v>
      </c>
      <c r="B4" s="152" t="s">
        <v>2</v>
      </c>
      <c r="C4" s="153" t="s">
        <v>9</v>
      </c>
      <c r="D4" s="154" t="s">
        <v>10</v>
      </c>
      <c r="E4" s="142" t="s">
        <v>11</v>
      </c>
      <c r="F4" s="152" t="s">
        <v>12</v>
      </c>
      <c r="G4" s="155" t="s">
        <v>13</v>
      </c>
      <c r="H4" s="236" t="s">
        <v>14</v>
      </c>
    </row>
    <row r="5" spans="1:10" s="30" customFormat="1" ht="21.95" customHeight="1">
      <c r="A5" s="2103" t="s">
        <v>156</v>
      </c>
      <c r="B5" s="2104"/>
      <c r="C5" s="299"/>
      <c r="D5" s="299"/>
      <c r="E5" s="299"/>
      <c r="F5" s="299"/>
      <c r="G5" s="299"/>
      <c r="H5" s="300"/>
    </row>
    <row r="6" spans="1:10" ht="21.95" customHeight="1">
      <c r="A6" s="319"/>
      <c r="B6" s="580" t="s">
        <v>575</v>
      </c>
      <c r="C6" s="1775">
        <v>45335</v>
      </c>
      <c r="D6" s="1446">
        <v>45517</v>
      </c>
      <c r="E6" s="581">
        <f t="shared" ref="E6:E12" si="0">DATEDIF(C6,D6,"d")</f>
        <v>182</v>
      </c>
      <c r="F6" s="580">
        <f t="shared" ref="F6:F12" si="1">E6-(DATEDIF(C6,$J$7,"d"))</f>
        <v>13</v>
      </c>
      <c r="G6" s="582" ph="1">
        <v>162053667</v>
      </c>
      <c r="H6" s="1683">
        <f>146916786-27602548-26712143-27602548-26712143-27602548</f>
        <v>10684856</v>
      </c>
      <c r="J6" s="396"/>
    </row>
    <row r="7" spans="1:10" ht="21.95" customHeight="1">
      <c r="A7" s="319"/>
      <c r="B7" s="580" t="s">
        <v>576</v>
      </c>
      <c r="C7" s="1885">
        <v>45335</v>
      </c>
      <c r="D7" s="1446">
        <v>45517</v>
      </c>
      <c r="E7" s="581">
        <f t="shared" si="0"/>
        <v>182</v>
      </c>
      <c r="F7" s="580">
        <f t="shared" si="1"/>
        <v>13</v>
      </c>
      <c r="G7" s="1022">
        <v>11343314</v>
      </c>
      <c r="H7" s="1683">
        <f>10283774-1932103-1869777-1932103-1869777-1932103</f>
        <v>747911</v>
      </c>
      <c r="J7" s="147">
        <f>A3</f>
        <v>45504</v>
      </c>
    </row>
    <row r="8" spans="1:10" ht="21.95" customHeight="1">
      <c r="A8" s="319"/>
      <c r="B8" s="580" t="s">
        <v>577</v>
      </c>
      <c r="C8" s="1447">
        <v>45473</v>
      </c>
      <c r="D8" s="1446">
        <v>45838</v>
      </c>
      <c r="E8" s="581">
        <f t="shared" si="0"/>
        <v>365</v>
      </c>
      <c r="F8" s="580">
        <f t="shared" si="1"/>
        <v>334</v>
      </c>
      <c r="G8" s="890">
        <v>5079900</v>
      </c>
      <c r="H8" s="1683">
        <f>5079900-431444</f>
        <v>4648456</v>
      </c>
      <c r="J8" s="1051"/>
    </row>
    <row r="9" spans="1:10" ht="21.95" customHeight="1">
      <c r="A9" s="1482"/>
      <c r="B9" s="1606" t="s">
        <v>1032</v>
      </c>
      <c r="C9" s="1886">
        <v>45386</v>
      </c>
      <c r="D9" s="1607">
        <v>45751</v>
      </c>
      <c r="E9" s="581">
        <f t="shared" ref="E9" si="2">DATEDIF(C9,D9,"d")</f>
        <v>365</v>
      </c>
      <c r="F9" s="580">
        <f t="shared" si="1"/>
        <v>247</v>
      </c>
      <c r="G9" s="1608">
        <v>775970</v>
      </c>
      <c r="H9" s="1683">
        <f>86061-76224+775970-65112-65904-63778-65904</f>
        <v>525109</v>
      </c>
      <c r="J9" s="406"/>
    </row>
    <row r="10" spans="1:10" ht="21.95" customHeight="1">
      <c r="A10" s="319"/>
      <c r="B10" s="1034" t="s">
        <v>355</v>
      </c>
      <c r="C10" s="1886">
        <v>45386</v>
      </c>
      <c r="D10" s="1607">
        <v>45751</v>
      </c>
      <c r="E10" s="581">
        <f t="shared" si="0"/>
        <v>365</v>
      </c>
      <c r="F10" s="580">
        <f t="shared" si="1"/>
        <v>247</v>
      </c>
      <c r="G10" s="1023">
        <v>486520</v>
      </c>
      <c r="H10" s="1683">
        <f>62006-54917+486520-41745-41321-39988-41321</f>
        <v>329234</v>
      </c>
      <c r="J10" s="406"/>
    </row>
    <row r="11" spans="1:10" ht="21.95" customHeight="1">
      <c r="A11" s="1778"/>
      <c r="B11" s="1034" t="s">
        <v>1115</v>
      </c>
      <c r="C11" s="1886">
        <v>45386</v>
      </c>
      <c r="D11" s="1607">
        <v>45751</v>
      </c>
      <c r="E11" s="581">
        <f t="shared" ref="E11" si="3">DATEDIF(C11,D11,"d")</f>
        <v>365</v>
      </c>
      <c r="F11" s="580">
        <f t="shared" si="1"/>
        <v>247</v>
      </c>
      <c r="G11" s="1023">
        <v>785980</v>
      </c>
      <c r="H11" s="1684">
        <f>93167-84946+785980-64209-66754-64601-66754</f>
        <v>531883</v>
      </c>
      <c r="J11" s="406"/>
    </row>
    <row r="12" spans="1:10" ht="21.95" customHeight="1">
      <c r="A12" s="1610"/>
      <c r="B12" s="1611" t="s">
        <v>356</v>
      </c>
      <c r="C12" s="1887">
        <v>45386</v>
      </c>
      <c r="D12" s="1607">
        <v>45751</v>
      </c>
      <c r="E12" s="1610">
        <f t="shared" si="0"/>
        <v>365</v>
      </c>
      <c r="F12" s="1611">
        <f t="shared" si="1"/>
        <v>247</v>
      </c>
      <c r="G12" s="1608">
        <v>288120</v>
      </c>
      <c r="H12" s="1684">
        <f>30105-26666+288120-23963-24470-23681-24470</f>
        <v>194975</v>
      </c>
      <c r="J12" s="6"/>
    </row>
    <row r="13" spans="1:10" s="30" customFormat="1" ht="21.95" customHeight="1">
      <c r="A13" s="2101" t="s">
        <v>1033</v>
      </c>
      <c r="B13" s="2102"/>
      <c r="C13" s="2102"/>
      <c r="D13" s="2102"/>
      <c r="E13" s="2102"/>
      <c r="F13" s="2102"/>
      <c r="G13" s="2102"/>
      <c r="H13" s="1612">
        <f>SUM(H6:H12)</f>
        <v>17662424</v>
      </c>
      <c r="J13" s="406"/>
    </row>
    <row r="14" spans="1:10" ht="21.95" hidden="1" customHeight="1">
      <c r="A14" s="628"/>
      <c r="B14" s="151"/>
      <c r="C14" s="632"/>
      <c r="D14" s="633"/>
      <c r="E14" s="628"/>
      <c r="F14" s="151"/>
      <c r="G14" s="634"/>
      <c r="H14" s="157"/>
      <c r="J14" s="48"/>
    </row>
    <row r="15" spans="1:10" ht="21.95" hidden="1" customHeight="1" thickTop="1">
      <c r="A15" s="2105" t="s">
        <v>155</v>
      </c>
      <c r="B15" s="2106"/>
      <c r="C15" s="301"/>
      <c r="D15" s="301"/>
      <c r="E15" s="302"/>
      <c r="F15" s="302"/>
      <c r="G15" s="303"/>
      <c r="H15" s="298"/>
    </row>
    <row r="16" spans="1:10" ht="21.95" hidden="1" customHeight="1">
      <c r="A16" s="400"/>
      <c r="B16" s="401"/>
      <c r="C16" s="402"/>
      <c r="D16" s="403"/>
      <c r="E16" s="404"/>
      <c r="F16" s="401"/>
      <c r="G16" s="405"/>
      <c r="H16" s="399"/>
      <c r="J16" s="217"/>
    </row>
    <row r="17" spans="1:10" s="217" customFormat="1" ht="21.95" hidden="1" customHeight="1">
      <c r="A17" s="2098" t="s">
        <v>40</v>
      </c>
      <c r="B17" s="2099"/>
      <c r="C17" s="2099"/>
      <c r="D17" s="2099"/>
      <c r="E17" s="2099"/>
      <c r="F17" s="2099"/>
      <c r="G17" s="2100"/>
      <c r="H17" s="408">
        <f>SUM(H16)</f>
        <v>0</v>
      </c>
      <c r="J17" s="29"/>
    </row>
    <row r="18" spans="1:10" ht="21.95" hidden="1" customHeight="1">
      <c r="A18" s="131"/>
      <c r="B18" s="133"/>
      <c r="C18" s="394"/>
      <c r="D18" s="395"/>
      <c r="E18" s="234"/>
      <c r="F18" s="133"/>
      <c r="G18" s="57"/>
      <c r="H18" s="134"/>
    </row>
    <row r="19" spans="1:10" ht="21.95" hidden="1" customHeight="1">
      <c r="A19" s="131"/>
      <c r="B19" s="133"/>
      <c r="C19" s="91"/>
      <c r="D19" s="54"/>
      <c r="E19" s="234"/>
      <c r="F19" s="133"/>
      <c r="G19" s="57"/>
      <c r="H19" s="134"/>
    </row>
    <row r="20" spans="1:10" ht="21.95" hidden="1" customHeight="1">
      <c r="A20" s="131"/>
      <c r="B20" s="132"/>
      <c r="C20" s="91"/>
      <c r="D20" s="54"/>
      <c r="E20" s="235"/>
      <c r="F20" s="151"/>
      <c r="G20" s="398"/>
      <c r="H20" s="397"/>
    </row>
    <row r="21" spans="1:10" ht="21.95" hidden="1" customHeight="1">
      <c r="A21" s="37"/>
      <c r="B21" s="38"/>
      <c r="C21" s="90"/>
      <c r="D21" s="39"/>
      <c r="E21" s="40"/>
      <c r="F21" s="81"/>
      <c r="G21" s="83"/>
      <c r="H21" s="41"/>
      <c r="J21" s="30"/>
    </row>
    <row r="22" spans="1:10" s="30" customFormat="1" ht="27.75" hidden="1" customHeight="1">
      <c r="A22" s="42" t="s">
        <v>5</v>
      </c>
      <c r="B22" s="43"/>
      <c r="C22" s="44"/>
      <c r="D22" s="45"/>
      <c r="E22" s="42"/>
      <c r="F22" s="82"/>
      <c r="G22" s="78"/>
      <c r="H22" s="46">
        <f>H13+H17</f>
        <v>17662424</v>
      </c>
      <c r="J22" s="29"/>
    </row>
    <row r="23" spans="1:10" ht="20.100000000000001" customHeight="1">
      <c r="A23" s="2" t="str">
        <f>'선급비용(법인세,지방소득세)'!A61</f>
        <v>김천에너지서비스㈜</v>
      </c>
      <c r="G23" s="47"/>
    </row>
    <row r="24" spans="1:10" ht="20.100000000000001" hidden="1" customHeight="1">
      <c r="A24" s="2"/>
      <c r="G24" s="47"/>
    </row>
    <row r="25" spans="1:10" ht="20.100000000000001" hidden="1" customHeight="1">
      <c r="G25" s="47"/>
    </row>
    <row r="26" spans="1:10" ht="20.100000000000001" hidden="1" customHeight="1">
      <c r="G26" s="47" t="s">
        <v>146</v>
      </c>
      <c r="H26" s="79">
        <v>718731942</v>
      </c>
    </row>
    <row r="27" spans="1:10" ht="20.100000000000001" hidden="1" customHeight="1">
      <c r="G27" s="47"/>
      <c r="H27" s="156">
        <f>H26-H13</f>
        <v>701069518</v>
      </c>
    </row>
    <row r="28" spans="1:10" ht="20.100000000000001" hidden="1" customHeight="1">
      <c r="G28" s="47"/>
    </row>
    <row r="29" spans="1:10" ht="20.100000000000001" customHeight="1">
      <c r="G29" s="47"/>
    </row>
    <row r="30" spans="1:10" ht="20.100000000000001" customHeight="1">
      <c r="G30" s="47"/>
    </row>
    <row r="31" spans="1:10" ht="20.100000000000001" customHeight="1">
      <c r="G31" s="47"/>
    </row>
    <row r="32" spans="1:10" ht="20.100000000000001" customHeight="1">
      <c r="D32" s="48"/>
      <c r="G32" s="47"/>
    </row>
    <row r="33" spans="4:7" ht="20.100000000000001" customHeight="1">
      <c r="D33" s="48"/>
      <c r="G33" s="47"/>
    </row>
    <row r="34" spans="4:7" ht="20.100000000000001" customHeight="1">
      <c r="D34" s="48"/>
      <c r="G34" s="47"/>
    </row>
    <row r="35" spans="4:7" ht="20.100000000000001" customHeight="1">
      <c r="D35" s="2096"/>
      <c r="G35" s="49"/>
    </row>
    <row r="36" spans="4:7" ht="20.100000000000001" customHeight="1">
      <c r="D36" s="2096"/>
    </row>
    <row r="37" spans="4:7" ht="20.100000000000001" customHeight="1">
      <c r="D37" s="2097"/>
    </row>
    <row r="38" spans="4:7" ht="20.100000000000001" customHeight="1">
      <c r="D38" s="2097"/>
    </row>
  </sheetData>
  <mergeCells count="7">
    <mergeCell ref="A3:B3"/>
    <mergeCell ref="D35:D36"/>
    <mergeCell ref="D37:D38"/>
    <mergeCell ref="A17:G17"/>
    <mergeCell ref="A13:G13"/>
    <mergeCell ref="A5:B5"/>
    <mergeCell ref="A15:B15"/>
  </mergeCells>
  <phoneticPr fontId="2" type="noConversion"/>
  <printOptions horizontalCentered="1"/>
  <pageMargins left="0.39370078740157483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455"/>
  <sheetViews>
    <sheetView showGridLines="0" topLeftCell="I8" zoomScale="85" zoomScaleNormal="85" workbookViewId="0">
      <selection activeCell="P8" sqref="P8:P23"/>
    </sheetView>
  </sheetViews>
  <sheetFormatPr defaultRowHeight="16.5"/>
  <cols>
    <col min="1" max="1" width="5.875" style="863" customWidth="1"/>
    <col min="2" max="2" width="5.25" style="863" customWidth="1"/>
    <col min="3" max="3" width="15.375" style="863" customWidth="1"/>
    <col min="4" max="9" width="18.375" style="863" customWidth="1"/>
    <col min="10" max="10" width="5.25" style="863" customWidth="1"/>
    <col min="11" max="11" width="5.5" style="863" customWidth="1"/>
    <col min="12" max="12" width="10.625" style="863" bestFit="1" customWidth="1"/>
    <col min="13" max="13" width="18.375" style="863" customWidth="1"/>
    <col min="14" max="15" width="15.75" style="863" bestFit="1" customWidth="1"/>
    <col min="16" max="16" width="13.75" style="863" bestFit="1" customWidth="1"/>
    <col min="17" max="17" width="12.375" style="863" bestFit="1" customWidth="1"/>
    <col min="18" max="18" width="17.125" style="863" bestFit="1" customWidth="1"/>
    <col min="19" max="19" width="16.375" style="720" bestFit="1" customWidth="1"/>
    <col min="20" max="20" width="13.5" style="863" customWidth="1"/>
    <col min="21" max="21" width="16.375" style="863" bestFit="1" customWidth="1"/>
    <col min="22" max="22" width="14.5" style="863" bestFit="1" customWidth="1"/>
    <col min="23" max="25" width="9" style="863"/>
    <col min="26" max="26" width="19.375" style="863" bestFit="1" customWidth="1"/>
    <col min="27" max="27" width="9" style="863"/>
    <col min="28" max="28" width="14.5" style="863" bestFit="1" customWidth="1"/>
    <col min="29" max="256" width="9" style="863"/>
    <col min="257" max="257" width="5.875" style="863" customWidth="1"/>
    <col min="258" max="258" width="5.25" style="863" customWidth="1"/>
    <col min="259" max="259" width="15.375" style="863" customWidth="1"/>
    <col min="260" max="265" width="18.375" style="863" customWidth="1"/>
    <col min="266" max="266" width="5.25" style="863" customWidth="1"/>
    <col min="267" max="267" width="5.5" style="863" customWidth="1"/>
    <col min="268" max="268" width="10.625" style="863" bestFit="1" customWidth="1"/>
    <col min="269" max="269" width="18.375" style="863" customWidth="1"/>
    <col min="270" max="271" width="15.75" style="863" bestFit="1" customWidth="1"/>
    <col min="272" max="272" width="13.75" style="863" bestFit="1" customWidth="1"/>
    <col min="273" max="273" width="12.375" style="863" bestFit="1" customWidth="1"/>
    <col min="274" max="274" width="17.125" style="863" bestFit="1" customWidth="1"/>
    <col min="275" max="275" width="16.375" style="863" bestFit="1" customWidth="1"/>
    <col min="276" max="276" width="13.5" style="863" customWidth="1"/>
    <col min="277" max="277" width="16.375" style="863" bestFit="1" customWidth="1"/>
    <col min="278" max="278" width="14.5" style="863" bestFit="1" customWidth="1"/>
    <col min="279" max="281" width="9" style="863"/>
    <col min="282" max="282" width="19.375" style="863" bestFit="1" customWidth="1"/>
    <col min="283" max="283" width="9" style="863"/>
    <col min="284" max="284" width="14.5" style="863" bestFit="1" customWidth="1"/>
    <col min="285" max="512" width="9" style="863"/>
    <col min="513" max="513" width="5.875" style="863" customWidth="1"/>
    <col min="514" max="514" width="5.25" style="863" customWidth="1"/>
    <col min="515" max="515" width="15.375" style="863" customWidth="1"/>
    <col min="516" max="521" width="18.375" style="863" customWidth="1"/>
    <col min="522" max="522" width="5.25" style="863" customWidth="1"/>
    <col min="523" max="523" width="5.5" style="863" customWidth="1"/>
    <col min="524" max="524" width="10.625" style="863" bestFit="1" customWidth="1"/>
    <col min="525" max="525" width="18.375" style="863" customWidth="1"/>
    <col min="526" max="527" width="15.75" style="863" bestFit="1" customWidth="1"/>
    <col min="528" max="528" width="13.75" style="863" bestFit="1" customWidth="1"/>
    <col min="529" max="529" width="12.375" style="863" bestFit="1" customWidth="1"/>
    <col min="530" max="530" width="17.125" style="863" bestFit="1" customWidth="1"/>
    <col min="531" max="531" width="16.375" style="863" bestFit="1" customWidth="1"/>
    <col min="532" max="532" width="13.5" style="863" customWidth="1"/>
    <col min="533" max="533" width="16.375" style="863" bestFit="1" customWidth="1"/>
    <col min="534" max="534" width="14.5" style="863" bestFit="1" customWidth="1"/>
    <col min="535" max="537" width="9" style="863"/>
    <col min="538" max="538" width="19.375" style="863" bestFit="1" customWidth="1"/>
    <col min="539" max="539" width="9" style="863"/>
    <col min="540" max="540" width="14.5" style="863" bestFit="1" customWidth="1"/>
    <col min="541" max="768" width="9" style="863"/>
    <col min="769" max="769" width="5.875" style="863" customWidth="1"/>
    <col min="770" max="770" width="5.25" style="863" customWidth="1"/>
    <col min="771" max="771" width="15.375" style="863" customWidth="1"/>
    <col min="772" max="777" width="18.375" style="863" customWidth="1"/>
    <col min="778" max="778" width="5.25" style="863" customWidth="1"/>
    <col min="779" max="779" width="5.5" style="863" customWidth="1"/>
    <col min="780" max="780" width="10.625" style="863" bestFit="1" customWidth="1"/>
    <col min="781" max="781" width="18.375" style="863" customWidth="1"/>
    <col min="782" max="783" width="15.75" style="863" bestFit="1" customWidth="1"/>
    <col min="784" max="784" width="13.75" style="863" bestFit="1" customWidth="1"/>
    <col min="785" max="785" width="12.375" style="863" bestFit="1" customWidth="1"/>
    <col min="786" max="786" width="17.125" style="863" bestFit="1" customWidth="1"/>
    <col min="787" max="787" width="16.375" style="863" bestFit="1" customWidth="1"/>
    <col min="788" max="788" width="13.5" style="863" customWidth="1"/>
    <col min="789" max="789" width="16.375" style="863" bestFit="1" customWidth="1"/>
    <col min="790" max="790" width="14.5" style="863" bestFit="1" customWidth="1"/>
    <col min="791" max="793" width="9" style="863"/>
    <col min="794" max="794" width="19.375" style="863" bestFit="1" customWidth="1"/>
    <col min="795" max="795" width="9" style="863"/>
    <col min="796" max="796" width="14.5" style="863" bestFit="1" customWidth="1"/>
    <col min="797" max="1024" width="9" style="863"/>
    <col min="1025" max="1025" width="5.875" style="863" customWidth="1"/>
    <col min="1026" max="1026" width="5.25" style="863" customWidth="1"/>
    <col min="1027" max="1027" width="15.375" style="863" customWidth="1"/>
    <col min="1028" max="1033" width="18.375" style="863" customWidth="1"/>
    <col min="1034" max="1034" width="5.25" style="863" customWidth="1"/>
    <col min="1035" max="1035" width="5.5" style="863" customWidth="1"/>
    <col min="1036" max="1036" width="10.625" style="863" bestFit="1" customWidth="1"/>
    <col min="1037" max="1037" width="18.375" style="863" customWidth="1"/>
    <col min="1038" max="1039" width="15.75" style="863" bestFit="1" customWidth="1"/>
    <col min="1040" max="1040" width="13.75" style="863" bestFit="1" customWidth="1"/>
    <col min="1041" max="1041" width="12.375" style="863" bestFit="1" customWidth="1"/>
    <col min="1042" max="1042" width="17.125" style="863" bestFit="1" customWidth="1"/>
    <col min="1043" max="1043" width="16.375" style="863" bestFit="1" customWidth="1"/>
    <col min="1044" max="1044" width="13.5" style="863" customWidth="1"/>
    <col min="1045" max="1045" width="16.375" style="863" bestFit="1" customWidth="1"/>
    <col min="1046" max="1046" width="14.5" style="863" bestFit="1" customWidth="1"/>
    <col min="1047" max="1049" width="9" style="863"/>
    <col min="1050" max="1050" width="19.375" style="863" bestFit="1" customWidth="1"/>
    <col min="1051" max="1051" width="9" style="863"/>
    <col min="1052" max="1052" width="14.5" style="863" bestFit="1" customWidth="1"/>
    <col min="1053" max="1280" width="9" style="863"/>
    <col min="1281" max="1281" width="5.875" style="863" customWidth="1"/>
    <col min="1282" max="1282" width="5.25" style="863" customWidth="1"/>
    <col min="1283" max="1283" width="15.375" style="863" customWidth="1"/>
    <col min="1284" max="1289" width="18.375" style="863" customWidth="1"/>
    <col min="1290" max="1290" width="5.25" style="863" customWidth="1"/>
    <col min="1291" max="1291" width="5.5" style="863" customWidth="1"/>
    <col min="1292" max="1292" width="10.625" style="863" bestFit="1" customWidth="1"/>
    <col min="1293" max="1293" width="18.375" style="863" customWidth="1"/>
    <col min="1294" max="1295" width="15.75" style="863" bestFit="1" customWidth="1"/>
    <col min="1296" max="1296" width="13.75" style="863" bestFit="1" customWidth="1"/>
    <col min="1297" max="1297" width="12.375" style="863" bestFit="1" customWidth="1"/>
    <col min="1298" max="1298" width="17.125" style="863" bestFit="1" customWidth="1"/>
    <col min="1299" max="1299" width="16.375" style="863" bestFit="1" customWidth="1"/>
    <col min="1300" max="1300" width="13.5" style="863" customWidth="1"/>
    <col min="1301" max="1301" width="16.375" style="863" bestFit="1" customWidth="1"/>
    <col min="1302" max="1302" width="14.5" style="863" bestFit="1" customWidth="1"/>
    <col min="1303" max="1305" width="9" style="863"/>
    <col min="1306" max="1306" width="19.375" style="863" bestFit="1" customWidth="1"/>
    <col min="1307" max="1307" width="9" style="863"/>
    <col min="1308" max="1308" width="14.5" style="863" bestFit="1" customWidth="1"/>
    <col min="1309" max="1536" width="9" style="863"/>
    <col min="1537" max="1537" width="5.875" style="863" customWidth="1"/>
    <col min="1538" max="1538" width="5.25" style="863" customWidth="1"/>
    <col min="1539" max="1539" width="15.375" style="863" customWidth="1"/>
    <col min="1540" max="1545" width="18.375" style="863" customWidth="1"/>
    <col min="1546" max="1546" width="5.25" style="863" customWidth="1"/>
    <col min="1547" max="1547" width="5.5" style="863" customWidth="1"/>
    <col min="1548" max="1548" width="10.625" style="863" bestFit="1" customWidth="1"/>
    <col min="1549" max="1549" width="18.375" style="863" customWidth="1"/>
    <col min="1550" max="1551" width="15.75" style="863" bestFit="1" customWidth="1"/>
    <col min="1552" max="1552" width="13.75" style="863" bestFit="1" customWidth="1"/>
    <col min="1553" max="1553" width="12.375" style="863" bestFit="1" customWidth="1"/>
    <col min="1554" max="1554" width="17.125" style="863" bestFit="1" customWidth="1"/>
    <col min="1555" max="1555" width="16.375" style="863" bestFit="1" customWidth="1"/>
    <col min="1556" max="1556" width="13.5" style="863" customWidth="1"/>
    <col min="1557" max="1557" width="16.375" style="863" bestFit="1" customWidth="1"/>
    <col min="1558" max="1558" width="14.5" style="863" bestFit="1" customWidth="1"/>
    <col min="1559" max="1561" width="9" style="863"/>
    <col min="1562" max="1562" width="19.375" style="863" bestFit="1" customWidth="1"/>
    <col min="1563" max="1563" width="9" style="863"/>
    <col min="1564" max="1564" width="14.5" style="863" bestFit="1" customWidth="1"/>
    <col min="1565" max="1792" width="9" style="863"/>
    <col min="1793" max="1793" width="5.875" style="863" customWidth="1"/>
    <col min="1794" max="1794" width="5.25" style="863" customWidth="1"/>
    <col min="1795" max="1795" width="15.375" style="863" customWidth="1"/>
    <col min="1796" max="1801" width="18.375" style="863" customWidth="1"/>
    <col min="1802" max="1802" width="5.25" style="863" customWidth="1"/>
    <col min="1803" max="1803" width="5.5" style="863" customWidth="1"/>
    <col min="1804" max="1804" width="10.625" style="863" bestFit="1" customWidth="1"/>
    <col min="1805" max="1805" width="18.375" style="863" customWidth="1"/>
    <col min="1806" max="1807" width="15.75" style="863" bestFit="1" customWidth="1"/>
    <col min="1808" max="1808" width="13.75" style="863" bestFit="1" customWidth="1"/>
    <col min="1809" max="1809" width="12.375" style="863" bestFit="1" customWidth="1"/>
    <col min="1810" max="1810" width="17.125" style="863" bestFit="1" customWidth="1"/>
    <col min="1811" max="1811" width="16.375" style="863" bestFit="1" customWidth="1"/>
    <col min="1812" max="1812" width="13.5" style="863" customWidth="1"/>
    <col min="1813" max="1813" width="16.375" style="863" bestFit="1" customWidth="1"/>
    <col min="1814" max="1814" width="14.5" style="863" bestFit="1" customWidth="1"/>
    <col min="1815" max="1817" width="9" style="863"/>
    <col min="1818" max="1818" width="19.375" style="863" bestFit="1" customWidth="1"/>
    <col min="1819" max="1819" width="9" style="863"/>
    <col min="1820" max="1820" width="14.5" style="863" bestFit="1" customWidth="1"/>
    <col min="1821" max="2048" width="9" style="863"/>
    <col min="2049" max="2049" width="5.875" style="863" customWidth="1"/>
    <col min="2050" max="2050" width="5.25" style="863" customWidth="1"/>
    <col min="2051" max="2051" width="15.375" style="863" customWidth="1"/>
    <col min="2052" max="2057" width="18.375" style="863" customWidth="1"/>
    <col min="2058" max="2058" width="5.25" style="863" customWidth="1"/>
    <col min="2059" max="2059" width="5.5" style="863" customWidth="1"/>
    <col min="2060" max="2060" width="10.625" style="863" bestFit="1" customWidth="1"/>
    <col min="2061" max="2061" width="18.375" style="863" customWidth="1"/>
    <col min="2062" max="2063" width="15.75" style="863" bestFit="1" customWidth="1"/>
    <col min="2064" max="2064" width="13.75" style="863" bestFit="1" customWidth="1"/>
    <col min="2065" max="2065" width="12.375" style="863" bestFit="1" customWidth="1"/>
    <col min="2066" max="2066" width="17.125" style="863" bestFit="1" customWidth="1"/>
    <col min="2067" max="2067" width="16.375" style="863" bestFit="1" customWidth="1"/>
    <col min="2068" max="2068" width="13.5" style="863" customWidth="1"/>
    <col min="2069" max="2069" width="16.375" style="863" bestFit="1" customWidth="1"/>
    <col min="2070" max="2070" width="14.5" style="863" bestFit="1" customWidth="1"/>
    <col min="2071" max="2073" width="9" style="863"/>
    <col min="2074" max="2074" width="19.375" style="863" bestFit="1" customWidth="1"/>
    <col min="2075" max="2075" width="9" style="863"/>
    <col min="2076" max="2076" width="14.5" style="863" bestFit="1" customWidth="1"/>
    <col min="2077" max="2304" width="9" style="863"/>
    <col min="2305" max="2305" width="5.875" style="863" customWidth="1"/>
    <col min="2306" max="2306" width="5.25" style="863" customWidth="1"/>
    <col min="2307" max="2307" width="15.375" style="863" customWidth="1"/>
    <col min="2308" max="2313" width="18.375" style="863" customWidth="1"/>
    <col min="2314" max="2314" width="5.25" style="863" customWidth="1"/>
    <col min="2315" max="2315" width="5.5" style="863" customWidth="1"/>
    <col min="2316" max="2316" width="10.625" style="863" bestFit="1" customWidth="1"/>
    <col min="2317" max="2317" width="18.375" style="863" customWidth="1"/>
    <col min="2318" max="2319" width="15.75" style="863" bestFit="1" customWidth="1"/>
    <col min="2320" max="2320" width="13.75" style="863" bestFit="1" customWidth="1"/>
    <col min="2321" max="2321" width="12.375" style="863" bestFit="1" customWidth="1"/>
    <col min="2322" max="2322" width="17.125" style="863" bestFit="1" customWidth="1"/>
    <col min="2323" max="2323" width="16.375" style="863" bestFit="1" customWidth="1"/>
    <col min="2324" max="2324" width="13.5" style="863" customWidth="1"/>
    <col min="2325" max="2325" width="16.375" style="863" bestFit="1" customWidth="1"/>
    <col min="2326" max="2326" width="14.5" style="863" bestFit="1" customWidth="1"/>
    <col min="2327" max="2329" width="9" style="863"/>
    <col min="2330" max="2330" width="19.375" style="863" bestFit="1" customWidth="1"/>
    <col min="2331" max="2331" width="9" style="863"/>
    <col min="2332" max="2332" width="14.5" style="863" bestFit="1" customWidth="1"/>
    <col min="2333" max="2560" width="9" style="863"/>
    <col min="2561" max="2561" width="5.875" style="863" customWidth="1"/>
    <col min="2562" max="2562" width="5.25" style="863" customWidth="1"/>
    <col min="2563" max="2563" width="15.375" style="863" customWidth="1"/>
    <col min="2564" max="2569" width="18.375" style="863" customWidth="1"/>
    <col min="2570" max="2570" width="5.25" style="863" customWidth="1"/>
    <col min="2571" max="2571" width="5.5" style="863" customWidth="1"/>
    <col min="2572" max="2572" width="10.625" style="863" bestFit="1" customWidth="1"/>
    <col min="2573" max="2573" width="18.375" style="863" customWidth="1"/>
    <col min="2574" max="2575" width="15.75" style="863" bestFit="1" customWidth="1"/>
    <col min="2576" max="2576" width="13.75" style="863" bestFit="1" customWidth="1"/>
    <col min="2577" max="2577" width="12.375" style="863" bestFit="1" customWidth="1"/>
    <col min="2578" max="2578" width="17.125" style="863" bestFit="1" customWidth="1"/>
    <col min="2579" max="2579" width="16.375" style="863" bestFit="1" customWidth="1"/>
    <col min="2580" max="2580" width="13.5" style="863" customWidth="1"/>
    <col min="2581" max="2581" width="16.375" style="863" bestFit="1" customWidth="1"/>
    <col min="2582" max="2582" width="14.5" style="863" bestFit="1" customWidth="1"/>
    <col min="2583" max="2585" width="9" style="863"/>
    <col min="2586" max="2586" width="19.375" style="863" bestFit="1" customWidth="1"/>
    <col min="2587" max="2587" width="9" style="863"/>
    <col min="2588" max="2588" width="14.5" style="863" bestFit="1" customWidth="1"/>
    <col min="2589" max="2816" width="9" style="863"/>
    <col min="2817" max="2817" width="5.875" style="863" customWidth="1"/>
    <col min="2818" max="2818" width="5.25" style="863" customWidth="1"/>
    <col min="2819" max="2819" width="15.375" style="863" customWidth="1"/>
    <col min="2820" max="2825" width="18.375" style="863" customWidth="1"/>
    <col min="2826" max="2826" width="5.25" style="863" customWidth="1"/>
    <col min="2827" max="2827" width="5.5" style="863" customWidth="1"/>
    <col min="2828" max="2828" width="10.625" style="863" bestFit="1" customWidth="1"/>
    <col min="2829" max="2829" width="18.375" style="863" customWidth="1"/>
    <col min="2830" max="2831" width="15.75" style="863" bestFit="1" customWidth="1"/>
    <col min="2832" max="2832" width="13.75" style="863" bestFit="1" customWidth="1"/>
    <col min="2833" max="2833" width="12.375" style="863" bestFit="1" customWidth="1"/>
    <col min="2834" max="2834" width="17.125" style="863" bestFit="1" customWidth="1"/>
    <col min="2835" max="2835" width="16.375" style="863" bestFit="1" customWidth="1"/>
    <col min="2836" max="2836" width="13.5" style="863" customWidth="1"/>
    <col min="2837" max="2837" width="16.375" style="863" bestFit="1" customWidth="1"/>
    <col min="2838" max="2838" width="14.5" style="863" bestFit="1" customWidth="1"/>
    <col min="2839" max="2841" width="9" style="863"/>
    <col min="2842" max="2842" width="19.375" style="863" bestFit="1" customWidth="1"/>
    <col min="2843" max="2843" width="9" style="863"/>
    <col min="2844" max="2844" width="14.5" style="863" bestFit="1" customWidth="1"/>
    <col min="2845" max="3072" width="9" style="863"/>
    <col min="3073" max="3073" width="5.875" style="863" customWidth="1"/>
    <col min="3074" max="3074" width="5.25" style="863" customWidth="1"/>
    <col min="3075" max="3075" width="15.375" style="863" customWidth="1"/>
    <col min="3076" max="3081" width="18.375" style="863" customWidth="1"/>
    <col min="3082" max="3082" width="5.25" style="863" customWidth="1"/>
    <col min="3083" max="3083" width="5.5" style="863" customWidth="1"/>
    <col min="3084" max="3084" width="10.625" style="863" bestFit="1" customWidth="1"/>
    <col min="3085" max="3085" width="18.375" style="863" customWidth="1"/>
    <col min="3086" max="3087" width="15.75" style="863" bestFit="1" customWidth="1"/>
    <col min="3088" max="3088" width="13.75" style="863" bestFit="1" customWidth="1"/>
    <col min="3089" max="3089" width="12.375" style="863" bestFit="1" customWidth="1"/>
    <col min="3090" max="3090" width="17.125" style="863" bestFit="1" customWidth="1"/>
    <col min="3091" max="3091" width="16.375" style="863" bestFit="1" customWidth="1"/>
    <col min="3092" max="3092" width="13.5" style="863" customWidth="1"/>
    <col min="3093" max="3093" width="16.375" style="863" bestFit="1" customWidth="1"/>
    <col min="3094" max="3094" width="14.5" style="863" bestFit="1" customWidth="1"/>
    <col min="3095" max="3097" width="9" style="863"/>
    <col min="3098" max="3098" width="19.375" style="863" bestFit="1" customWidth="1"/>
    <col min="3099" max="3099" width="9" style="863"/>
    <col min="3100" max="3100" width="14.5" style="863" bestFit="1" customWidth="1"/>
    <col min="3101" max="3328" width="9" style="863"/>
    <col min="3329" max="3329" width="5.875" style="863" customWidth="1"/>
    <col min="3330" max="3330" width="5.25" style="863" customWidth="1"/>
    <col min="3331" max="3331" width="15.375" style="863" customWidth="1"/>
    <col min="3332" max="3337" width="18.375" style="863" customWidth="1"/>
    <col min="3338" max="3338" width="5.25" style="863" customWidth="1"/>
    <col min="3339" max="3339" width="5.5" style="863" customWidth="1"/>
    <col min="3340" max="3340" width="10.625" style="863" bestFit="1" customWidth="1"/>
    <col min="3341" max="3341" width="18.375" style="863" customWidth="1"/>
    <col min="3342" max="3343" width="15.75" style="863" bestFit="1" customWidth="1"/>
    <col min="3344" max="3344" width="13.75" style="863" bestFit="1" customWidth="1"/>
    <col min="3345" max="3345" width="12.375" style="863" bestFit="1" customWidth="1"/>
    <col min="3346" max="3346" width="17.125" style="863" bestFit="1" customWidth="1"/>
    <col min="3347" max="3347" width="16.375" style="863" bestFit="1" customWidth="1"/>
    <col min="3348" max="3348" width="13.5" style="863" customWidth="1"/>
    <col min="3349" max="3349" width="16.375" style="863" bestFit="1" customWidth="1"/>
    <col min="3350" max="3350" width="14.5" style="863" bestFit="1" customWidth="1"/>
    <col min="3351" max="3353" width="9" style="863"/>
    <col min="3354" max="3354" width="19.375" style="863" bestFit="1" customWidth="1"/>
    <col min="3355" max="3355" width="9" style="863"/>
    <col min="3356" max="3356" width="14.5" style="863" bestFit="1" customWidth="1"/>
    <col min="3357" max="3584" width="9" style="863"/>
    <col min="3585" max="3585" width="5.875" style="863" customWidth="1"/>
    <col min="3586" max="3586" width="5.25" style="863" customWidth="1"/>
    <col min="3587" max="3587" width="15.375" style="863" customWidth="1"/>
    <col min="3588" max="3593" width="18.375" style="863" customWidth="1"/>
    <col min="3594" max="3594" width="5.25" style="863" customWidth="1"/>
    <col min="3595" max="3595" width="5.5" style="863" customWidth="1"/>
    <col min="3596" max="3596" width="10.625" style="863" bestFit="1" customWidth="1"/>
    <col min="3597" max="3597" width="18.375" style="863" customWidth="1"/>
    <col min="3598" max="3599" width="15.75" style="863" bestFit="1" customWidth="1"/>
    <col min="3600" max="3600" width="13.75" style="863" bestFit="1" customWidth="1"/>
    <col min="3601" max="3601" width="12.375" style="863" bestFit="1" customWidth="1"/>
    <col min="3602" max="3602" width="17.125" style="863" bestFit="1" customWidth="1"/>
    <col min="3603" max="3603" width="16.375" style="863" bestFit="1" customWidth="1"/>
    <col min="3604" max="3604" width="13.5" style="863" customWidth="1"/>
    <col min="3605" max="3605" width="16.375" style="863" bestFit="1" customWidth="1"/>
    <col min="3606" max="3606" width="14.5" style="863" bestFit="1" customWidth="1"/>
    <col min="3607" max="3609" width="9" style="863"/>
    <col min="3610" max="3610" width="19.375" style="863" bestFit="1" customWidth="1"/>
    <col min="3611" max="3611" width="9" style="863"/>
    <col min="3612" max="3612" width="14.5" style="863" bestFit="1" customWidth="1"/>
    <col min="3613" max="3840" width="9" style="863"/>
    <col min="3841" max="3841" width="5.875" style="863" customWidth="1"/>
    <col min="3842" max="3842" width="5.25" style="863" customWidth="1"/>
    <col min="3843" max="3843" width="15.375" style="863" customWidth="1"/>
    <col min="3844" max="3849" width="18.375" style="863" customWidth="1"/>
    <col min="3850" max="3850" width="5.25" style="863" customWidth="1"/>
    <col min="3851" max="3851" width="5.5" style="863" customWidth="1"/>
    <col min="3852" max="3852" width="10.625" style="863" bestFit="1" customWidth="1"/>
    <col min="3853" max="3853" width="18.375" style="863" customWidth="1"/>
    <col min="3854" max="3855" width="15.75" style="863" bestFit="1" customWidth="1"/>
    <col min="3856" max="3856" width="13.75" style="863" bestFit="1" customWidth="1"/>
    <col min="3857" max="3857" width="12.375" style="863" bestFit="1" customWidth="1"/>
    <col min="3858" max="3858" width="17.125" style="863" bestFit="1" customWidth="1"/>
    <col min="3859" max="3859" width="16.375" style="863" bestFit="1" customWidth="1"/>
    <col min="3860" max="3860" width="13.5" style="863" customWidth="1"/>
    <col min="3861" max="3861" width="16.375" style="863" bestFit="1" customWidth="1"/>
    <col min="3862" max="3862" width="14.5" style="863" bestFit="1" customWidth="1"/>
    <col min="3863" max="3865" width="9" style="863"/>
    <col min="3866" max="3866" width="19.375" style="863" bestFit="1" customWidth="1"/>
    <col min="3867" max="3867" width="9" style="863"/>
    <col min="3868" max="3868" width="14.5" style="863" bestFit="1" customWidth="1"/>
    <col min="3869" max="4096" width="9" style="863"/>
    <col min="4097" max="4097" width="5.875" style="863" customWidth="1"/>
    <col min="4098" max="4098" width="5.25" style="863" customWidth="1"/>
    <col min="4099" max="4099" width="15.375" style="863" customWidth="1"/>
    <col min="4100" max="4105" width="18.375" style="863" customWidth="1"/>
    <col min="4106" max="4106" width="5.25" style="863" customWidth="1"/>
    <col min="4107" max="4107" width="5.5" style="863" customWidth="1"/>
    <col min="4108" max="4108" width="10.625" style="863" bestFit="1" customWidth="1"/>
    <col min="4109" max="4109" width="18.375" style="863" customWidth="1"/>
    <col min="4110" max="4111" width="15.75" style="863" bestFit="1" customWidth="1"/>
    <col min="4112" max="4112" width="13.75" style="863" bestFit="1" customWidth="1"/>
    <col min="4113" max="4113" width="12.375" style="863" bestFit="1" customWidth="1"/>
    <col min="4114" max="4114" width="17.125" style="863" bestFit="1" customWidth="1"/>
    <col min="4115" max="4115" width="16.375" style="863" bestFit="1" customWidth="1"/>
    <col min="4116" max="4116" width="13.5" style="863" customWidth="1"/>
    <col min="4117" max="4117" width="16.375" style="863" bestFit="1" customWidth="1"/>
    <col min="4118" max="4118" width="14.5" style="863" bestFit="1" customWidth="1"/>
    <col min="4119" max="4121" width="9" style="863"/>
    <col min="4122" max="4122" width="19.375" style="863" bestFit="1" customWidth="1"/>
    <col min="4123" max="4123" width="9" style="863"/>
    <col min="4124" max="4124" width="14.5" style="863" bestFit="1" customWidth="1"/>
    <col min="4125" max="4352" width="9" style="863"/>
    <col min="4353" max="4353" width="5.875" style="863" customWidth="1"/>
    <col min="4354" max="4354" width="5.25" style="863" customWidth="1"/>
    <col min="4355" max="4355" width="15.375" style="863" customWidth="1"/>
    <col min="4356" max="4361" width="18.375" style="863" customWidth="1"/>
    <col min="4362" max="4362" width="5.25" style="863" customWidth="1"/>
    <col min="4363" max="4363" width="5.5" style="863" customWidth="1"/>
    <col min="4364" max="4364" width="10.625" style="863" bestFit="1" customWidth="1"/>
    <col min="4365" max="4365" width="18.375" style="863" customWidth="1"/>
    <col min="4366" max="4367" width="15.75" style="863" bestFit="1" customWidth="1"/>
    <col min="4368" max="4368" width="13.75" style="863" bestFit="1" customWidth="1"/>
    <col min="4369" max="4369" width="12.375" style="863" bestFit="1" customWidth="1"/>
    <col min="4370" max="4370" width="17.125" style="863" bestFit="1" customWidth="1"/>
    <col min="4371" max="4371" width="16.375" style="863" bestFit="1" customWidth="1"/>
    <col min="4372" max="4372" width="13.5" style="863" customWidth="1"/>
    <col min="4373" max="4373" width="16.375" style="863" bestFit="1" customWidth="1"/>
    <col min="4374" max="4374" width="14.5" style="863" bestFit="1" customWidth="1"/>
    <col min="4375" max="4377" width="9" style="863"/>
    <col min="4378" max="4378" width="19.375" style="863" bestFit="1" customWidth="1"/>
    <col min="4379" max="4379" width="9" style="863"/>
    <col min="4380" max="4380" width="14.5" style="863" bestFit="1" customWidth="1"/>
    <col min="4381" max="4608" width="9" style="863"/>
    <col min="4609" max="4609" width="5.875" style="863" customWidth="1"/>
    <col min="4610" max="4610" width="5.25" style="863" customWidth="1"/>
    <col min="4611" max="4611" width="15.375" style="863" customWidth="1"/>
    <col min="4612" max="4617" width="18.375" style="863" customWidth="1"/>
    <col min="4618" max="4618" width="5.25" style="863" customWidth="1"/>
    <col min="4619" max="4619" width="5.5" style="863" customWidth="1"/>
    <col min="4620" max="4620" width="10.625" style="863" bestFit="1" customWidth="1"/>
    <col min="4621" max="4621" width="18.375" style="863" customWidth="1"/>
    <col min="4622" max="4623" width="15.75" style="863" bestFit="1" customWidth="1"/>
    <col min="4624" max="4624" width="13.75" style="863" bestFit="1" customWidth="1"/>
    <col min="4625" max="4625" width="12.375" style="863" bestFit="1" customWidth="1"/>
    <col min="4626" max="4626" width="17.125" style="863" bestFit="1" customWidth="1"/>
    <col min="4627" max="4627" width="16.375" style="863" bestFit="1" customWidth="1"/>
    <col min="4628" max="4628" width="13.5" style="863" customWidth="1"/>
    <col min="4629" max="4629" width="16.375" style="863" bestFit="1" customWidth="1"/>
    <col min="4630" max="4630" width="14.5" style="863" bestFit="1" customWidth="1"/>
    <col min="4631" max="4633" width="9" style="863"/>
    <col min="4634" max="4634" width="19.375" style="863" bestFit="1" customWidth="1"/>
    <col min="4635" max="4635" width="9" style="863"/>
    <col min="4636" max="4636" width="14.5" style="863" bestFit="1" customWidth="1"/>
    <col min="4637" max="4864" width="9" style="863"/>
    <col min="4865" max="4865" width="5.875" style="863" customWidth="1"/>
    <col min="4866" max="4866" width="5.25" style="863" customWidth="1"/>
    <col min="4867" max="4867" width="15.375" style="863" customWidth="1"/>
    <col min="4868" max="4873" width="18.375" style="863" customWidth="1"/>
    <col min="4874" max="4874" width="5.25" style="863" customWidth="1"/>
    <col min="4875" max="4875" width="5.5" style="863" customWidth="1"/>
    <col min="4876" max="4876" width="10.625" style="863" bestFit="1" customWidth="1"/>
    <col min="4877" max="4877" width="18.375" style="863" customWidth="1"/>
    <col min="4878" max="4879" width="15.75" style="863" bestFit="1" customWidth="1"/>
    <col min="4880" max="4880" width="13.75" style="863" bestFit="1" customWidth="1"/>
    <col min="4881" max="4881" width="12.375" style="863" bestFit="1" customWidth="1"/>
    <col min="4882" max="4882" width="17.125" style="863" bestFit="1" customWidth="1"/>
    <col min="4883" max="4883" width="16.375" style="863" bestFit="1" customWidth="1"/>
    <col min="4884" max="4884" width="13.5" style="863" customWidth="1"/>
    <col min="4885" max="4885" width="16.375" style="863" bestFit="1" customWidth="1"/>
    <col min="4886" max="4886" width="14.5" style="863" bestFit="1" customWidth="1"/>
    <col min="4887" max="4889" width="9" style="863"/>
    <col min="4890" max="4890" width="19.375" style="863" bestFit="1" customWidth="1"/>
    <col min="4891" max="4891" width="9" style="863"/>
    <col min="4892" max="4892" width="14.5" style="863" bestFit="1" customWidth="1"/>
    <col min="4893" max="5120" width="9" style="863"/>
    <col min="5121" max="5121" width="5.875" style="863" customWidth="1"/>
    <col min="5122" max="5122" width="5.25" style="863" customWidth="1"/>
    <col min="5123" max="5123" width="15.375" style="863" customWidth="1"/>
    <col min="5124" max="5129" width="18.375" style="863" customWidth="1"/>
    <col min="5130" max="5130" width="5.25" style="863" customWidth="1"/>
    <col min="5131" max="5131" width="5.5" style="863" customWidth="1"/>
    <col min="5132" max="5132" width="10.625" style="863" bestFit="1" customWidth="1"/>
    <col min="5133" max="5133" width="18.375" style="863" customWidth="1"/>
    <col min="5134" max="5135" width="15.75" style="863" bestFit="1" customWidth="1"/>
    <col min="5136" max="5136" width="13.75" style="863" bestFit="1" customWidth="1"/>
    <col min="5137" max="5137" width="12.375" style="863" bestFit="1" customWidth="1"/>
    <col min="5138" max="5138" width="17.125" style="863" bestFit="1" customWidth="1"/>
    <col min="5139" max="5139" width="16.375" style="863" bestFit="1" customWidth="1"/>
    <col min="5140" max="5140" width="13.5" style="863" customWidth="1"/>
    <col min="5141" max="5141" width="16.375" style="863" bestFit="1" customWidth="1"/>
    <col min="5142" max="5142" width="14.5" style="863" bestFit="1" customWidth="1"/>
    <col min="5143" max="5145" width="9" style="863"/>
    <col min="5146" max="5146" width="19.375" style="863" bestFit="1" customWidth="1"/>
    <col min="5147" max="5147" width="9" style="863"/>
    <col min="5148" max="5148" width="14.5" style="863" bestFit="1" customWidth="1"/>
    <col min="5149" max="5376" width="9" style="863"/>
    <col min="5377" max="5377" width="5.875" style="863" customWidth="1"/>
    <col min="5378" max="5378" width="5.25" style="863" customWidth="1"/>
    <col min="5379" max="5379" width="15.375" style="863" customWidth="1"/>
    <col min="5380" max="5385" width="18.375" style="863" customWidth="1"/>
    <col min="5386" max="5386" width="5.25" style="863" customWidth="1"/>
    <col min="5387" max="5387" width="5.5" style="863" customWidth="1"/>
    <col min="5388" max="5388" width="10.625" style="863" bestFit="1" customWidth="1"/>
    <col min="5389" max="5389" width="18.375" style="863" customWidth="1"/>
    <col min="5390" max="5391" width="15.75" style="863" bestFit="1" customWidth="1"/>
    <col min="5392" max="5392" width="13.75" style="863" bestFit="1" customWidth="1"/>
    <col min="5393" max="5393" width="12.375" style="863" bestFit="1" customWidth="1"/>
    <col min="5394" max="5394" width="17.125" style="863" bestFit="1" customWidth="1"/>
    <col min="5395" max="5395" width="16.375" style="863" bestFit="1" customWidth="1"/>
    <col min="5396" max="5396" width="13.5" style="863" customWidth="1"/>
    <col min="5397" max="5397" width="16.375" style="863" bestFit="1" customWidth="1"/>
    <col min="5398" max="5398" width="14.5" style="863" bestFit="1" customWidth="1"/>
    <col min="5399" max="5401" width="9" style="863"/>
    <col min="5402" max="5402" width="19.375" style="863" bestFit="1" customWidth="1"/>
    <col min="5403" max="5403" width="9" style="863"/>
    <col min="5404" max="5404" width="14.5" style="863" bestFit="1" customWidth="1"/>
    <col min="5405" max="5632" width="9" style="863"/>
    <col min="5633" max="5633" width="5.875" style="863" customWidth="1"/>
    <col min="5634" max="5634" width="5.25" style="863" customWidth="1"/>
    <col min="5635" max="5635" width="15.375" style="863" customWidth="1"/>
    <col min="5636" max="5641" width="18.375" style="863" customWidth="1"/>
    <col min="5642" max="5642" width="5.25" style="863" customWidth="1"/>
    <col min="5643" max="5643" width="5.5" style="863" customWidth="1"/>
    <col min="5644" max="5644" width="10.625" style="863" bestFit="1" customWidth="1"/>
    <col min="5645" max="5645" width="18.375" style="863" customWidth="1"/>
    <col min="5646" max="5647" width="15.75" style="863" bestFit="1" customWidth="1"/>
    <col min="5648" max="5648" width="13.75" style="863" bestFit="1" customWidth="1"/>
    <col min="5649" max="5649" width="12.375" style="863" bestFit="1" customWidth="1"/>
    <col min="5650" max="5650" width="17.125" style="863" bestFit="1" customWidth="1"/>
    <col min="5651" max="5651" width="16.375" style="863" bestFit="1" customWidth="1"/>
    <col min="5652" max="5652" width="13.5" style="863" customWidth="1"/>
    <col min="5653" max="5653" width="16.375" style="863" bestFit="1" customWidth="1"/>
    <col min="5654" max="5654" width="14.5" style="863" bestFit="1" customWidth="1"/>
    <col min="5655" max="5657" width="9" style="863"/>
    <col min="5658" max="5658" width="19.375" style="863" bestFit="1" customWidth="1"/>
    <col min="5659" max="5659" width="9" style="863"/>
    <col min="5660" max="5660" width="14.5" style="863" bestFit="1" customWidth="1"/>
    <col min="5661" max="5888" width="9" style="863"/>
    <col min="5889" max="5889" width="5.875" style="863" customWidth="1"/>
    <col min="5890" max="5890" width="5.25" style="863" customWidth="1"/>
    <col min="5891" max="5891" width="15.375" style="863" customWidth="1"/>
    <col min="5892" max="5897" width="18.375" style="863" customWidth="1"/>
    <col min="5898" max="5898" width="5.25" style="863" customWidth="1"/>
    <col min="5899" max="5899" width="5.5" style="863" customWidth="1"/>
    <col min="5900" max="5900" width="10.625" style="863" bestFit="1" customWidth="1"/>
    <col min="5901" max="5901" width="18.375" style="863" customWidth="1"/>
    <col min="5902" max="5903" width="15.75" style="863" bestFit="1" customWidth="1"/>
    <col min="5904" max="5904" width="13.75" style="863" bestFit="1" customWidth="1"/>
    <col min="5905" max="5905" width="12.375" style="863" bestFit="1" customWidth="1"/>
    <col min="5906" max="5906" width="17.125" style="863" bestFit="1" customWidth="1"/>
    <col min="5907" max="5907" width="16.375" style="863" bestFit="1" customWidth="1"/>
    <col min="5908" max="5908" width="13.5" style="863" customWidth="1"/>
    <col min="5909" max="5909" width="16.375" style="863" bestFit="1" customWidth="1"/>
    <col min="5910" max="5910" width="14.5" style="863" bestFit="1" customWidth="1"/>
    <col min="5911" max="5913" width="9" style="863"/>
    <col min="5914" max="5914" width="19.375" style="863" bestFit="1" customWidth="1"/>
    <col min="5915" max="5915" width="9" style="863"/>
    <col min="5916" max="5916" width="14.5" style="863" bestFit="1" customWidth="1"/>
    <col min="5917" max="6144" width="9" style="863"/>
    <col min="6145" max="6145" width="5.875" style="863" customWidth="1"/>
    <col min="6146" max="6146" width="5.25" style="863" customWidth="1"/>
    <col min="6147" max="6147" width="15.375" style="863" customWidth="1"/>
    <col min="6148" max="6153" width="18.375" style="863" customWidth="1"/>
    <col min="6154" max="6154" width="5.25" style="863" customWidth="1"/>
    <col min="6155" max="6155" width="5.5" style="863" customWidth="1"/>
    <col min="6156" max="6156" width="10.625" style="863" bestFit="1" customWidth="1"/>
    <col min="6157" max="6157" width="18.375" style="863" customWidth="1"/>
    <col min="6158" max="6159" width="15.75" style="863" bestFit="1" customWidth="1"/>
    <col min="6160" max="6160" width="13.75" style="863" bestFit="1" customWidth="1"/>
    <col min="6161" max="6161" width="12.375" style="863" bestFit="1" customWidth="1"/>
    <col min="6162" max="6162" width="17.125" style="863" bestFit="1" customWidth="1"/>
    <col min="6163" max="6163" width="16.375" style="863" bestFit="1" customWidth="1"/>
    <col min="6164" max="6164" width="13.5" style="863" customWidth="1"/>
    <col min="6165" max="6165" width="16.375" style="863" bestFit="1" customWidth="1"/>
    <col min="6166" max="6166" width="14.5" style="863" bestFit="1" customWidth="1"/>
    <col min="6167" max="6169" width="9" style="863"/>
    <col min="6170" max="6170" width="19.375" style="863" bestFit="1" customWidth="1"/>
    <col min="6171" max="6171" width="9" style="863"/>
    <col min="6172" max="6172" width="14.5" style="863" bestFit="1" customWidth="1"/>
    <col min="6173" max="6400" width="9" style="863"/>
    <col min="6401" max="6401" width="5.875" style="863" customWidth="1"/>
    <col min="6402" max="6402" width="5.25" style="863" customWidth="1"/>
    <col min="6403" max="6403" width="15.375" style="863" customWidth="1"/>
    <col min="6404" max="6409" width="18.375" style="863" customWidth="1"/>
    <col min="6410" max="6410" width="5.25" style="863" customWidth="1"/>
    <col min="6411" max="6411" width="5.5" style="863" customWidth="1"/>
    <col min="6412" max="6412" width="10.625" style="863" bestFit="1" customWidth="1"/>
    <col min="6413" max="6413" width="18.375" style="863" customWidth="1"/>
    <col min="6414" max="6415" width="15.75" style="863" bestFit="1" customWidth="1"/>
    <col min="6416" max="6416" width="13.75" style="863" bestFit="1" customWidth="1"/>
    <col min="6417" max="6417" width="12.375" style="863" bestFit="1" customWidth="1"/>
    <col min="6418" max="6418" width="17.125" style="863" bestFit="1" customWidth="1"/>
    <col min="6419" max="6419" width="16.375" style="863" bestFit="1" customWidth="1"/>
    <col min="6420" max="6420" width="13.5" style="863" customWidth="1"/>
    <col min="6421" max="6421" width="16.375" style="863" bestFit="1" customWidth="1"/>
    <col min="6422" max="6422" width="14.5" style="863" bestFit="1" customWidth="1"/>
    <col min="6423" max="6425" width="9" style="863"/>
    <col min="6426" max="6426" width="19.375" style="863" bestFit="1" customWidth="1"/>
    <col min="6427" max="6427" width="9" style="863"/>
    <col min="6428" max="6428" width="14.5" style="863" bestFit="1" customWidth="1"/>
    <col min="6429" max="6656" width="9" style="863"/>
    <col min="6657" max="6657" width="5.875" style="863" customWidth="1"/>
    <col min="6658" max="6658" width="5.25" style="863" customWidth="1"/>
    <col min="6659" max="6659" width="15.375" style="863" customWidth="1"/>
    <col min="6660" max="6665" width="18.375" style="863" customWidth="1"/>
    <col min="6666" max="6666" width="5.25" style="863" customWidth="1"/>
    <col min="6667" max="6667" width="5.5" style="863" customWidth="1"/>
    <col min="6668" max="6668" width="10.625" style="863" bestFit="1" customWidth="1"/>
    <col min="6669" max="6669" width="18.375" style="863" customWidth="1"/>
    <col min="6670" max="6671" width="15.75" style="863" bestFit="1" customWidth="1"/>
    <col min="6672" max="6672" width="13.75" style="863" bestFit="1" customWidth="1"/>
    <col min="6673" max="6673" width="12.375" style="863" bestFit="1" customWidth="1"/>
    <col min="6674" max="6674" width="17.125" style="863" bestFit="1" customWidth="1"/>
    <col min="6675" max="6675" width="16.375" style="863" bestFit="1" customWidth="1"/>
    <col min="6676" max="6676" width="13.5" style="863" customWidth="1"/>
    <col min="6677" max="6677" width="16.375" style="863" bestFit="1" customWidth="1"/>
    <col min="6678" max="6678" width="14.5" style="863" bestFit="1" customWidth="1"/>
    <col min="6679" max="6681" width="9" style="863"/>
    <col min="6682" max="6682" width="19.375" style="863" bestFit="1" customWidth="1"/>
    <col min="6683" max="6683" width="9" style="863"/>
    <col min="6684" max="6684" width="14.5" style="863" bestFit="1" customWidth="1"/>
    <col min="6685" max="6912" width="9" style="863"/>
    <col min="6913" max="6913" width="5.875" style="863" customWidth="1"/>
    <col min="6914" max="6914" width="5.25" style="863" customWidth="1"/>
    <col min="6915" max="6915" width="15.375" style="863" customWidth="1"/>
    <col min="6916" max="6921" width="18.375" style="863" customWidth="1"/>
    <col min="6922" max="6922" width="5.25" style="863" customWidth="1"/>
    <col min="6923" max="6923" width="5.5" style="863" customWidth="1"/>
    <col min="6924" max="6924" width="10.625" style="863" bestFit="1" customWidth="1"/>
    <col min="6925" max="6925" width="18.375" style="863" customWidth="1"/>
    <col min="6926" max="6927" width="15.75" style="863" bestFit="1" customWidth="1"/>
    <col min="6928" max="6928" width="13.75" style="863" bestFit="1" customWidth="1"/>
    <col min="6929" max="6929" width="12.375" style="863" bestFit="1" customWidth="1"/>
    <col min="6930" max="6930" width="17.125" style="863" bestFit="1" customWidth="1"/>
    <col min="6931" max="6931" width="16.375" style="863" bestFit="1" customWidth="1"/>
    <col min="6932" max="6932" width="13.5" style="863" customWidth="1"/>
    <col min="6933" max="6933" width="16.375" style="863" bestFit="1" customWidth="1"/>
    <col min="6934" max="6934" width="14.5" style="863" bestFit="1" customWidth="1"/>
    <col min="6935" max="6937" width="9" style="863"/>
    <col min="6938" max="6938" width="19.375" style="863" bestFit="1" customWidth="1"/>
    <col min="6939" max="6939" width="9" style="863"/>
    <col min="6940" max="6940" width="14.5" style="863" bestFit="1" customWidth="1"/>
    <col min="6941" max="7168" width="9" style="863"/>
    <col min="7169" max="7169" width="5.875" style="863" customWidth="1"/>
    <col min="7170" max="7170" width="5.25" style="863" customWidth="1"/>
    <col min="7171" max="7171" width="15.375" style="863" customWidth="1"/>
    <col min="7172" max="7177" width="18.375" style="863" customWidth="1"/>
    <col min="7178" max="7178" width="5.25" style="863" customWidth="1"/>
    <col min="7179" max="7179" width="5.5" style="863" customWidth="1"/>
    <col min="7180" max="7180" width="10.625" style="863" bestFit="1" customWidth="1"/>
    <col min="7181" max="7181" width="18.375" style="863" customWidth="1"/>
    <col min="7182" max="7183" width="15.75" style="863" bestFit="1" customWidth="1"/>
    <col min="7184" max="7184" width="13.75" style="863" bestFit="1" customWidth="1"/>
    <col min="7185" max="7185" width="12.375" style="863" bestFit="1" customWidth="1"/>
    <col min="7186" max="7186" width="17.125" style="863" bestFit="1" customWidth="1"/>
    <col min="7187" max="7187" width="16.375" style="863" bestFit="1" customWidth="1"/>
    <col min="7188" max="7188" width="13.5" style="863" customWidth="1"/>
    <col min="7189" max="7189" width="16.375" style="863" bestFit="1" customWidth="1"/>
    <col min="7190" max="7190" width="14.5" style="863" bestFit="1" customWidth="1"/>
    <col min="7191" max="7193" width="9" style="863"/>
    <col min="7194" max="7194" width="19.375" style="863" bestFit="1" customWidth="1"/>
    <col min="7195" max="7195" width="9" style="863"/>
    <col min="7196" max="7196" width="14.5" style="863" bestFit="1" customWidth="1"/>
    <col min="7197" max="7424" width="9" style="863"/>
    <col min="7425" max="7425" width="5.875" style="863" customWidth="1"/>
    <col min="7426" max="7426" width="5.25" style="863" customWidth="1"/>
    <col min="7427" max="7427" width="15.375" style="863" customWidth="1"/>
    <col min="7428" max="7433" width="18.375" style="863" customWidth="1"/>
    <col min="7434" max="7434" width="5.25" style="863" customWidth="1"/>
    <col min="7435" max="7435" width="5.5" style="863" customWidth="1"/>
    <col min="7436" max="7436" width="10.625" style="863" bestFit="1" customWidth="1"/>
    <col min="7437" max="7437" width="18.375" style="863" customWidth="1"/>
    <col min="7438" max="7439" width="15.75" style="863" bestFit="1" customWidth="1"/>
    <col min="7440" max="7440" width="13.75" style="863" bestFit="1" customWidth="1"/>
    <col min="7441" max="7441" width="12.375" style="863" bestFit="1" customWidth="1"/>
    <col min="7442" max="7442" width="17.125" style="863" bestFit="1" customWidth="1"/>
    <col min="7443" max="7443" width="16.375" style="863" bestFit="1" customWidth="1"/>
    <col min="7444" max="7444" width="13.5" style="863" customWidth="1"/>
    <col min="7445" max="7445" width="16.375" style="863" bestFit="1" customWidth="1"/>
    <col min="7446" max="7446" width="14.5" style="863" bestFit="1" customWidth="1"/>
    <col min="7447" max="7449" width="9" style="863"/>
    <col min="7450" max="7450" width="19.375" style="863" bestFit="1" customWidth="1"/>
    <col min="7451" max="7451" width="9" style="863"/>
    <col min="7452" max="7452" width="14.5" style="863" bestFit="1" customWidth="1"/>
    <col min="7453" max="7680" width="9" style="863"/>
    <col min="7681" max="7681" width="5.875" style="863" customWidth="1"/>
    <col min="7682" max="7682" width="5.25" style="863" customWidth="1"/>
    <col min="7683" max="7683" width="15.375" style="863" customWidth="1"/>
    <col min="7684" max="7689" width="18.375" style="863" customWidth="1"/>
    <col min="7690" max="7690" width="5.25" style="863" customWidth="1"/>
    <col min="7691" max="7691" width="5.5" style="863" customWidth="1"/>
    <col min="7692" max="7692" width="10.625" style="863" bestFit="1" customWidth="1"/>
    <col min="7693" max="7693" width="18.375" style="863" customWidth="1"/>
    <col min="7694" max="7695" width="15.75" style="863" bestFit="1" customWidth="1"/>
    <col min="7696" max="7696" width="13.75" style="863" bestFit="1" customWidth="1"/>
    <col min="7697" max="7697" width="12.375" style="863" bestFit="1" customWidth="1"/>
    <col min="7698" max="7698" width="17.125" style="863" bestFit="1" customWidth="1"/>
    <col min="7699" max="7699" width="16.375" style="863" bestFit="1" customWidth="1"/>
    <col min="7700" max="7700" width="13.5" style="863" customWidth="1"/>
    <col min="7701" max="7701" width="16.375" style="863" bestFit="1" customWidth="1"/>
    <col min="7702" max="7702" width="14.5" style="863" bestFit="1" customWidth="1"/>
    <col min="7703" max="7705" width="9" style="863"/>
    <col min="7706" max="7706" width="19.375" style="863" bestFit="1" customWidth="1"/>
    <col min="7707" max="7707" width="9" style="863"/>
    <col min="7708" max="7708" width="14.5" style="863" bestFit="1" customWidth="1"/>
    <col min="7709" max="7936" width="9" style="863"/>
    <col min="7937" max="7937" width="5.875" style="863" customWidth="1"/>
    <col min="7938" max="7938" width="5.25" style="863" customWidth="1"/>
    <col min="7939" max="7939" width="15.375" style="863" customWidth="1"/>
    <col min="7940" max="7945" width="18.375" style="863" customWidth="1"/>
    <col min="7946" max="7946" width="5.25" style="863" customWidth="1"/>
    <col min="7947" max="7947" width="5.5" style="863" customWidth="1"/>
    <col min="7948" max="7948" width="10.625" style="863" bestFit="1" customWidth="1"/>
    <col min="7949" max="7949" width="18.375" style="863" customWidth="1"/>
    <col min="7950" max="7951" width="15.75" style="863" bestFit="1" customWidth="1"/>
    <col min="7952" max="7952" width="13.75" style="863" bestFit="1" customWidth="1"/>
    <col min="7953" max="7953" width="12.375" style="863" bestFit="1" customWidth="1"/>
    <col min="7954" max="7954" width="17.125" style="863" bestFit="1" customWidth="1"/>
    <col min="7955" max="7955" width="16.375" style="863" bestFit="1" customWidth="1"/>
    <col min="7956" max="7956" width="13.5" style="863" customWidth="1"/>
    <col min="7957" max="7957" width="16.375" style="863" bestFit="1" customWidth="1"/>
    <col min="7958" max="7958" width="14.5" style="863" bestFit="1" customWidth="1"/>
    <col min="7959" max="7961" width="9" style="863"/>
    <col min="7962" max="7962" width="19.375" style="863" bestFit="1" customWidth="1"/>
    <col min="7963" max="7963" width="9" style="863"/>
    <col min="7964" max="7964" width="14.5" style="863" bestFit="1" customWidth="1"/>
    <col min="7965" max="8192" width="9" style="863"/>
    <col min="8193" max="8193" width="5.875" style="863" customWidth="1"/>
    <col min="8194" max="8194" width="5.25" style="863" customWidth="1"/>
    <col min="8195" max="8195" width="15.375" style="863" customWidth="1"/>
    <col min="8196" max="8201" width="18.375" style="863" customWidth="1"/>
    <col min="8202" max="8202" width="5.25" style="863" customWidth="1"/>
    <col min="8203" max="8203" width="5.5" style="863" customWidth="1"/>
    <col min="8204" max="8204" width="10.625" style="863" bestFit="1" customWidth="1"/>
    <col min="8205" max="8205" width="18.375" style="863" customWidth="1"/>
    <col min="8206" max="8207" width="15.75" style="863" bestFit="1" customWidth="1"/>
    <col min="8208" max="8208" width="13.75" style="863" bestFit="1" customWidth="1"/>
    <col min="8209" max="8209" width="12.375" style="863" bestFit="1" customWidth="1"/>
    <col min="8210" max="8210" width="17.125" style="863" bestFit="1" customWidth="1"/>
    <col min="8211" max="8211" width="16.375" style="863" bestFit="1" customWidth="1"/>
    <col min="8212" max="8212" width="13.5" style="863" customWidth="1"/>
    <col min="8213" max="8213" width="16.375" style="863" bestFit="1" customWidth="1"/>
    <col min="8214" max="8214" width="14.5" style="863" bestFit="1" customWidth="1"/>
    <col min="8215" max="8217" width="9" style="863"/>
    <col min="8218" max="8218" width="19.375" style="863" bestFit="1" customWidth="1"/>
    <col min="8219" max="8219" width="9" style="863"/>
    <col min="8220" max="8220" width="14.5" style="863" bestFit="1" customWidth="1"/>
    <col min="8221" max="8448" width="9" style="863"/>
    <col min="8449" max="8449" width="5.875" style="863" customWidth="1"/>
    <col min="8450" max="8450" width="5.25" style="863" customWidth="1"/>
    <col min="8451" max="8451" width="15.375" style="863" customWidth="1"/>
    <col min="8452" max="8457" width="18.375" style="863" customWidth="1"/>
    <col min="8458" max="8458" width="5.25" style="863" customWidth="1"/>
    <col min="8459" max="8459" width="5.5" style="863" customWidth="1"/>
    <col min="8460" max="8460" width="10.625" style="863" bestFit="1" customWidth="1"/>
    <col min="8461" max="8461" width="18.375" style="863" customWidth="1"/>
    <col min="8462" max="8463" width="15.75" style="863" bestFit="1" customWidth="1"/>
    <col min="8464" max="8464" width="13.75" style="863" bestFit="1" customWidth="1"/>
    <col min="8465" max="8465" width="12.375" style="863" bestFit="1" customWidth="1"/>
    <col min="8466" max="8466" width="17.125" style="863" bestFit="1" customWidth="1"/>
    <col min="8467" max="8467" width="16.375" style="863" bestFit="1" customWidth="1"/>
    <col min="8468" max="8468" width="13.5" style="863" customWidth="1"/>
    <col min="8469" max="8469" width="16.375" style="863" bestFit="1" customWidth="1"/>
    <col min="8470" max="8470" width="14.5" style="863" bestFit="1" customWidth="1"/>
    <col min="8471" max="8473" width="9" style="863"/>
    <col min="8474" max="8474" width="19.375" style="863" bestFit="1" customWidth="1"/>
    <col min="8475" max="8475" width="9" style="863"/>
    <col min="8476" max="8476" width="14.5" style="863" bestFit="1" customWidth="1"/>
    <col min="8477" max="8704" width="9" style="863"/>
    <col min="8705" max="8705" width="5.875" style="863" customWidth="1"/>
    <col min="8706" max="8706" width="5.25" style="863" customWidth="1"/>
    <col min="8707" max="8707" width="15.375" style="863" customWidth="1"/>
    <col min="8708" max="8713" width="18.375" style="863" customWidth="1"/>
    <col min="8714" max="8714" width="5.25" style="863" customWidth="1"/>
    <col min="8715" max="8715" width="5.5" style="863" customWidth="1"/>
    <col min="8716" max="8716" width="10.625" style="863" bestFit="1" customWidth="1"/>
    <col min="8717" max="8717" width="18.375" style="863" customWidth="1"/>
    <col min="8718" max="8719" width="15.75" style="863" bestFit="1" customWidth="1"/>
    <col min="8720" max="8720" width="13.75" style="863" bestFit="1" customWidth="1"/>
    <col min="8721" max="8721" width="12.375" style="863" bestFit="1" customWidth="1"/>
    <col min="8722" max="8722" width="17.125" style="863" bestFit="1" customWidth="1"/>
    <col min="8723" max="8723" width="16.375" style="863" bestFit="1" customWidth="1"/>
    <col min="8724" max="8724" width="13.5" style="863" customWidth="1"/>
    <col min="8725" max="8725" width="16.375" style="863" bestFit="1" customWidth="1"/>
    <col min="8726" max="8726" width="14.5" style="863" bestFit="1" customWidth="1"/>
    <col min="8727" max="8729" width="9" style="863"/>
    <col min="8730" max="8730" width="19.375" style="863" bestFit="1" customWidth="1"/>
    <col min="8731" max="8731" width="9" style="863"/>
    <col min="8732" max="8732" width="14.5" style="863" bestFit="1" customWidth="1"/>
    <col min="8733" max="8960" width="9" style="863"/>
    <col min="8961" max="8961" width="5.875" style="863" customWidth="1"/>
    <col min="8962" max="8962" width="5.25" style="863" customWidth="1"/>
    <col min="8963" max="8963" width="15.375" style="863" customWidth="1"/>
    <col min="8964" max="8969" width="18.375" style="863" customWidth="1"/>
    <col min="8970" max="8970" width="5.25" style="863" customWidth="1"/>
    <col min="8971" max="8971" width="5.5" style="863" customWidth="1"/>
    <col min="8972" max="8972" width="10.625" style="863" bestFit="1" customWidth="1"/>
    <col min="8973" max="8973" width="18.375" style="863" customWidth="1"/>
    <col min="8974" max="8975" width="15.75" style="863" bestFit="1" customWidth="1"/>
    <col min="8976" max="8976" width="13.75" style="863" bestFit="1" customWidth="1"/>
    <col min="8977" max="8977" width="12.375" style="863" bestFit="1" customWidth="1"/>
    <col min="8978" max="8978" width="17.125" style="863" bestFit="1" customWidth="1"/>
    <col min="8979" max="8979" width="16.375" style="863" bestFit="1" customWidth="1"/>
    <col min="8980" max="8980" width="13.5" style="863" customWidth="1"/>
    <col min="8981" max="8981" width="16.375" style="863" bestFit="1" customWidth="1"/>
    <col min="8982" max="8982" width="14.5" style="863" bestFit="1" customWidth="1"/>
    <col min="8983" max="8985" width="9" style="863"/>
    <col min="8986" max="8986" width="19.375" style="863" bestFit="1" customWidth="1"/>
    <col min="8987" max="8987" width="9" style="863"/>
    <col min="8988" max="8988" width="14.5" style="863" bestFit="1" customWidth="1"/>
    <col min="8989" max="9216" width="9" style="863"/>
    <col min="9217" max="9217" width="5.875" style="863" customWidth="1"/>
    <col min="9218" max="9218" width="5.25" style="863" customWidth="1"/>
    <col min="9219" max="9219" width="15.375" style="863" customWidth="1"/>
    <col min="9220" max="9225" width="18.375" style="863" customWidth="1"/>
    <col min="9226" max="9226" width="5.25" style="863" customWidth="1"/>
    <col min="9227" max="9227" width="5.5" style="863" customWidth="1"/>
    <col min="9228" max="9228" width="10.625" style="863" bestFit="1" customWidth="1"/>
    <col min="9229" max="9229" width="18.375" style="863" customWidth="1"/>
    <col min="9230" max="9231" width="15.75" style="863" bestFit="1" customWidth="1"/>
    <col min="9232" max="9232" width="13.75" style="863" bestFit="1" customWidth="1"/>
    <col min="9233" max="9233" width="12.375" style="863" bestFit="1" customWidth="1"/>
    <col min="9234" max="9234" width="17.125" style="863" bestFit="1" customWidth="1"/>
    <col min="9235" max="9235" width="16.375" style="863" bestFit="1" customWidth="1"/>
    <col min="9236" max="9236" width="13.5" style="863" customWidth="1"/>
    <col min="9237" max="9237" width="16.375" style="863" bestFit="1" customWidth="1"/>
    <col min="9238" max="9238" width="14.5" style="863" bestFit="1" customWidth="1"/>
    <col min="9239" max="9241" width="9" style="863"/>
    <col min="9242" max="9242" width="19.375" style="863" bestFit="1" customWidth="1"/>
    <col min="9243" max="9243" width="9" style="863"/>
    <col min="9244" max="9244" width="14.5" style="863" bestFit="1" customWidth="1"/>
    <col min="9245" max="9472" width="9" style="863"/>
    <col min="9473" max="9473" width="5.875" style="863" customWidth="1"/>
    <col min="9474" max="9474" width="5.25" style="863" customWidth="1"/>
    <col min="9475" max="9475" width="15.375" style="863" customWidth="1"/>
    <col min="9476" max="9481" width="18.375" style="863" customWidth="1"/>
    <col min="9482" max="9482" width="5.25" style="863" customWidth="1"/>
    <col min="9483" max="9483" width="5.5" style="863" customWidth="1"/>
    <col min="9484" max="9484" width="10.625" style="863" bestFit="1" customWidth="1"/>
    <col min="9485" max="9485" width="18.375" style="863" customWidth="1"/>
    <col min="9486" max="9487" width="15.75" style="863" bestFit="1" customWidth="1"/>
    <col min="9488" max="9488" width="13.75" style="863" bestFit="1" customWidth="1"/>
    <col min="9489" max="9489" width="12.375" style="863" bestFit="1" customWidth="1"/>
    <col min="9490" max="9490" width="17.125" style="863" bestFit="1" customWidth="1"/>
    <col min="9491" max="9491" width="16.375" style="863" bestFit="1" customWidth="1"/>
    <col min="9492" max="9492" width="13.5" style="863" customWidth="1"/>
    <col min="9493" max="9493" width="16.375" style="863" bestFit="1" customWidth="1"/>
    <col min="9494" max="9494" width="14.5" style="863" bestFit="1" customWidth="1"/>
    <col min="9495" max="9497" width="9" style="863"/>
    <col min="9498" max="9498" width="19.375" style="863" bestFit="1" customWidth="1"/>
    <col min="9499" max="9499" width="9" style="863"/>
    <col min="9500" max="9500" width="14.5" style="863" bestFit="1" customWidth="1"/>
    <col min="9501" max="9728" width="9" style="863"/>
    <col min="9729" max="9729" width="5.875" style="863" customWidth="1"/>
    <col min="9730" max="9730" width="5.25" style="863" customWidth="1"/>
    <col min="9731" max="9731" width="15.375" style="863" customWidth="1"/>
    <col min="9732" max="9737" width="18.375" style="863" customWidth="1"/>
    <col min="9738" max="9738" width="5.25" style="863" customWidth="1"/>
    <col min="9739" max="9739" width="5.5" style="863" customWidth="1"/>
    <col min="9740" max="9740" width="10.625" style="863" bestFit="1" customWidth="1"/>
    <col min="9741" max="9741" width="18.375" style="863" customWidth="1"/>
    <col min="9742" max="9743" width="15.75" style="863" bestFit="1" customWidth="1"/>
    <col min="9744" max="9744" width="13.75" style="863" bestFit="1" customWidth="1"/>
    <col min="9745" max="9745" width="12.375" style="863" bestFit="1" customWidth="1"/>
    <col min="9746" max="9746" width="17.125" style="863" bestFit="1" customWidth="1"/>
    <col min="9747" max="9747" width="16.375" style="863" bestFit="1" customWidth="1"/>
    <col min="9748" max="9748" width="13.5" style="863" customWidth="1"/>
    <col min="9749" max="9749" width="16.375" style="863" bestFit="1" customWidth="1"/>
    <col min="9750" max="9750" width="14.5" style="863" bestFit="1" customWidth="1"/>
    <col min="9751" max="9753" width="9" style="863"/>
    <col min="9754" max="9754" width="19.375" style="863" bestFit="1" customWidth="1"/>
    <col min="9755" max="9755" width="9" style="863"/>
    <col min="9756" max="9756" width="14.5" style="863" bestFit="1" customWidth="1"/>
    <col min="9757" max="9984" width="9" style="863"/>
    <col min="9985" max="9985" width="5.875" style="863" customWidth="1"/>
    <col min="9986" max="9986" width="5.25" style="863" customWidth="1"/>
    <col min="9987" max="9987" width="15.375" style="863" customWidth="1"/>
    <col min="9988" max="9993" width="18.375" style="863" customWidth="1"/>
    <col min="9994" max="9994" width="5.25" style="863" customWidth="1"/>
    <col min="9995" max="9995" width="5.5" style="863" customWidth="1"/>
    <col min="9996" max="9996" width="10.625" style="863" bestFit="1" customWidth="1"/>
    <col min="9997" max="9997" width="18.375" style="863" customWidth="1"/>
    <col min="9998" max="9999" width="15.75" style="863" bestFit="1" customWidth="1"/>
    <col min="10000" max="10000" width="13.75" style="863" bestFit="1" customWidth="1"/>
    <col min="10001" max="10001" width="12.375" style="863" bestFit="1" customWidth="1"/>
    <col min="10002" max="10002" width="17.125" style="863" bestFit="1" customWidth="1"/>
    <col min="10003" max="10003" width="16.375" style="863" bestFit="1" customWidth="1"/>
    <col min="10004" max="10004" width="13.5" style="863" customWidth="1"/>
    <col min="10005" max="10005" width="16.375" style="863" bestFit="1" customWidth="1"/>
    <col min="10006" max="10006" width="14.5" style="863" bestFit="1" customWidth="1"/>
    <col min="10007" max="10009" width="9" style="863"/>
    <col min="10010" max="10010" width="19.375" style="863" bestFit="1" customWidth="1"/>
    <col min="10011" max="10011" width="9" style="863"/>
    <col min="10012" max="10012" width="14.5" style="863" bestFit="1" customWidth="1"/>
    <col min="10013" max="10240" width="9" style="863"/>
    <col min="10241" max="10241" width="5.875" style="863" customWidth="1"/>
    <col min="10242" max="10242" width="5.25" style="863" customWidth="1"/>
    <col min="10243" max="10243" width="15.375" style="863" customWidth="1"/>
    <col min="10244" max="10249" width="18.375" style="863" customWidth="1"/>
    <col min="10250" max="10250" width="5.25" style="863" customWidth="1"/>
    <col min="10251" max="10251" width="5.5" style="863" customWidth="1"/>
    <col min="10252" max="10252" width="10.625" style="863" bestFit="1" customWidth="1"/>
    <col min="10253" max="10253" width="18.375" style="863" customWidth="1"/>
    <col min="10254" max="10255" width="15.75" style="863" bestFit="1" customWidth="1"/>
    <col min="10256" max="10256" width="13.75" style="863" bestFit="1" customWidth="1"/>
    <col min="10257" max="10257" width="12.375" style="863" bestFit="1" customWidth="1"/>
    <col min="10258" max="10258" width="17.125" style="863" bestFit="1" customWidth="1"/>
    <col min="10259" max="10259" width="16.375" style="863" bestFit="1" customWidth="1"/>
    <col min="10260" max="10260" width="13.5" style="863" customWidth="1"/>
    <col min="10261" max="10261" width="16.375" style="863" bestFit="1" customWidth="1"/>
    <col min="10262" max="10262" width="14.5" style="863" bestFit="1" customWidth="1"/>
    <col min="10263" max="10265" width="9" style="863"/>
    <col min="10266" max="10266" width="19.375" style="863" bestFit="1" customWidth="1"/>
    <col min="10267" max="10267" width="9" style="863"/>
    <col min="10268" max="10268" width="14.5" style="863" bestFit="1" customWidth="1"/>
    <col min="10269" max="10496" width="9" style="863"/>
    <col min="10497" max="10497" width="5.875" style="863" customWidth="1"/>
    <col min="10498" max="10498" width="5.25" style="863" customWidth="1"/>
    <col min="10499" max="10499" width="15.375" style="863" customWidth="1"/>
    <col min="10500" max="10505" width="18.375" style="863" customWidth="1"/>
    <col min="10506" max="10506" width="5.25" style="863" customWidth="1"/>
    <col min="10507" max="10507" width="5.5" style="863" customWidth="1"/>
    <col min="10508" max="10508" width="10.625" style="863" bestFit="1" customWidth="1"/>
    <col min="10509" max="10509" width="18.375" style="863" customWidth="1"/>
    <col min="10510" max="10511" width="15.75" style="863" bestFit="1" customWidth="1"/>
    <col min="10512" max="10512" width="13.75" style="863" bestFit="1" customWidth="1"/>
    <col min="10513" max="10513" width="12.375" style="863" bestFit="1" customWidth="1"/>
    <col min="10514" max="10514" width="17.125" style="863" bestFit="1" customWidth="1"/>
    <col min="10515" max="10515" width="16.375" style="863" bestFit="1" customWidth="1"/>
    <col min="10516" max="10516" width="13.5" style="863" customWidth="1"/>
    <col min="10517" max="10517" width="16.375" style="863" bestFit="1" customWidth="1"/>
    <col min="10518" max="10518" width="14.5" style="863" bestFit="1" customWidth="1"/>
    <col min="10519" max="10521" width="9" style="863"/>
    <col min="10522" max="10522" width="19.375" style="863" bestFit="1" customWidth="1"/>
    <col min="10523" max="10523" width="9" style="863"/>
    <col min="10524" max="10524" width="14.5" style="863" bestFit="1" customWidth="1"/>
    <col min="10525" max="10752" width="9" style="863"/>
    <col min="10753" max="10753" width="5.875" style="863" customWidth="1"/>
    <col min="10754" max="10754" width="5.25" style="863" customWidth="1"/>
    <col min="10755" max="10755" width="15.375" style="863" customWidth="1"/>
    <col min="10756" max="10761" width="18.375" style="863" customWidth="1"/>
    <col min="10762" max="10762" width="5.25" style="863" customWidth="1"/>
    <col min="10763" max="10763" width="5.5" style="863" customWidth="1"/>
    <col min="10764" max="10764" width="10.625" style="863" bestFit="1" customWidth="1"/>
    <col min="10765" max="10765" width="18.375" style="863" customWidth="1"/>
    <col min="10766" max="10767" width="15.75" style="863" bestFit="1" customWidth="1"/>
    <col min="10768" max="10768" width="13.75" style="863" bestFit="1" customWidth="1"/>
    <col min="10769" max="10769" width="12.375" style="863" bestFit="1" customWidth="1"/>
    <col min="10770" max="10770" width="17.125" style="863" bestFit="1" customWidth="1"/>
    <col min="10771" max="10771" width="16.375" style="863" bestFit="1" customWidth="1"/>
    <col min="10772" max="10772" width="13.5" style="863" customWidth="1"/>
    <col min="10773" max="10773" width="16.375" style="863" bestFit="1" customWidth="1"/>
    <col min="10774" max="10774" width="14.5" style="863" bestFit="1" customWidth="1"/>
    <col min="10775" max="10777" width="9" style="863"/>
    <col min="10778" max="10778" width="19.375" style="863" bestFit="1" customWidth="1"/>
    <col min="10779" max="10779" width="9" style="863"/>
    <col min="10780" max="10780" width="14.5" style="863" bestFit="1" customWidth="1"/>
    <col min="10781" max="11008" width="9" style="863"/>
    <col min="11009" max="11009" width="5.875" style="863" customWidth="1"/>
    <col min="11010" max="11010" width="5.25" style="863" customWidth="1"/>
    <col min="11011" max="11011" width="15.375" style="863" customWidth="1"/>
    <col min="11012" max="11017" width="18.375" style="863" customWidth="1"/>
    <col min="11018" max="11018" width="5.25" style="863" customWidth="1"/>
    <col min="11019" max="11019" width="5.5" style="863" customWidth="1"/>
    <col min="11020" max="11020" width="10.625" style="863" bestFit="1" customWidth="1"/>
    <col min="11021" max="11021" width="18.375" style="863" customWidth="1"/>
    <col min="11022" max="11023" width="15.75" style="863" bestFit="1" customWidth="1"/>
    <col min="11024" max="11024" width="13.75" style="863" bestFit="1" customWidth="1"/>
    <col min="11025" max="11025" width="12.375" style="863" bestFit="1" customWidth="1"/>
    <col min="11026" max="11026" width="17.125" style="863" bestFit="1" customWidth="1"/>
    <col min="11027" max="11027" width="16.375" style="863" bestFit="1" customWidth="1"/>
    <col min="11028" max="11028" width="13.5" style="863" customWidth="1"/>
    <col min="11029" max="11029" width="16.375" style="863" bestFit="1" customWidth="1"/>
    <col min="11030" max="11030" width="14.5" style="863" bestFit="1" customWidth="1"/>
    <col min="11031" max="11033" width="9" style="863"/>
    <col min="11034" max="11034" width="19.375" style="863" bestFit="1" customWidth="1"/>
    <col min="11035" max="11035" width="9" style="863"/>
    <col min="11036" max="11036" width="14.5" style="863" bestFit="1" customWidth="1"/>
    <col min="11037" max="11264" width="9" style="863"/>
    <col min="11265" max="11265" width="5.875" style="863" customWidth="1"/>
    <col min="11266" max="11266" width="5.25" style="863" customWidth="1"/>
    <col min="11267" max="11267" width="15.375" style="863" customWidth="1"/>
    <col min="11268" max="11273" width="18.375" style="863" customWidth="1"/>
    <col min="11274" max="11274" width="5.25" style="863" customWidth="1"/>
    <col min="11275" max="11275" width="5.5" style="863" customWidth="1"/>
    <col min="11276" max="11276" width="10.625" style="863" bestFit="1" customWidth="1"/>
    <col min="11277" max="11277" width="18.375" style="863" customWidth="1"/>
    <col min="11278" max="11279" width="15.75" style="863" bestFit="1" customWidth="1"/>
    <col min="11280" max="11280" width="13.75" style="863" bestFit="1" customWidth="1"/>
    <col min="11281" max="11281" width="12.375" style="863" bestFit="1" customWidth="1"/>
    <col min="11282" max="11282" width="17.125" style="863" bestFit="1" customWidth="1"/>
    <col min="11283" max="11283" width="16.375" style="863" bestFit="1" customWidth="1"/>
    <col min="11284" max="11284" width="13.5" style="863" customWidth="1"/>
    <col min="11285" max="11285" width="16.375" style="863" bestFit="1" customWidth="1"/>
    <col min="11286" max="11286" width="14.5" style="863" bestFit="1" customWidth="1"/>
    <col min="11287" max="11289" width="9" style="863"/>
    <col min="11290" max="11290" width="19.375" style="863" bestFit="1" customWidth="1"/>
    <col min="11291" max="11291" width="9" style="863"/>
    <col min="11292" max="11292" width="14.5" style="863" bestFit="1" customWidth="1"/>
    <col min="11293" max="11520" width="9" style="863"/>
    <col min="11521" max="11521" width="5.875" style="863" customWidth="1"/>
    <col min="11522" max="11522" width="5.25" style="863" customWidth="1"/>
    <col min="11523" max="11523" width="15.375" style="863" customWidth="1"/>
    <col min="11524" max="11529" width="18.375" style="863" customWidth="1"/>
    <col min="11530" max="11530" width="5.25" style="863" customWidth="1"/>
    <col min="11531" max="11531" width="5.5" style="863" customWidth="1"/>
    <col min="11532" max="11532" width="10.625" style="863" bestFit="1" customWidth="1"/>
    <col min="11533" max="11533" width="18.375" style="863" customWidth="1"/>
    <col min="11534" max="11535" width="15.75" style="863" bestFit="1" customWidth="1"/>
    <col min="11536" max="11536" width="13.75" style="863" bestFit="1" customWidth="1"/>
    <col min="11537" max="11537" width="12.375" style="863" bestFit="1" customWidth="1"/>
    <col min="11538" max="11538" width="17.125" style="863" bestFit="1" customWidth="1"/>
    <col min="11539" max="11539" width="16.375" style="863" bestFit="1" customWidth="1"/>
    <col min="11540" max="11540" width="13.5" style="863" customWidth="1"/>
    <col min="11541" max="11541" width="16.375" style="863" bestFit="1" customWidth="1"/>
    <col min="11542" max="11542" width="14.5" style="863" bestFit="1" customWidth="1"/>
    <col min="11543" max="11545" width="9" style="863"/>
    <col min="11546" max="11546" width="19.375" style="863" bestFit="1" customWidth="1"/>
    <col min="11547" max="11547" width="9" style="863"/>
    <col min="11548" max="11548" width="14.5" style="863" bestFit="1" customWidth="1"/>
    <col min="11549" max="11776" width="9" style="863"/>
    <col min="11777" max="11777" width="5.875" style="863" customWidth="1"/>
    <col min="11778" max="11778" width="5.25" style="863" customWidth="1"/>
    <col min="11779" max="11779" width="15.375" style="863" customWidth="1"/>
    <col min="11780" max="11785" width="18.375" style="863" customWidth="1"/>
    <col min="11786" max="11786" width="5.25" style="863" customWidth="1"/>
    <col min="11787" max="11787" width="5.5" style="863" customWidth="1"/>
    <col min="11788" max="11788" width="10.625" style="863" bestFit="1" customWidth="1"/>
    <col min="11789" max="11789" width="18.375" style="863" customWidth="1"/>
    <col min="11790" max="11791" width="15.75" style="863" bestFit="1" customWidth="1"/>
    <col min="11792" max="11792" width="13.75" style="863" bestFit="1" customWidth="1"/>
    <col min="11793" max="11793" width="12.375" style="863" bestFit="1" customWidth="1"/>
    <col min="11794" max="11794" width="17.125" style="863" bestFit="1" customWidth="1"/>
    <col min="11795" max="11795" width="16.375" style="863" bestFit="1" customWidth="1"/>
    <col min="11796" max="11796" width="13.5" style="863" customWidth="1"/>
    <col min="11797" max="11797" width="16.375" style="863" bestFit="1" customWidth="1"/>
    <col min="11798" max="11798" width="14.5" style="863" bestFit="1" customWidth="1"/>
    <col min="11799" max="11801" width="9" style="863"/>
    <col min="11802" max="11802" width="19.375" style="863" bestFit="1" customWidth="1"/>
    <col min="11803" max="11803" width="9" style="863"/>
    <col min="11804" max="11804" width="14.5" style="863" bestFit="1" customWidth="1"/>
    <col min="11805" max="12032" width="9" style="863"/>
    <col min="12033" max="12033" width="5.875" style="863" customWidth="1"/>
    <col min="12034" max="12034" width="5.25" style="863" customWidth="1"/>
    <col min="12035" max="12035" width="15.375" style="863" customWidth="1"/>
    <col min="12036" max="12041" width="18.375" style="863" customWidth="1"/>
    <col min="12042" max="12042" width="5.25" style="863" customWidth="1"/>
    <col min="12043" max="12043" width="5.5" style="863" customWidth="1"/>
    <col min="12044" max="12044" width="10.625" style="863" bestFit="1" customWidth="1"/>
    <col min="12045" max="12045" width="18.375" style="863" customWidth="1"/>
    <col min="12046" max="12047" width="15.75" style="863" bestFit="1" customWidth="1"/>
    <col min="12048" max="12048" width="13.75" style="863" bestFit="1" customWidth="1"/>
    <col min="12049" max="12049" width="12.375" style="863" bestFit="1" customWidth="1"/>
    <col min="12050" max="12050" width="17.125" style="863" bestFit="1" customWidth="1"/>
    <col min="12051" max="12051" width="16.375" style="863" bestFit="1" customWidth="1"/>
    <col min="12052" max="12052" width="13.5" style="863" customWidth="1"/>
    <col min="12053" max="12053" width="16.375" style="863" bestFit="1" customWidth="1"/>
    <col min="12054" max="12054" width="14.5" style="863" bestFit="1" customWidth="1"/>
    <col min="12055" max="12057" width="9" style="863"/>
    <col min="12058" max="12058" width="19.375" style="863" bestFit="1" customWidth="1"/>
    <col min="12059" max="12059" width="9" style="863"/>
    <col min="12060" max="12060" width="14.5" style="863" bestFit="1" customWidth="1"/>
    <col min="12061" max="12288" width="9" style="863"/>
    <col min="12289" max="12289" width="5.875" style="863" customWidth="1"/>
    <col min="12290" max="12290" width="5.25" style="863" customWidth="1"/>
    <col min="12291" max="12291" width="15.375" style="863" customWidth="1"/>
    <col min="12292" max="12297" width="18.375" style="863" customWidth="1"/>
    <col min="12298" max="12298" width="5.25" style="863" customWidth="1"/>
    <col min="12299" max="12299" width="5.5" style="863" customWidth="1"/>
    <col min="12300" max="12300" width="10.625" style="863" bestFit="1" customWidth="1"/>
    <col min="12301" max="12301" width="18.375" style="863" customWidth="1"/>
    <col min="12302" max="12303" width="15.75" style="863" bestFit="1" customWidth="1"/>
    <col min="12304" max="12304" width="13.75" style="863" bestFit="1" customWidth="1"/>
    <col min="12305" max="12305" width="12.375" style="863" bestFit="1" customWidth="1"/>
    <col min="12306" max="12306" width="17.125" style="863" bestFit="1" customWidth="1"/>
    <col min="12307" max="12307" width="16.375" style="863" bestFit="1" customWidth="1"/>
    <col min="12308" max="12308" width="13.5" style="863" customWidth="1"/>
    <col min="12309" max="12309" width="16.375" style="863" bestFit="1" customWidth="1"/>
    <col min="12310" max="12310" width="14.5" style="863" bestFit="1" customWidth="1"/>
    <col min="12311" max="12313" width="9" style="863"/>
    <col min="12314" max="12314" width="19.375" style="863" bestFit="1" customWidth="1"/>
    <col min="12315" max="12315" width="9" style="863"/>
    <col min="12316" max="12316" width="14.5" style="863" bestFit="1" customWidth="1"/>
    <col min="12317" max="12544" width="9" style="863"/>
    <col min="12545" max="12545" width="5.875" style="863" customWidth="1"/>
    <col min="12546" max="12546" width="5.25" style="863" customWidth="1"/>
    <col min="12547" max="12547" width="15.375" style="863" customWidth="1"/>
    <col min="12548" max="12553" width="18.375" style="863" customWidth="1"/>
    <col min="12554" max="12554" width="5.25" style="863" customWidth="1"/>
    <col min="12555" max="12555" width="5.5" style="863" customWidth="1"/>
    <col min="12556" max="12556" width="10.625" style="863" bestFit="1" customWidth="1"/>
    <col min="12557" max="12557" width="18.375" style="863" customWidth="1"/>
    <col min="12558" max="12559" width="15.75" style="863" bestFit="1" customWidth="1"/>
    <col min="12560" max="12560" width="13.75" style="863" bestFit="1" customWidth="1"/>
    <col min="12561" max="12561" width="12.375" style="863" bestFit="1" customWidth="1"/>
    <col min="12562" max="12562" width="17.125" style="863" bestFit="1" customWidth="1"/>
    <col min="12563" max="12563" width="16.375" style="863" bestFit="1" customWidth="1"/>
    <col min="12564" max="12564" width="13.5" style="863" customWidth="1"/>
    <col min="12565" max="12565" width="16.375" style="863" bestFit="1" customWidth="1"/>
    <col min="12566" max="12566" width="14.5" style="863" bestFit="1" customWidth="1"/>
    <col min="12567" max="12569" width="9" style="863"/>
    <col min="12570" max="12570" width="19.375" style="863" bestFit="1" customWidth="1"/>
    <col min="12571" max="12571" width="9" style="863"/>
    <col min="12572" max="12572" width="14.5" style="863" bestFit="1" customWidth="1"/>
    <col min="12573" max="12800" width="9" style="863"/>
    <col min="12801" max="12801" width="5.875" style="863" customWidth="1"/>
    <col min="12802" max="12802" width="5.25" style="863" customWidth="1"/>
    <col min="12803" max="12803" width="15.375" style="863" customWidth="1"/>
    <col min="12804" max="12809" width="18.375" style="863" customWidth="1"/>
    <col min="12810" max="12810" width="5.25" style="863" customWidth="1"/>
    <col min="12811" max="12811" width="5.5" style="863" customWidth="1"/>
    <col min="12812" max="12812" width="10.625" style="863" bestFit="1" customWidth="1"/>
    <col min="12813" max="12813" width="18.375" style="863" customWidth="1"/>
    <col min="12814" max="12815" width="15.75" style="863" bestFit="1" customWidth="1"/>
    <col min="12816" max="12816" width="13.75" style="863" bestFit="1" customWidth="1"/>
    <col min="12817" max="12817" width="12.375" style="863" bestFit="1" customWidth="1"/>
    <col min="12818" max="12818" width="17.125" style="863" bestFit="1" customWidth="1"/>
    <col min="12819" max="12819" width="16.375" style="863" bestFit="1" customWidth="1"/>
    <col min="12820" max="12820" width="13.5" style="863" customWidth="1"/>
    <col min="12821" max="12821" width="16.375" style="863" bestFit="1" customWidth="1"/>
    <col min="12822" max="12822" width="14.5" style="863" bestFit="1" customWidth="1"/>
    <col min="12823" max="12825" width="9" style="863"/>
    <col min="12826" max="12826" width="19.375" style="863" bestFit="1" customWidth="1"/>
    <col min="12827" max="12827" width="9" style="863"/>
    <col min="12828" max="12828" width="14.5" style="863" bestFit="1" customWidth="1"/>
    <col min="12829" max="13056" width="9" style="863"/>
    <col min="13057" max="13057" width="5.875" style="863" customWidth="1"/>
    <col min="13058" max="13058" width="5.25" style="863" customWidth="1"/>
    <col min="13059" max="13059" width="15.375" style="863" customWidth="1"/>
    <col min="13060" max="13065" width="18.375" style="863" customWidth="1"/>
    <col min="13066" max="13066" width="5.25" style="863" customWidth="1"/>
    <col min="13067" max="13067" width="5.5" style="863" customWidth="1"/>
    <col min="13068" max="13068" width="10.625" style="863" bestFit="1" customWidth="1"/>
    <col min="13069" max="13069" width="18.375" style="863" customWidth="1"/>
    <col min="13070" max="13071" width="15.75" style="863" bestFit="1" customWidth="1"/>
    <col min="13072" max="13072" width="13.75" style="863" bestFit="1" customWidth="1"/>
    <col min="13073" max="13073" width="12.375" style="863" bestFit="1" customWidth="1"/>
    <col min="13074" max="13074" width="17.125" style="863" bestFit="1" customWidth="1"/>
    <col min="13075" max="13075" width="16.375" style="863" bestFit="1" customWidth="1"/>
    <col min="13076" max="13076" width="13.5" style="863" customWidth="1"/>
    <col min="13077" max="13077" width="16.375" style="863" bestFit="1" customWidth="1"/>
    <col min="13078" max="13078" width="14.5" style="863" bestFit="1" customWidth="1"/>
    <col min="13079" max="13081" width="9" style="863"/>
    <col min="13082" max="13082" width="19.375" style="863" bestFit="1" customWidth="1"/>
    <col min="13083" max="13083" width="9" style="863"/>
    <col min="13084" max="13084" width="14.5" style="863" bestFit="1" customWidth="1"/>
    <col min="13085" max="13312" width="9" style="863"/>
    <col min="13313" max="13313" width="5.875" style="863" customWidth="1"/>
    <col min="13314" max="13314" width="5.25" style="863" customWidth="1"/>
    <col min="13315" max="13315" width="15.375" style="863" customWidth="1"/>
    <col min="13316" max="13321" width="18.375" style="863" customWidth="1"/>
    <col min="13322" max="13322" width="5.25" style="863" customWidth="1"/>
    <col min="13323" max="13323" width="5.5" style="863" customWidth="1"/>
    <col min="13324" max="13324" width="10.625" style="863" bestFit="1" customWidth="1"/>
    <col min="13325" max="13325" width="18.375" style="863" customWidth="1"/>
    <col min="13326" max="13327" width="15.75" style="863" bestFit="1" customWidth="1"/>
    <col min="13328" max="13328" width="13.75" style="863" bestFit="1" customWidth="1"/>
    <col min="13329" max="13329" width="12.375" style="863" bestFit="1" customWidth="1"/>
    <col min="13330" max="13330" width="17.125" style="863" bestFit="1" customWidth="1"/>
    <col min="13331" max="13331" width="16.375" style="863" bestFit="1" customWidth="1"/>
    <col min="13332" max="13332" width="13.5" style="863" customWidth="1"/>
    <col min="13333" max="13333" width="16.375" style="863" bestFit="1" customWidth="1"/>
    <col min="13334" max="13334" width="14.5" style="863" bestFit="1" customWidth="1"/>
    <col min="13335" max="13337" width="9" style="863"/>
    <col min="13338" max="13338" width="19.375" style="863" bestFit="1" customWidth="1"/>
    <col min="13339" max="13339" width="9" style="863"/>
    <col min="13340" max="13340" width="14.5" style="863" bestFit="1" customWidth="1"/>
    <col min="13341" max="13568" width="9" style="863"/>
    <col min="13569" max="13569" width="5.875" style="863" customWidth="1"/>
    <col min="13570" max="13570" width="5.25" style="863" customWidth="1"/>
    <col min="13571" max="13571" width="15.375" style="863" customWidth="1"/>
    <col min="13572" max="13577" width="18.375" style="863" customWidth="1"/>
    <col min="13578" max="13578" width="5.25" style="863" customWidth="1"/>
    <col min="13579" max="13579" width="5.5" style="863" customWidth="1"/>
    <col min="13580" max="13580" width="10.625" style="863" bestFit="1" customWidth="1"/>
    <col min="13581" max="13581" width="18.375" style="863" customWidth="1"/>
    <col min="13582" max="13583" width="15.75" style="863" bestFit="1" customWidth="1"/>
    <col min="13584" max="13584" width="13.75" style="863" bestFit="1" customWidth="1"/>
    <col min="13585" max="13585" width="12.375" style="863" bestFit="1" customWidth="1"/>
    <col min="13586" max="13586" width="17.125" style="863" bestFit="1" customWidth="1"/>
    <col min="13587" max="13587" width="16.375" style="863" bestFit="1" customWidth="1"/>
    <col min="13588" max="13588" width="13.5" style="863" customWidth="1"/>
    <col min="13589" max="13589" width="16.375" style="863" bestFit="1" customWidth="1"/>
    <col min="13590" max="13590" width="14.5" style="863" bestFit="1" customWidth="1"/>
    <col min="13591" max="13593" width="9" style="863"/>
    <col min="13594" max="13594" width="19.375" style="863" bestFit="1" customWidth="1"/>
    <col min="13595" max="13595" width="9" style="863"/>
    <col min="13596" max="13596" width="14.5" style="863" bestFit="1" customWidth="1"/>
    <col min="13597" max="13824" width="9" style="863"/>
    <col min="13825" max="13825" width="5.875" style="863" customWidth="1"/>
    <col min="13826" max="13826" width="5.25" style="863" customWidth="1"/>
    <col min="13827" max="13827" width="15.375" style="863" customWidth="1"/>
    <col min="13828" max="13833" width="18.375" style="863" customWidth="1"/>
    <col min="13834" max="13834" width="5.25" style="863" customWidth="1"/>
    <col min="13835" max="13835" width="5.5" style="863" customWidth="1"/>
    <col min="13836" max="13836" width="10.625" style="863" bestFit="1" customWidth="1"/>
    <col min="13837" max="13837" width="18.375" style="863" customWidth="1"/>
    <col min="13838" max="13839" width="15.75" style="863" bestFit="1" customWidth="1"/>
    <col min="13840" max="13840" width="13.75" style="863" bestFit="1" customWidth="1"/>
    <col min="13841" max="13841" width="12.375" style="863" bestFit="1" customWidth="1"/>
    <col min="13842" max="13842" width="17.125" style="863" bestFit="1" customWidth="1"/>
    <col min="13843" max="13843" width="16.375" style="863" bestFit="1" customWidth="1"/>
    <col min="13844" max="13844" width="13.5" style="863" customWidth="1"/>
    <col min="13845" max="13845" width="16.375" style="863" bestFit="1" customWidth="1"/>
    <col min="13846" max="13846" width="14.5" style="863" bestFit="1" customWidth="1"/>
    <col min="13847" max="13849" width="9" style="863"/>
    <col min="13850" max="13850" width="19.375" style="863" bestFit="1" customWidth="1"/>
    <col min="13851" max="13851" width="9" style="863"/>
    <col min="13852" max="13852" width="14.5" style="863" bestFit="1" customWidth="1"/>
    <col min="13853" max="14080" width="9" style="863"/>
    <col min="14081" max="14081" width="5.875" style="863" customWidth="1"/>
    <col min="14082" max="14082" width="5.25" style="863" customWidth="1"/>
    <col min="14083" max="14083" width="15.375" style="863" customWidth="1"/>
    <col min="14084" max="14089" width="18.375" style="863" customWidth="1"/>
    <col min="14090" max="14090" width="5.25" style="863" customWidth="1"/>
    <col min="14091" max="14091" width="5.5" style="863" customWidth="1"/>
    <col min="14092" max="14092" width="10.625" style="863" bestFit="1" customWidth="1"/>
    <col min="14093" max="14093" width="18.375" style="863" customWidth="1"/>
    <col min="14094" max="14095" width="15.75" style="863" bestFit="1" customWidth="1"/>
    <col min="14096" max="14096" width="13.75" style="863" bestFit="1" customWidth="1"/>
    <col min="14097" max="14097" width="12.375" style="863" bestFit="1" customWidth="1"/>
    <col min="14098" max="14098" width="17.125" style="863" bestFit="1" customWidth="1"/>
    <col min="14099" max="14099" width="16.375" style="863" bestFit="1" customWidth="1"/>
    <col min="14100" max="14100" width="13.5" style="863" customWidth="1"/>
    <col min="14101" max="14101" width="16.375" style="863" bestFit="1" customWidth="1"/>
    <col min="14102" max="14102" width="14.5" style="863" bestFit="1" customWidth="1"/>
    <col min="14103" max="14105" width="9" style="863"/>
    <col min="14106" max="14106" width="19.375" style="863" bestFit="1" customWidth="1"/>
    <col min="14107" max="14107" width="9" style="863"/>
    <col min="14108" max="14108" width="14.5" style="863" bestFit="1" customWidth="1"/>
    <col min="14109" max="14336" width="9" style="863"/>
    <col min="14337" max="14337" width="5.875" style="863" customWidth="1"/>
    <col min="14338" max="14338" width="5.25" style="863" customWidth="1"/>
    <col min="14339" max="14339" width="15.375" style="863" customWidth="1"/>
    <col min="14340" max="14345" width="18.375" style="863" customWidth="1"/>
    <col min="14346" max="14346" width="5.25" style="863" customWidth="1"/>
    <col min="14347" max="14347" width="5.5" style="863" customWidth="1"/>
    <col min="14348" max="14348" width="10.625" style="863" bestFit="1" customWidth="1"/>
    <col min="14349" max="14349" width="18.375" style="863" customWidth="1"/>
    <col min="14350" max="14351" width="15.75" style="863" bestFit="1" customWidth="1"/>
    <col min="14352" max="14352" width="13.75" style="863" bestFit="1" customWidth="1"/>
    <col min="14353" max="14353" width="12.375" style="863" bestFit="1" customWidth="1"/>
    <col min="14354" max="14354" width="17.125" style="863" bestFit="1" customWidth="1"/>
    <col min="14355" max="14355" width="16.375" style="863" bestFit="1" customWidth="1"/>
    <col min="14356" max="14356" width="13.5" style="863" customWidth="1"/>
    <col min="14357" max="14357" width="16.375" style="863" bestFit="1" customWidth="1"/>
    <col min="14358" max="14358" width="14.5" style="863" bestFit="1" customWidth="1"/>
    <col min="14359" max="14361" width="9" style="863"/>
    <col min="14362" max="14362" width="19.375" style="863" bestFit="1" customWidth="1"/>
    <col min="14363" max="14363" width="9" style="863"/>
    <col min="14364" max="14364" width="14.5" style="863" bestFit="1" customWidth="1"/>
    <col min="14365" max="14592" width="9" style="863"/>
    <col min="14593" max="14593" width="5.875" style="863" customWidth="1"/>
    <col min="14594" max="14594" width="5.25" style="863" customWidth="1"/>
    <col min="14595" max="14595" width="15.375" style="863" customWidth="1"/>
    <col min="14596" max="14601" width="18.375" style="863" customWidth="1"/>
    <col min="14602" max="14602" width="5.25" style="863" customWidth="1"/>
    <col min="14603" max="14603" width="5.5" style="863" customWidth="1"/>
    <col min="14604" max="14604" width="10.625" style="863" bestFit="1" customWidth="1"/>
    <col min="14605" max="14605" width="18.375" style="863" customWidth="1"/>
    <col min="14606" max="14607" width="15.75" style="863" bestFit="1" customWidth="1"/>
    <col min="14608" max="14608" width="13.75" style="863" bestFit="1" customWidth="1"/>
    <col min="14609" max="14609" width="12.375" style="863" bestFit="1" customWidth="1"/>
    <col min="14610" max="14610" width="17.125" style="863" bestFit="1" customWidth="1"/>
    <col min="14611" max="14611" width="16.375" style="863" bestFit="1" customWidth="1"/>
    <col min="14612" max="14612" width="13.5" style="863" customWidth="1"/>
    <col min="14613" max="14613" width="16.375" style="863" bestFit="1" customWidth="1"/>
    <col min="14614" max="14614" width="14.5" style="863" bestFit="1" customWidth="1"/>
    <col min="14615" max="14617" width="9" style="863"/>
    <col min="14618" max="14618" width="19.375" style="863" bestFit="1" customWidth="1"/>
    <col min="14619" max="14619" width="9" style="863"/>
    <col min="14620" max="14620" width="14.5" style="863" bestFit="1" customWidth="1"/>
    <col min="14621" max="14848" width="9" style="863"/>
    <col min="14849" max="14849" width="5.875" style="863" customWidth="1"/>
    <col min="14850" max="14850" width="5.25" style="863" customWidth="1"/>
    <col min="14851" max="14851" width="15.375" style="863" customWidth="1"/>
    <col min="14852" max="14857" width="18.375" style="863" customWidth="1"/>
    <col min="14858" max="14858" width="5.25" style="863" customWidth="1"/>
    <col min="14859" max="14859" width="5.5" style="863" customWidth="1"/>
    <col min="14860" max="14860" width="10.625" style="863" bestFit="1" customWidth="1"/>
    <col min="14861" max="14861" width="18.375" style="863" customWidth="1"/>
    <col min="14862" max="14863" width="15.75" style="863" bestFit="1" customWidth="1"/>
    <col min="14864" max="14864" width="13.75" style="863" bestFit="1" customWidth="1"/>
    <col min="14865" max="14865" width="12.375" style="863" bestFit="1" customWidth="1"/>
    <col min="14866" max="14866" width="17.125" style="863" bestFit="1" customWidth="1"/>
    <col min="14867" max="14867" width="16.375" style="863" bestFit="1" customWidth="1"/>
    <col min="14868" max="14868" width="13.5" style="863" customWidth="1"/>
    <col min="14869" max="14869" width="16.375" style="863" bestFit="1" customWidth="1"/>
    <col min="14870" max="14870" width="14.5" style="863" bestFit="1" customWidth="1"/>
    <col min="14871" max="14873" width="9" style="863"/>
    <col min="14874" max="14874" width="19.375" style="863" bestFit="1" customWidth="1"/>
    <col min="14875" max="14875" width="9" style="863"/>
    <col min="14876" max="14876" width="14.5" style="863" bestFit="1" customWidth="1"/>
    <col min="14877" max="15104" width="9" style="863"/>
    <col min="15105" max="15105" width="5.875" style="863" customWidth="1"/>
    <col min="15106" max="15106" width="5.25" style="863" customWidth="1"/>
    <col min="15107" max="15107" width="15.375" style="863" customWidth="1"/>
    <col min="15108" max="15113" width="18.375" style="863" customWidth="1"/>
    <col min="15114" max="15114" width="5.25" style="863" customWidth="1"/>
    <col min="15115" max="15115" width="5.5" style="863" customWidth="1"/>
    <col min="15116" max="15116" width="10.625" style="863" bestFit="1" customWidth="1"/>
    <col min="15117" max="15117" width="18.375" style="863" customWidth="1"/>
    <col min="15118" max="15119" width="15.75" style="863" bestFit="1" customWidth="1"/>
    <col min="15120" max="15120" width="13.75" style="863" bestFit="1" customWidth="1"/>
    <col min="15121" max="15121" width="12.375" style="863" bestFit="1" customWidth="1"/>
    <col min="15122" max="15122" width="17.125" style="863" bestFit="1" customWidth="1"/>
    <col min="15123" max="15123" width="16.375" style="863" bestFit="1" customWidth="1"/>
    <col min="15124" max="15124" width="13.5" style="863" customWidth="1"/>
    <col min="15125" max="15125" width="16.375" style="863" bestFit="1" customWidth="1"/>
    <col min="15126" max="15126" width="14.5" style="863" bestFit="1" customWidth="1"/>
    <col min="15127" max="15129" width="9" style="863"/>
    <col min="15130" max="15130" width="19.375" style="863" bestFit="1" customWidth="1"/>
    <col min="15131" max="15131" width="9" style="863"/>
    <col min="15132" max="15132" width="14.5" style="863" bestFit="1" customWidth="1"/>
    <col min="15133" max="15360" width="9" style="863"/>
    <col min="15361" max="15361" width="5.875" style="863" customWidth="1"/>
    <col min="15362" max="15362" width="5.25" style="863" customWidth="1"/>
    <col min="15363" max="15363" width="15.375" style="863" customWidth="1"/>
    <col min="15364" max="15369" width="18.375" style="863" customWidth="1"/>
    <col min="15370" max="15370" width="5.25" style="863" customWidth="1"/>
    <col min="15371" max="15371" width="5.5" style="863" customWidth="1"/>
    <col min="15372" max="15372" width="10.625" style="863" bestFit="1" customWidth="1"/>
    <col min="15373" max="15373" width="18.375" style="863" customWidth="1"/>
    <col min="15374" max="15375" width="15.75" style="863" bestFit="1" customWidth="1"/>
    <col min="15376" max="15376" width="13.75" style="863" bestFit="1" customWidth="1"/>
    <col min="15377" max="15377" width="12.375" style="863" bestFit="1" customWidth="1"/>
    <col min="15378" max="15378" width="17.125" style="863" bestFit="1" customWidth="1"/>
    <col min="15379" max="15379" width="16.375" style="863" bestFit="1" customWidth="1"/>
    <col min="15380" max="15380" width="13.5" style="863" customWidth="1"/>
    <col min="15381" max="15381" width="16.375" style="863" bestFit="1" customWidth="1"/>
    <col min="15382" max="15382" width="14.5" style="863" bestFit="1" customWidth="1"/>
    <col min="15383" max="15385" width="9" style="863"/>
    <col min="15386" max="15386" width="19.375" style="863" bestFit="1" customWidth="1"/>
    <col min="15387" max="15387" width="9" style="863"/>
    <col min="15388" max="15388" width="14.5" style="863" bestFit="1" customWidth="1"/>
    <col min="15389" max="15616" width="9" style="863"/>
    <col min="15617" max="15617" width="5.875" style="863" customWidth="1"/>
    <col min="15618" max="15618" width="5.25" style="863" customWidth="1"/>
    <col min="15619" max="15619" width="15.375" style="863" customWidth="1"/>
    <col min="15620" max="15625" width="18.375" style="863" customWidth="1"/>
    <col min="15626" max="15626" width="5.25" style="863" customWidth="1"/>
    <col min="15627" max="15627" width="5.5" style="863" customWidth="1"/>
    <col min="15628" max="15628" width="10.625" style="863" bestFit="1" customWidth="1"/>
    <col min="15629" max="15629" width="18.375" style="863" customWidth="1"/>
    <col min="15630" max="15631" width="15.75" style="863" bestFit="1" customWidth="1"/>
    <col min="15632" max="15632" width="13.75" style="863" bestFit="1" customWidth="1"/>
    <col min="15633" max="15633" width="12.375" style="863" bestFit="1" customWidth="1"/>
    <col min="15634" max="15634" width="17.125" style="863" bestFit="1" customWidth="1"/>
    <col min="15635" max="15635" width="16.375" style="863" bestFit="1" customWidth="1"/>
    <col min="15636" max="15636" width="13.5" style="863" customWidth="1"/>
    <col min="15637" max="15637" width="16.375" style="863" bestFit="1" customWidth="1"/>
    <col min="15638" max="15638" width="14.5" style="863" bestFit="1" customWidth="1"/>
    <col min="15639" max="15641" width="9" style="863"/>
    <col min="15642" max="15642" width="19.375" style="863" bestFit="1" customWidth="1"/>
    <col min="15643" max="15643" width="9" style="863"/>
    <col min="15644" max="15644" width="14.5" style="863" bestFit="1" customWidth="1"/>
    <col min="15645" max="15872" width="9" style="863"/>
    <col min="15873" max="15873" width="5.875" style="863" customWidth="1"/>
    <col min="15874" max="15874" width="5.25" style="863" customWidth="1"/>
    <col min="15875" max="15875" width="15.375" style="863" customWidth="1"/>
    <col min="15876" max="15881" width="18.375" style="863" customWidth="1"/>
    <col min="15882" max="15882" width="5.25" style="863" customWidth="1"/>
    <col min="15883" max="15883" width="5.5" style="863" customWidth="1"/>
    <col min="15884" max="15884" width="10.625" style="863" bestFit="1" customWidth="1"/>
    <col min="15885" max="15885" width="18.375" style="863" customWidth="1"/>
    <col min="15886" max="15887" width="15.75" style="863" bestFit="1" customWidth="1"/>
    <col min="15888" max="15888" width="13.75" style="863" bestFit="1" customWidth="1"/>
    <col min="15889" max="15889" width="12.375" style="863" bestFit="1" customWidth="1"/>
    <col min="15890" max="15890" width="17.125" style="863" bestFit="1" customWidth="1"/>
    <col min="15891" max="15891" width="16.375" style="863" bestFit="1" customWidth="1"/>
    <col min="15892" max="15892" width="13.5" style="863" customWidth="1"/>
    <col min="15893" max="15893" width="16.375" style="863" bestFit="1" customWidth="1"/>
    <col min="15894" max="15894" width="14.5" style="863" bestFit="1" customWidth="1"/>
    <col min="15895" max="15897" width="9" style="863"/>
    <col min="15898" max="15898" width="19.375" style="863" bestFit="1" customWidth="1"/>
    <col min="15899" max="15899" width="9" style="863"/>
    <col min="15900" max="15900" width="14.5" style="863" bestFit="1" customWidth="1"/>
    <col min="15901" max="16128" width="9" style="863"/>
    <col min="16129" max="16129" width="5.875" style="863" customWidth="1"/>
    <col min="16130" max="16130" width="5.25" style="863" customWidth="1"/>
    <col min="16131" max="16131" width="15.375" style="863" customWidth="1"/>
    <col min="16132" max="16137" width="18.375" style="863" customWidth="1"/>
    <col min="16138" max="16138" width="5.25" style="863" customWidth="1"/>
    <col min="16139" max="16139" width="5.5" style="863" customWidth="1"/>
    <col min="16140" max="16140" width="10.625" style="863" bestFit="1" customWidth="1"/>
    <col min="16141" max="16141" width="18.375" style="863" customWidth="1"/>
    <col min="16142" max="16143" width="15.75" style="863" bestFit="1" customWidth="1"/>
    <col min="16144" max="16144" width="13.75" style="863" bestFit="1" customWidth="1"/>
    <col min="16145" max="16145" width="12.375" style="863" bestFit="1" customWidth="1"/>
    <col min="16146" max="16146" width="17.125" style="863" bestFit="1" customWidth="1"/>
    <col min="16147" max="16147" width="16.375" style="863" bestFit="1" customWidth="1"/>
    <col min="16148" max="16148" width="13.5" style="863" customWidth="1"/>
    <col min="16149" max="16149" width="16.375" style="863" bestFit="1" customWidth="1"/>
    <col min="16150" max="16150" width="14.5" style="863" bestFit="1" customWidth="1"/>
    <col min="16151" max="16153" width="9" style="863"/>
    <col min="16154" max="16154" width="19.375" style="863" bestFit="1" customWidth="1"/>
    <col min="16155" max="16155" width="9" style="863"/>
    <col min="16156" max="16156" width="14.5" style="863" bestFit="1" customWidth="1"/>
    <col min="16157" max="16384" width="9" style="863"/>
  </cols>
  <sheetData>
    <row r="1" spans="1:19" s="1056" customFormat="1" ht="19.5">
      <c r="A1" s="1055" t="s">
        <v>579</v>
      </c>
      <c r="D1" s="1057"/>
      <c r="I1" s="1058"/>
    </row>
    <row r="2" spans="1:19" ht="20.100000000000001" customHeight="1" thickBot="1"/>
    <row r="3" spans="1:19" ht="20.100000000000001" customHeight="1">
      <c r="A3" s="863" t="s">
        <v>580</v>
      </c>
      <c r="F3" s="1059" t="s">
        <v>581</v>
      </c>
      <c r="G3" s="1060"/>
      <c r="H3" s="1061"/>
      <c r="J3" s="863" t="s">
        <v>582</v>
      </c>
    </row>
    <row r="4" spans="1:19" ht="20.100000000000001" customHeight="1" thickBot="1">
      <c r="B4" s="863" t="s">
        <v>583</v>
      </c>
      <c r="F4" s="1062" t="s">
        <v>584</v>
      </c>
      <c r="G4" s="1063"/>
      <c r="H4" s="1064">
        <v>10343.879999999999</v>
      </c>
      <c r="K4" s="863" t="s">
        <v>585</v>
      </c>
    </row>
    <row r="5" spans="1:19" ht="20.100000000000001" customHeight="1">
      <c r="C5" s="863" t="s">
        <v>586</v>
      </c>
      <c r="D5" s="1065">
        <f>'[2]스케줄(161013)'!E13</f>
        <v>109890000000</v>
      </c>
      <c r="F5" s="1062" t="s">
        <v>587</v>
      </c>
      <c r="G5" s="1063"/>
      <c r="H5" s="1064">
        <v>426.66</v>
      </c>
      <c r="L5" s="2108" t="s">
        <v>588</v>
      </c>
      <c r="M5" s="2109"/>
      <c r="N5" s="2110" t="s">
        <v>464</v>
      </c>
      <c r="O5" s="2112" t="s">
        <v>525</v>
      </c>
      <c r="P5" s="2113"/>
      <c r="Q5" s="2113"/>
      <c r="R5" s="2114"/>
    </row>
    <row r="6" spans="1:19" ht="20.100000000000001" customHeight="1">
      <c r="C6" s="863" t="s">
        <v>589</v>
      </c>
      <c r="D6" s="1066">
        <f>-('[2]조기상환(160113)'!T73-SUM('[2]조기상환(160113)'!T74:T76))</f>
        <v>-608634815.41494548</v>
      </c>
      <c r="F6" s="1062" t="s">
        <v>590</v>
      </c>
      <c r="G6" s="1063"/>
      <c r="H6" s="1064">
        <f>SUM(H4:H5)</f>
        <v>10770.539999999999</v>
      </c>
      <c r="L6" s="1067" t="s">
        <v>591</v>
      </c>
      <c r="M6" s="1068" t="s">
        <v>592</v>
      </c>
      <c r="N6" s="2111"/>
      <c r="O6" s="1069" t="s">
        <v>593</v>
      </c>
      <c r="P6" s="1070" t="s">
        <v>594</v>
      </c>
      <c r="Q6" s="1070" t="s">
        <v>595</v>
      </c>
      <c r="R6" s="1071" t="s">
        <v>596</v>
      </c>
    </row>
    <row r="7" spans="1:19" ht="20.100000000000001" customHeight="1">
      <c r="C7" s="863" t="s">
        <v>597</v>
      </c>
      <c r="D7" s="1066">
        <f>-('[2]조기상환(160113)'!S73-SUM('[2]조기상환(160113)'!S74:S76))</f>
        <v>-11766907304.706161</v>
      </c>
      <c r="F7" s="1062" t="s">
        <v>598</v>
      </c>
      <c r="G7" s="1063"/>
      <c r="H7" s="1072">
        <f>'[2]스케줄(161013)'!E13</f>
        <v>109890000000</v>
      </c>
      <c r="L7" s="1073"/>
      <c r="M7" s="1074">
        <v>42018</v>
      </c>
      <c r="N7" s="1075"/>
      <c r="O7" s="1076">
        <v>160000000000</v>
      </c>
      <c r="P7" s="1077"/>
      <c r="Q7" s="1078"/>
      <c r="R7" s="935"/>
    </row>
    <row r="8" spans="1:19" ht="20.100000000000001" customHeight="1">
      <c r="C8" s="863" t="s">
        <v>599</v>
      </c>
      <c r="D8" s="1079">
        <f>SUM(D5:D7)</f>
        <v>97514457879.878891</v>
      </c>
      <c r="F8" s="1062" t="s">
        <v>600</v>
      </c>
      <c r="G8" s="1063"/>
      <c r="H8" s="1072">
        <f>H7/10000</f>
        <v>10989000</v>
      </c>
      <c r="L8" s="1080">
        <v>1</v>
      </c>
      <c r="M8" s="1081">
        <v>42107</v>
      </c>
      <c r="N8" s="1082">
        <v>89</v>
      </c>
      <c r="O8" s="1083">
        <v>156510000000</v>
      </c>
      <c r="P8" s="1084">
        <v>3490000000</v>
      </c>
      <c r="Q8" s="1085">
        <v>6.6000000000000003E-2</v>
      </c>
      <c r="R8" s="1086">
        <v>2574904109.5890412</v>
      </c>
    </row>
    <row r="9" spans="1:19" ht="20.100000000000001" customHeight="1">
      <c r="F9" s="1062" t="s">
        <v>601</v>
      </c>
      <c r="G9" s="1063"/>
      <c r="H9" s="1087">
        <f>'[2]스케줄(161013)'!F14</f>
        <v>65000000000</v>
      </c>
      <c r="L9" s="1080">
        <v>2</v>
      </c>
      <c r="M9" s="1081">
        <v>42198</v>
      </c>
      <c r="N9" s="1082">
        <v>91</v>
      </c>
      <c r="O9" s="1083">
        <v>153180000000</v>
      </c>
      <c r="P9" s="1084">
        <v>3330000000</v>
      </c>
      <c r="Q9" s="1085">
        <v>6.6000000000000003E-2</v>
      </c>
      <c r="R9" s="1086">
        <v>2575339890.4109588</v>
      </c>
    </row>
    <row r="10" spans="1:19" ht="20.100000000000001" customHeight="1" thickBot="1">
      <c r="B10" s="863" t="s">
        <v>602</v>
      </c>
      <c r="D10" s="1088">
        <f>'[2]조기상환(160113)'!D31</f>
        <v>15946536800</v>
      </c>
      <c r="F10" s="1089" t="s">
        <v>603</v>
      </c>
      <c r="G10" s="1090"/>
      <c r="H10" s="1091">
        <f>H9/10000</f>
        <v>6500000</v>
      </c>
      <c r="I10" s="1065">
        <f>H8-H10</f>
        <v>4489000</v>
      </c>
      <c r="L10" s="1080">
        <v>3</v>
      </c>
      <c r="M10" s="1081">
        <v>42290</v>
      </c>
      <c r="N10" s="1092">
        <v>92</v>
      </c>
      <c r="O10" s="1083">
        <v>149850000000</v>
      </c>
      <c r="P10" s="1084">
        <v>3330000000</v>
      </c>
      <c r="Q10" s="1085">
        <v>6.6000000000000003E-2</v>
      </c>
      <c r="R10" s="1086">
        <v>2548243726.0273972</v>
      </c>
    </row>
    <row r="11" spans="1:19" ht="20.100000000000001" customHeight="1">
      <c r="L11" s="1067"/>
      <c r="M11" s="1093">
        <v>42369</v>
      </c>
      <c r="N11" s="1094">
        <v>79</v>
      </c>
      <c r="O11" s="1069">
        <v>149850000000</v>
      </c>
      <c r="P11" s="1070"/>
      <c r="Q11" s="1095">
        <v>6.6000000000000003E-2</v>
      </c>
      <c r="R11" s="1071">
        <v>2140596986.3013699</v>
      </c>
    </row>
    <row r="12" spans="1:19" ht="20.100000000000001" customHeight="1">
      <c r="B12" s="863" t="s">
        <v>604</v>
      </c>
      <c r="D12" s="1096">
        <f>D8+D10</f>
        <v>113460994679.87889</v>
      </c>
      <c r="L12" s="1097">
        <v>4</v>
      </c>
      <c r="M12" s="1098">
        <v>42382</v>
      </c>
      <c r="N12" s="1099">
        <v>13</v>
      </c>
      <c r="O12" s="1100">
        <v>146520000000</v>
      </c>
      <c r="P12" s="436">
        <v>3330000000</v>
      </c>
      <c r="Q12" s="437">
        <v>6.6000000000000003E-2</v>
      </c>
      <c r="R12" s="438">
        <v>352250136.98630136</v>
      </c>
    </row>
    <row r="13" spans="1:19" ht="20.100000000000001" customHeight="1">
      <c r="L13" s="1101"/>
      <c r="M13" s="1102">
        <v>42382</v>
      </c>
      <c r="N13" s="1103">
        <v>13</v>
      </c>
      <c r="O13" s="1104">
        <v>119880000000</v>
      </c>
      <c r="P13" s="961">
        <v>26640000000</v>
      </c>
      <c r="Q13" s="962"/>
      <c r="R13" s="963"/>
      <c r="S13" s="1105"/>
    </row>
    <row r="14" spans="1:19" ht="20.100000000000001" customHeight="1">
      <c r="L14" s="1080">
        <v>5</v>
      </c>
      <c r="M14" s="1081">
        <v>42473</v>
      </c>
      <c r="N14" s="1092">
        <v>91</v>
      </c>
      <c r="O14" s="1083">
        <v>116550000000</v>
      </c>
      <c r="P14" s="1084">
        <v>3330000000</v>
      </c>
      <c r="Q14" s="1085">
        <v>6.6000000000000003E-2</v>
      </c>
      <c r="R14" s="1086">
        <v>1972600767.1232877</v>
      </c>
      <c r="S14" s="721"/>
    </row>
    <row r="15" spans="1:19" ht="20.100000000000001" customHeight="1">
      <c r="L15" s="1080">
        <v>6</v>
      </c>
      <c r="M15" s="1081">
        <v>42564</v>
      </c>
      <c r="N15" s="1092">
        <v>91</v>
      </c>
      <c r="O15" s="1083">
        <v>113220000000</v>
      </c>
      <c r="P15" s="1084">
        <v>3330000000</v>
      </c>
      <c r="Q15" s="1085">
        <v>6.6000000000000003E-2</v>
      </c>
      <c r="R15" s="1086">
        <v>1917806301.369863</v>
      </c>
      <c r="S15" s="721"/>
    </row>
    <row r="16" spans="1:19" ht="20.100000000000001" customHeight="1">
      <c r="A16" s="863" t="s">
        <v>605</v>
      </c>
      <c r="L16" s="1080">
        <v>7</v>
      </c>
      <c r="M16" s="1081">
        <v>42656</v>
      </c>
      <c r="N16" s="1092">
        <v>92</v>
      </c>
      <c r="O16" s="1083">
        <v>109890000000</v>
      </c>
      <c r="P16" s="1084">
        <v>3330000000</v>
      </c>
      <c r="Q16" s="1085">
        <v>6.6000000000000003E-2</v>
      </c>
      <c r="R16" s="1086">
        <v>1883484493.1506848</v>
      </c>
      <c r="S16" s="1106">
        <f>XIRR(S17:S35,M17:M35)</f>
        <v>0.14728054404258736</v>
      </c>
    </row>
    <row r="17" spans="1:19" ht="20.100000000000001" customHeight="1">
      <c r="B17" s="863" t="s">
        <v>606</v>
      </c>
      <c r="L17" s="1107"/>
      <c r="M17" s="1108">
        <v>42656</v>
      </c>
      <c r="N17" s="1109"/>
      <c r="O17" s="1110">
        <v>44890000000</v>
      </c>
      <c r="P17" s="1111">
        <v>65000000000</v>
      </c>
      <c r="Q17" s="1112"/>
      <c r="R17" s="1113"/>
      <c r="S17" s="721">
        <f>(D21-D8)</f>
        <v>-39834598364.071007</v>
      </c>
    </row>
    <row r="18" spans="1:19" ht="20.100000000000001" customHeight="1">
      <c r="C18" s="863" t="s">
        <v>607</v>
      </c>
      <c r="D18" s="1114">
        <f>D5*H9/H7</f>
        <v>65000000000</v>
      </c>
      <c r="L18" s="1073"/>
      <c r="M18" s="1074">
        <v>42735</v>
      </c>
      <c r="N18" s="1115">
        <v>79</v>
      </c>
      <c r="O18" s="1076">
        <v>44890000000</v>
      </c>
      <c r="P18" s="1077"/>
      <c r="Q18" s="1078">
        <v>6.6000000000000003E-2</v>
      </c>
      <c r="R18" s="935">
        <v>641250575.34246576</v>
      </c>
      <c r="S18" s="721">
        <f t="shared" ref="S18:S35" si="0">P18+R18</f>
        <v>641250575.34246576</v>
      </c>
    </row>
    <row r="19" spans="1:19" ht="20.100000000000001" customHeight="1">
      <c r="C19" s="863" t="s">
        <v>608</v>
      </c>
      <c r="D19" s="1066">
        <f>D6*H9/H7</f>
        <v>-360007853.32579356</v>
      </c>
      <c r="L19" s="1080">
        <v>8</v>
      </c>
      <c r="M19" s="1081">
        <v>42748</v>
      </c>
      <c r="N19" s="1092">
        <v>13</v>
      </c>
      <c r="O19" s="1083">
        <v>41560000000</v>
      </c>
      <c r="P19" s="1084">
        <v>3330000000</v>
      </c>
      <c r="Q19" s="1085">
        <v>6.6000000000000003E-2</v>
      </c>
      <c r="R19" s="1086">
        <v>105522246.57534246</v>
      </c>
      <c r="S19" s="721">
        <f t="shared" si="0"/>
        <v>3435522246.5753427</v>
      </c>
    </row>
    <row r="20" spans="1:19" ht="20.100000000000001" customHeight="1">
      <c r="C20" s="863" t="s">
        <v>609</v>
      </c>
      <c r="D20" s="1066">
        <f>D7*H9/H7</f>
        <v>-6960132630.8663254</v>
      </c>
      <c r="L20" s="1080">
        <v>9</v>
      </c>
      <c r="M20" s="1081">
        <v>42838</v>
      </c>
      <c r="N20" s="1092">
        <v>90</v>
      </c>
      <c r="O20" s="1083">
        <v>38230000000</v>
      </c>
      <c r="P20" s="1084">
        <v>3330000000</v>
      </c>
      <c r="Q20" s="1085">
        <v>6.6000000000000003E-2</v>
      </c>
      <c r="R20" s="1086">
        <v>676346301.36986303</v>
      </c>
      <c r="S20" s="721">
        <f t="shared" si="0"/>
        <v>4006346301.369863</v>
      </c>
    </row>
    <row r="21" spans="1:19" ht="20.100000000000001" customHeight="1">
      <c r="C21" s="863" t="s">
        <v>610</v>
      </c>
      <c r="D21" s="1116">
        <f>SUM(D18:D20)</f>
        <v>57679859515.807884</v>
      </c>
      <c r="L21" s="1080">
        <v>10</v>
      </c>
      <c r="M21" s="1081">
        <v>42929</v>
      </c>
      <c r="N21" s="1092">
        <v>91</v>
      </c>
      <c r="O21" s="1083">
        <v>34900000000</v>
      </c>
      <c r="P21" s="1084">
        <v>3330000000</v>
      </c>
      <c r="Q21" s="1085">
        <v>6.6000000000000003E-2</v>
      </c>
      <c r="R21" s="1086">
        <v>629066794.52054799</v>
      </c>
      <c r="S21" s="721">
        <f t="shared" si="0"/>
        <v>3959066794.5205479</v>
      </c>
    </row>
    <row r="22" spans="1:19" ht="20.100000000000001" customHeight="1">
      <c r="L22" s="1067">
        <v>11</v>
      </c>
      <c r="M22" s="1093">
        <v>43021</v>
      </c>
      <c r="N22" s="1094">
        <v>92</v>
      </c>
      <c r="O22" s="1069">
        <v>31570000000</v>
      </c>
      <c r="P22" s="1070">
        <v>3330000000</v>
      </c>
      <c r="Q22" s="1095">
        <v>6.6000000000000003E-2</v>
      </c>
      <c r="R22" s="1071">
        <v>580583013.69863009</v>
      </c>
      <c r="S22" s="721">
        <f t="shared" si="0"/>
        <v>3910583013.6986303</v>
      </c>
    </row>
    <row r="23" spans="1:19" ht="20.100000000000001" customHeight="1">
      <c r="L23" s="1097"/>
      <c r="M23" s="1098">
        <v>43100</v>
      </c>
      <c r="N23" s="1099">
        <v>79</v>
      </c>
      <c r="O23" s="1100">
        <v>31570000000</v>
      </c>
      <c r="P23" s="436"/>
      <c r="Q23" s="437">
        <v>6.6000000000000003E-2</v>
      </c>
      <c r="R23" s="438">
        <v>450975287.67123288</v>
      </c>
      <c r="S23" s="721">
        <f t="shared" si="0"/>
        <v>450975287.67123288</v>
      </c>
    </row>
    <row r="24" spans="1:19" ht="20.100000000000001" customHeight="1">
      <c r="A24" s="863" t="s">
        <v>611</v>
      </c>
      <c r="L24" s="1080">
        <v>12</v>
      </c>
      <c r="M24" s="1081">
        <v>43115</v>
      </c>
      <c r="N24" s="1092">
        <v>15</v>
      </c>
      <c r="O24" s="1083">
        <v>28240000000</v>
      </c>
      <c r="P24" s="1084">
        <v>3330000000</v>
      </c>
      <c r="Q24" s="1085">
        <v>6.6000000000000003E-2</v>
      </c>
      <c r="R24" s="1086">
        <v>85628219.178082198</v>
      </c>
      <c r="S24" s="721">
        <f t="shared" si="0"/>
        <v>3415628219.178082</v>
      </c>
    </row>
    <row r="25" spans="1:19" ht="20.100000000000001" customHeight="1">
      <c r="B25" s="863" t="s">
        <v>612</v>
      </c>
      <c r="L25" s="1080">
        <v>13</v>
      </c>
      <c r="M25" s="1117">
        <v>43203</v>
      </c>
      <c r="N25" s="1092">
        <v>88</v>
      </c>
      <c r="O25" s="1083">
        <v>24910000000</v>
      </c>
      <c r="P25" s="1084">
        <v>3330000000</v>
      </c>
      <c r="Q25" s="1118">
        <v>6.6000000000000003E-2</v>
      </c>
      <c r="R25" s="1086">
        <v>449364164.38356167</v>
      </c>
      <c r="S25" s="721">
        <f t="shared" si="0"/>
        <v>3779364164.3835616</v>
      </c>
    </row>
    <row r="26" spans="1:19" ht="20.100000000000001" customHeight="1">
      <c r="C26" s="863" t="s">
        <v>613</v>
      </c>
      <c r="D26" s="1065">
        <f>D5-D18</f>
        <v>44890000000</v>
      </c>
      <c r="L26" s="1080">
        <v>14</v>
      </c>
      <c r="M26" s="1117">
        <v>43294</v>
      </c>
      <c r="N26" s="1092">
        <v>91</v>
      </c>
      <c r="O26" s="1083">
        <v>21580000000</v>
      </c>
      <c r="P26" s="1084">
        <v>3330000000</v>
      </c>
      <c r="Q26" s="1118">
        <v>6.6000000000000003E-2</v>
      </c>
      <c r="R26" s="1086">
        <v>409888931.50684929</v>
      </c>
      <c r="S26" s="721">
        <f t="shared" si="0"/>
        <v>3739888931.5068493</v>
      </c>
    </row>
    <row r="27" spans="1:19" ht="20.100000000000001" customHeight="1">
      <c r="C27" s="863" t="s">
        <v>614</v>
      </c>
      <c r="D27" s="1066">
        <f>D6-D19</f>
        <v>-248626962.08915192</v>
      </c>
      <c r="L27" s="1119">
        <v>15</v>
      </c>
      <c r="M27" s="1120">
        <v>43388</v>
      </c>
      <c r="N27" s="1121">
        <v>94</v>
      </c>
      <c r="O27" s="1122">
        <v>18250000000</v>
      </c>
      <c r="P27" s="1123">
        <v>3330000000</v>
      </c>
      <c r="Q27" s="1124">
        <v>6.6000000000000003E-2</v>
      </c>
      <c r="R27" s="1125">
        <v>366800876.71232879</v>
      </c>
      <c r="S27" s="721">
        <f t="shared" si="0"/>
        <v>3696800876.7123289</v>
      </c>
    </row>
    <row r="28" spans="1:19" ht="20.100000000000001" customHeight="1">
      <c r="C28" s="863" t="s">
        <v>615</v>
      </c>
      <c r="D28" s="1066">
        <f>D7-D20</f>
        <v>-4806774673.8398361</v>
      </c>
      <c r="L28" s="1073"/>
      <c r="M28" s="1126">
        <v>43465</v>
      </c>
      <c r="N28" s="1115">
        <v>77</v>
      </c>
      <c r="O28" s="1076">
        <v>18250000000</v>
      </c>
      <c r="P28" s="1077"/>
      <c r="Q28" s="1078">
        <v>6.6000000000000003E-2</v>
      </c>
      <c r="R28" s="935">
        <v>254100000</v>
      </c>
      <c r="S28" s="721">
        <f t="shared" si="0"/>
        <v>254100000</v>
      </c>
    </row>
    <row r="29" spans="1:19" ht="20.100000000000001" customHeight="1">
      <c r="C29" s="863" t="s">
        <v>616</v>
      </c>
      <c r="D29" s="1079">
        <f>SUM(D26:D28)</f>
        <v>39834598364.071014</v>
      </c>
      <c r="L29" s="1080">
        <v>16</v>
      </c>
      <c r="M29" s="1081">
        <v>43479</v>
      </c>
      <c r="N29" s="1092">
        <v>14</v>
      </c>
      <c r="O29" s="1083">
        <v>14920000000</v>
      </c>
      <c r="P29" s="1084">
        <v>3330000000</v>
      </c>
      <c r="Q29" s="1085">
        <v>6.6000000000000003E-2</v>
      </c>
      <c r="R29" s="1086">
        <v>46200000</v>
      </c>
      <c r="S29" s="721">
        <f t="shared" si="0"/>
        <v>3376200000</v>
      </c>
    </row>
    <row r="30" spans="1:19" ht="20.100000000000001" customHeight="1">
      <c r="L30" s="1080">
        <v>17</v>
      </c>
      <c r="M30" s="1081">
        <v>43570</v>
      </c>
      <c r="N30" s="1092">
        <v>91</v>
      </c>
      <c r="O30" s="1083">
        <v>11590000000</v>
      </c>
      <c r="P30" s="1084">
        <v>3330000000</v>
      </c>
      <c r="Q30" s="1085">
        <v>6.6000000000000003E-2</v>
      </c>
      <c r="R30" s="1086">
        <v>245505534.24657536</v>
      </c>
      <c r="S30" s="721">
        <f t="shared" si="0"/>
        <v>3575505534.2465754</v>
      </c>
    </row>
    <row r="31" spans="1:19" ht="20.100000000000001" customHeight="1">
      <c r="B31" s="863" t="s">
        <v>617</v>
      </c>
      <c r="D31" s="1088">
        <f>D10-H5*H10</f>
        <v>13173246800</v>
      </c>
      <c r="L31" s="1080">
        <v>18</v>
      </c>
      <c r="M31" s="1081">
        <v>43661</v>
      </c>
      <c r="N31" s="1092">
        <v>91</v>
      </c>
      <c r="O31" s="1083">
        <v>8260000000</v>
      </c>
      <c r="P31" s="1084">
        <v>3330000000</v>
      </c>
      <c r="Q31" s="1085">
        <v>6.6000000000000003E-2</v>
      </c>
      <c r="R31" s="1086">
        <v>190711068.49315068</v>
      </c>
      <c r="S31" s="721">
        <f t="shared" si="0"/>
        <v>3520711068.4931507</v>
      </c>
    </row>
    <row r="32" spans="1:19" ht="20.100000000000001" customHeight="1">
      <c r="L32" s="1067">
        <v>19</v>
      </c>
      <c r="M32" s="1093">
        <v>43752</v>
      </c>
      <c r="N32" s="1094">
        <v>91</v>
      </c>
      <c r="O32" s="1069">
        <v>4930000000</v>
      </c>
      <c r="P32" s="1070">
        <v>3330000000</v>
      </c>
      <c r="Q32" s="1095">
        <v>6.6000000000000003E-2</v>
      </c>
      <c r="R32" s="1071">
        <v>135916602.73972604</v>
      </c>
      <c r="S32" s="721">
        <f t="shared" si="0"/>
        <v>3465916602.7397261</v>
      </c>
    </row>
    <row r="33" spans="1:28" ht="20.100000000000001" customHeight="1">
      <c r="B33" s="863" t="s">
        <v>604</v>
      </c>
      <c r="D33" s="1096">
        <f>D29+D31</f>
        <v>53007845164.071014</v>
      </c>
      <c r="L33" s="1097"/>
      <c r="M33" s="1098">
        <v>43830</v>
      </c>
      <c r="N33" s="1099">
        <v>78</v>
      </c>
      <c r="O33" s="1100">
        <v>4930000000</v>
      </c>
      <c r="P33" s="436"/>
      <c r="Q33" s="437">
        <v>6.6000000000000003E-2</v>
      </c>
      <c r="R33" s="438">
        <v>69533260.273972601</v>
      </c>
      <c r="S33" s="721">
        <f t="shared" si="0"/>
        <v>69533260.273972601</v>
      </c>
    </row>
    <row r="34" spans="1:28" ht="20.100000000000001" customHeight="1">
      <c r="L34" s="1080">
        <v>20</v>
      </c>
      <c r="M34" s="1081">
        <v>43843</v>
      </c>
      <c r="N34" s="1092">
        <v>13</v>
      </c>
      <c r="O34" s="1083">
        <v>1600000000</v>
      </c>
      <c r="P34" s="1084">
        <v>3330000000</v>
      </c>
      <c r="Q34" s="1085">
        <v>6.6000000000000003E-2</v>
      </c>
      <c r="R34" s="1086">
        <v>11588876.712328767</v>
      </c>
      <c r="S34" s="721">
        <f t="shared" si="0"/>
        <v>3341588876.7123289</v>
      </c>
    </row>
    <row r="35" spans="1:28" ht="20.100000000000001" customHeight="1" thickBot="1">
      <c r="L35" s="1127">
        <v>21</v>
      </c>
      <c r="M35" s="1128">
        <v>43934</v>
      </c>
      <c r="N35" s="1129">
        <v>91</v>
      </c>
      <c r="O35" s="1130">
        <v>0</v>
      </c>
      <c r="P35" s="1131">
        <v>1600000000</v>
      </c>
      <c r="Q35" s="1132">
        <v>6.6000000000000003E-2</v>
      </c>
      <c r="R35" s="1133">
        <v>26327671.232876711</v>
      </c>
      <c r="S35" s="721">
        <f t="shared" si="0"/>
        <v>1626327671.2328768</v>
      </c>
    </row>
    <row r="36" spans="1:28" ht="20.100000000000001" customHeight="1">
      <c r="A36" s="863" t="s">
        <v>618</v>
      </c>
      <c r="L36" s="1134"/>
      <c r="M36" s="1135"/>
      <c r="N36" s="1134"/>
      <c r="O36" s="1136"/>
      <c r="P36" s="1136"/>
      <c r="Q36" s="1137"/>
      <c r="R36" s="1136"/>
    </row>
    <row r="37" spans="1:28" ht="20.100000000000001" customHeight="1">
      <c r="B37" s="863" t="s">
        <v>619</v>
      </c>
      <c r="K37" s="863" t="s">
        <v>620</v>
      </c>
    </row>
    <row r="38" spans="1:28" ht="20.100000000000001" customHeight="1">
      <c r="C38" s="2107" t="s">
        <v>621</v>
      </c>
      <c r="D38" s="2107"/>
      <c r="F38" s="2107" t="s">
        <v>622</v>
      </c>
      <c r="G38" s="2107"/>
      <c r="O38" s="1138">
        <f>S16</f>
        <v>0.14728054404258736</v>
      </c>
      <c r="P38" s="1138">
        <v>6.6000000000000003E-2</v>
      </c>
      <c r="Q38" s="1139"/>
      <c r="R38" s="1139"/>
      <c r="S38" s="1140">
        <f>S40/(S40+T40)</f>
        <v>0.95081954313537653</v>
      </c>
      <c r="T38" s="1140">
        <f>T40/(S40+T40)</f>
        <v>4.9180456864623349E-2</v>
      </c>
    </row>
    <row r="39" spans="1:28" ht="20.100000000000001" customHeight="1">
      <c r="C39" s="863" t="s">
        <v>623</v>
      </c>
      <c r="D39" s="1065">
        <f>D18</f>
        <v>65000000000</v>
      </c>
      <c r="F39" s="1141" t="s">
        <v>624</v>
      </c>
      <c r="G39" s="1065">
        <f>H9-G44</f>
        <v>62226710000</v>
      </c>
      <c r="K39" s="1141"/>
      <c r="L39" s="1142"/>
      <c r="M39" s="1143" t="s">
        <v>625</v>
      </c>
      <c r="N39" s="1143" t="s">
        <v>626</v>
      </c>
      <c r="O39" s="1143" t="s">
        <v>627</v>
      </c>
      <c r="P39" s="1144" t="s">
        <v>628</v>
      </c>
      <c r="Q39" s="1144" t="s">
        <v>629</v>
      </c>
      <c r="R39" s="1143" t="s">
        <v>630</v>
      </c>
      <c r="S39" s="1143" t="s">
        <v>597</v>
      </c>
      <c r="T39" s="1143" t="s">
        <v>631</v>
      </c>
    </row>
    <row r="40" spans="1:28" ht="20.100000000000001" customHeight="1">
      <c r="C40" s="863" t="s">
        <v>632</v>
      </c>
      <c r="D40" s="1065">
        <f>SUM(G39:G41)-D39</f>
        <v>4546850484.1921082</v>
      </c>
      <c r="F40" s="1141" t="s">
        <v>631</v>
      </c>
      <c r="G40" s="1145">
        <f>-D19</f>
        <v>360007853.32579356</v>
      </c>
      <c r="K40" s="1141"/>
      <c r="L40" s="1146">
        <v>42656</v>
      </c>
      <c r="M40" s="1147">
        <v>44890000000</v>
      </c>
      <c r="N40" s="1148"/>
      <c r="O40" s="1149"/>
      <c r="P40" s="1149"/>
      <c r="Q40" s="1149"/>
      <c r="R40" s="1149">
        <f>D29</f>
        <v>39834598364.071014</v>
      </c>
      <c r="S40" s="1149">
        <f>-D28</f>
        <v>4806774673.8398361</v>
      </c>
      <c r="T40" s="1149">
        <f>-D27</f>
        <v>248626962.08915192</v>
      </c>
    </row>
    <row r="41" spans="1:28" s="1150" customFormat="1" ht="20.100000000000001" customHeight="1">
      <c r="A41" s="863"/>
      <c r="B41" s="863"/>
      <c r="C41" s="863"/>
      <c r="D41" s="863"/>
      <c r="E41" s="863"/>
      <c r="F41" s="1141" t="s">
        <v>597</v>
      </c>
      <c r="G41" s="1145">
        <f>-D20</f>
        <v>6960132630.8663254</v>
      </c>
      <c r="K41" s="1141">
        <f>L41-L40</f>
        <v>79</v>
      </c>
      <c r="L41" s="1146">
        <v>42735</v>
      </c>
      <c r="M41" s="1149">
        <v>44890000000</v>
      </c>
      <c r="N41" s="1149"/>
      <c r="O41" s="1151">
        <f>R40*(1+$O$38)^(K41/365)-R40</f>
        <v>1202367127.4856186</v>
      </c>
      <c r="P41" s="1149">
        <f>M40*$P$38*K41/365</f>
        <v>641250575.34246576</v>
      </c>
      <c r="Q41" s="1149">
        <f>O41-P41</f>
        <v>561116552.14315283</v>
      </c>
      <c r="R41" s="1149">
        <f>R40+Q41-N41</f>
        <v>40395714916.214165</v>
      </c>
      <c r="S41" s="1149">
        <f>Q41-T41</f>
        <v>533520583.75445032</v>
      </c>
      <c r="T41" s="1149">
        <f>Q41*$T$38</f>
        <v>27595968.388702508</v>
      </c>
      <c r="U41" s="1152">
        <f>S40-S41</f>
        <v>4273254090.0853858</v>
      </c>
      <c r="V41" s="1152">
        <f>T40-T41</f>
        <v>221030993.70044941</v>
      </c>
    </row>
    <row r="42" spans="1:28" s="1150" customFormat="1" ht="20.100000000000001" customHeight="1">
      <c r="A42" s="863"/>
      <c r="B42" s="863" t="s">
        <v>633</v>
      </c>
      <c r="C42" s="863"/>
      <c r="D42" s="863"/>
      <c r="E42" s="863"/>
      <c r="F42" s="863"/>
      <c r="G42" s="863"/>
      <c r="K42" s="1141">
        <f t="shared" ref="K42:K58" si="1">L42-L41</f>
        <v>13</v>
      </c>
      <c r="L42" s="1153">
        <v>42748</v>
      </c>
      <c r="M42" s="1154">
        <v>41560000000</v>
      </c>
      <c r="N42" s="1154">
        <v>3330000000</v>
      </c>
      <c r="O42" s="1155">
        <f t="shared" ref="O42:O58" si="2">R41*(1+$O$38)^(K42/365)-R41</f>
        <v>198160848.87815857</v>
      </c>
      <c r="P42" s="1154">
        <f t="shared" ref="P42:P58" si="3">M41*$P$38*K42/365</f>
        <v>105522246.57534246</v>
      </c>
      <c r="Q42" s="1154">
        <f t="shared" ref="Q42:Q58" si="4">O42-P42</f>
        <v>92638602.302816108</v>
      </c>
      <c r="R42" s="1154">
        <f t="shared" ref="R42:R58" si="5">R41+Q42-N42</f>
        <v>37158353518.516983</v>
      </c>
      <c r="S42" s="1154">
        <f t="shared" ref="S42:S58" si="6">Q42-T42</f>
        <v>88082593.518263459</v>
      </c>
      <c r="T42" s="1154">
        <f t="shared" ref="T42:T58" si="7">Q42*$T$38</f>
        <v>4556008.7845526449</v>
      </c>
    </row>
    <row r="43" spans="1:28" ht="20.100000000000001" customHeight="1">
      <c r="C43" s="2107" t="s">
        <v>634</v>
      </c>
      <c r="D43" s="2107"/>
      <c r="F43" s="2107" t="s">
        <v>635</v>
      </c>
      <c r="G43" s="2107"/>
      <c r="K43" s="1141">
        <f t="shared" si="1"/>
        <v>90</v>
      </c>
      <c r="L43" s="1153">
        <v>42838</v>
      </c>
      <c r="M43" s="1154">
        <v>38230000000</v>
      </c>
      <c r="N43" s="1154">
        <v>3330000000</v>
      </c>
      <c r="O43" s="1155">
        <f t="shared" si="2"/>
        <v>1280419942.7421417</v>
      </c>
      <c r="P43" s="1154">
        <f t="shared" si="3"/>
        <v>676346301.36986303</v>
      </c>
      <c r="Q43" s="1147">
        <f t="shared" si="4"/>
        <v>604073641.37227869</v>
      </c>
      <c r="R43" s="1147">
        <f t="shared" si="5"/>
        <v>34432427159.889259</v>
      </c>
      <c r="S43" s="1147">
        <f t="shared" si="6"/>
        <v>574365023.70971334</v>
      </c>
      <c r="T43" s="1154">
        <f t="shared" si="7"/>
        <v>29708617.662565306</v>
      </c>
      <c r="Y43" s="863" t="s">
        <v>636</v>
      </c>
      <c r="Z43" s="1156">
        <f>O41</f>
        <v>1202367127.4856186</v>
      </c>
      <c r="AA43" s="863" t="s">
        <v>624</v>
      </c>
      <c r="AB43" s="1065">
        <f>P41</f>
        <v>641250575.34246576</v>
      </c>
    </row>
    <row r="44" spans="1:28" ht="20.100000000000001" customHeight="1">
      <c r="C44" s="863" t="s">
        <v>637</v>
      </c>
      <c r="D44" s="1065">
        <f>D10-D31</f>
        <v>2773290000</v>
      </c>
      <c r="F44" s="1157" t="s">
        <v>624</v>
      </c>
      <c r="G44" s="1065">
        <f>D44</f>
        <v>2773290000</v>
      </c>
      <c r="K44" s="1141">
        <f t="shared" si="1"/>
        <v>91</v>
      </c>
      <c r="L44" s="1153">
        <v>42929</v>
      </c>
      <c r="M44" s="1154">
        <v>34900000000</v>
      </c>
      <c r="N44" s="1154">
        <v>3330000000</v>
      </c>
      <c r="O44" s="1155">
        <f t="shared" si="2"/>
        <v>1199898999.2586975</v>
      </c>
      <c r="P44" s="1154">
        <f t="shared" si="3"/>
        <v>629066794.52054799</v>
      </c>
      <c r="Q44" s="1147">
        <f t="shared" si="4"/>
        <v>570832204.73814952</v>
      </c>
      <c r="R44" s="1147">
        <f t="shared" si="5"/>
        <v>31673259364.627411</v>
      </c>
      <c r="S44" s="1147">
        <f t="shared" si="6"/>
        <v>542758416.11608708</v>
      </c>
      <c r="T44" s="1154">
        <f t="shared" si="7"/>
        <v>28073788.622062407</v>
      </c>
      <c r="AA44" s="863" t="s">
        <v>629</v>
      </c>
      <c r="AB44" s="1065">
        <f>Q41</f>
        <v>561116552.14315283</v>
      </c>
    </row>
    <row r="45" spans="1:28" ht="20.100000000000001" customHeight="1">
      <c r="K45" s="1141">
        <f t="shared" si="1"/>
        <v>92</v>
      </c>
      <c r="L45" s="1153">
        <v>43021</v>
      </c>
      <c r="M45" s="1154">
        <v>31570000000</v>
      </c>
      <c r="N45" s="1154">
        <v>3330000000</v>
      </c>
      <c r="O45" s="1155">
        <f t="shared" si="2"/>
        <v>1116088040.0326424</v>
      </c>
      <c r="P45" s="1154">
        <f t="shared" si="3"/>
        <v>580583013.69863009</v>
      </c>
      <c r="Q45" s="1147">
        <f t="shared" si="4"/>
        <v>535505026.33401227</v>
      </c>
      <c r="R45" s="1147">
        <f t="shared" si="5"/>
        <v>28878764390.961422</v>
      </c>
      <c r="S45" s="1147">
        <f t="shared" si="6"/>
        <v>509168644.48560339</v>
      </c>
      <c r="T45" s="1154">
        <f t="shared" si="7"/>
        <v>26336381.848408882</v>
      </c>
    </row>
    <row r="46" spans="1:28" ht="20.100000000000001" customHeight="1">
      <c r="K46" s="1141">
        <f t="shared" si="1"/>
        <v>79</v>
      </c>
      <c r="L46" s="1153">
        <v>43100</v>
      </c>
      <c r="M46" s="1154">
        <v>31570000000</v>
      </c>
      <c r="N46" s="1154"/>
      <c r="O46" s="1155">
        <f t="shared" si="2"/>
        <v>871676341.97644424</v>
      </c>
      <c r="P46" s="1154">
        <f t="shared" si="3"/>
        <v>450975287.67123288</v>
      </c>
      <c r="Q46" s="1147">
        <f t="shared" si="4"/>
        <v>420701054.30521137</v>
      </c>
      <c r="R46" s="1147">
        <f t="shared" si="5"/>
        <v>29299465445.266632</v>
      </c>
      <c r="S46" s="1147">
        <f t="shared" si="6"/>
        <v>400010784.25105238</v>
      </c>
      <c r="T46" s="1154">
        <f t="shared" si="7"/>
        <v>20690270.054159012</v>
      </c>
    </row>
    <row r="47" spans="1:28" ht="20.100000000000001" customHeight="1">
      <c r="E47" s="1065"/>
      <c r="K47" s="1141">
        <f t="shared" si="1"/>
        <v>15</v>
      </c>
      <c r="L47" s="1159">
        <v>43115</v>
      </c>
      <c r="M47" s="1160">
        <v>28240000000</v>
      </c>
      <c r="N47" s="1160">
        <v>3330000000</v>
      </c>
      <c r="O47" s="1161">
        <f t="shared" si="2"/>
        <v>165902824.93631363</v>
      </c>
      <c r="P47" s="1160">
        <f t="shared" si="3"/>
        <v>85628219.178082198</v>
      </c>
      <c r="Q47" s="1160">
        <f t="shared" si="4"/>
        <v>80274605.758231431</v>
      </c>
      <c r="R47" s="1160">
        <f t="shared" si="5"/>
        <v>26049740051.024864</v>
      </c>
      <c r="S47" s="1160">
        <f t="shared" si="6"/>
        <v>76326663.972414091</v>
      </c>
      <c r="T47" s="1160">
        <f t="shared" si="7"/>
        <v>3947941.7858173461</v>
      </c>
      <c r="Y47" s="863" t="s">
        <v>638</v>
      </c>
      <c r="Z47" s="1065">
        <f>AB47</f>
        <v>641250575.34246576</v>
      </c>
      <c r="AA47" s="863" t="s">
        <v>639</v>
      </c>
      <c r="AB47" s="1065">
        <f>P41</f>
        <v>641250575.34246576</v>
      </c>
    </row>
    <row r="48" spans="1:28" ht="20.100000000000001" customHeight="1">
      <c r="E48" s="1065"/>
      <c r="K48" s="1141">
        <f t="shared" si="1"/>
        <v>88</v>
      </c>
      <c r="L48" s="1159">
        <v>43203</v>
      </c>
      <c r="M48" s="1160">
        <v>24910000000</v>
      </c>
      <c r="N48" s="1160">
        <v>3330000000</v>
      </c>
      <c r="O48" s="1161">
        <f t="shared" si="2"/>
        <v>877354550.33034515</v>
      </c>
      <c r="P48" s="1160">
        <f t="shared" si="3"/>
        <v>449364164.38356167</v>
      </c>
      <c r="Q48" s="1160">
        <f t="shared" si="4"/>
        <v>427990385.94678348</v>
      </c>
      <c r="R48" s="1160">
        <f t="shared" si="5"/>
        <v>23147730436.971649</v>
      </c>
      <c r="S48" s="1160">
        <f t="shared" si="6"/>
        <v>406941623.23225421</v>
      </c>
      <c r="T48" s="1160">
        <f t="shared" si="7"/>
        <v>21048762.714529283</v>
      </c>
      <c r="Y48" s="863" t="s">
        <v>629</v>
      </c>
      <c r="Z48" s="1065">
        <f>AB48+AB49</f>
        <v>561116552.14315283</v>
      </c>
      <c r="AA48" s="863" t="s">
        <v>597</v>
      </c>
      <c r="AB48" s="1065">
        <f>S41</f>
        <v>533520583.75445032</v>
      </c>
    </row>
    <row r="49" spans="5:28" ht="20.100000000000001" customHeight="1">
      <c r="E49" s="1065"/>
      <c r="K49" s="1141">
        <f t="shared" si="1"/>
        <v>91</v>
      </c>
      <c r="L49" s="1159">
        <v>43294</v>
      </c>
      <c r="M49" s="1160">
        <v>21580000000</v>
      </c>
      <c r="N49" s="1160">
        <v>3330000000</v>
      </c>
      <c r="O49" s="1161">
        <f t="shared" si="2"/>
        <v>806650616.21876526</v>
      </c>
      <c r="P49" s="1160">
        <f t="shared" si="3"/>
        <v>409888931.50684929</v>
      </c>
      <c r="Q49" s="1160">
        <f t="shared" si="4"/>
        <v>396761684.71191597</v>
      </c>
      <c r="R49" s="1160">
        <f t="shared" si="5"/>
        <v>20214492121.683563</v>
      </c>
      <c r="S49" s="1160">
        <f t="shared" si="6"/>
        <v>377248763.79140627</v>
      </c>
      <c r="T49" s="1160">
        <f t="shared" si="7"/>
        <v>19512920.920509674</v>
      </c>
      <c r="AA49" s="863" t="s">
        <v>640</v>
      </c>
      <c r="AB49" s="1065">
        <f>T41</f>
        <v>27595968.388702508</v>
      </c>
    </row>
    <row r="50" spans="5:28" ht="20.100000000000001" customHeight="1">
      <c r="K50" s="1141">
        <f t="shared" si="1"/>
        <v>94</v>
      </c>
      <c r="L50" s="1159">
        <v>43388</v>
      </c>
      <c r="M50" s="1160">
        <v>18250000000</v>
      </c>
      <c r="N50" s="1160">
        <v>3330000000</v>
      </c>
      <c r="O50" s="1161">
        <f t="shared" si="2"/>
        <v>728069754.63241196</v>
      </c>
      <c r="P50" s="1160">
        <f t="shared" si="3"/>
        <v>366800876.71232879</v>
      </c>
      <c r="Q50" s="1160">
        <f t="shared" si="4"/>
        <v>361268877.92008317</v>
      </c>
      <c r="R50" s="1160">
        <f t="shared" si="5"/>
        <v>17245760999.603645</v>
      </c>
      <c r="S50" s="1160">
        <f t="shared" si="6"/>
        <v>343501509.45300364</v>
      </c>
      <c r="T50" s="1160">
        <f t="shared" si="7"/>
        <v>17767368.467079528</v>
      </c>
    </row>
    <row r="51" spans="5:28" ht="20.100000000000001" customHeight="1">
      <c r="K51" s="1141">
        <f t="shared" si="1"/>
        <v>77</v>
      </c>
      <c r="L51" s="1153">
        <v>43465</v>
      </c>
      <c r="M51" s="1154">
        <v>18250000000</v>
      </c>
      <c r="N51" s="1154"/>
      <c r="O51" s="1155">
        <f t="shared" si="2"/>
        <v>507175621.54649734</v>
      </c>
      <c r="P51" s="1154">
        <f t="shared" si="3"/>
        <v>254100000</v>
      </c>
      <c r="Q51" s="1147">
        <f t="shared" si="4"/>
        <v>253075621.54649734</v>
      </c>
      <c r="R51" s="1147">
        <f t="shared" si="5"/>
        <v>17498836621.150143</v>
      </c>
      <c r="S51" s="1147">
        <f t="shared" si="6"/>
        <v>240629246.8575421</v>
      </c>
      <c r="T51" s="1154">
        <f t="shared" si="7"/>
        <v>12446374.688955257</v>
      </c>
    </row>
    <row r="52" spans="5:28" ht="20.100000000000001" customHeight="1">
      <c r="K52" s="1141">
        <f t="shared" si="1"/>
        <v>14</v>
      </c>
      <c r="L52" s="1158">
        <v>43479</v>
      </c>
      <c r="M52" s="1154">
        <v>14920000000</v>
      </c>
      <c r="N52" s="1154">
        <v>3330000000</v>
      </c>
      <c r="O52" s="1155">
        <f t="shared" si="2"/>
        <v>92460922.801067352</v>
      </c>
      <c r="P52" s="1154">
        <f t="shared" si="3"/>
        <v>46200000</v>
      </c>
      <c r="Q52" s="1147">
        <f t="shared" si="4"/>
        <v>46260922.801067352</v>
      </c>
      <c r="R52" s="1147">
        <f t="shared" si="5"/>
        <v>14215097543.95121</v>
      </c>
      <c r="S52" s="1147">
        <f t="shared" si="6"/>
        <v>43985789.482731789</v>
      </c>
      <c r="T52" s="1154">
        <f t="shared" si="7"/>
        <v>2275133.3183355639</v>
      </c>
    </row>
    <row r="53" spans="5:28" ht="20.100000000000001" customHeight="1">
      <c r="K53" s="1141">
        <f t="shared" si="1"/>
        <v>91</v>
      </c>
      <c r="L53" s="1158">
        <v>43570</v>
      </c>
      <c r="M53" s="1154">
        <v>11590000000</v>
      </c>
      <c r="N53" s="1154">
        <v>3330000000</v>
      </c>
      <c r="O53" s="1155">
        <f t="shared" si="2"/>
        <v>495366801.71130562</v>
      </c>
      <c r="P53" s="1154">
        <f t="shared" si="3"/>
        <v>245505534.24657536</v>
      </c>
      <c r="Q53" s="1147">
        <f t="shared" si="4"/>
        <v>249861267.46473026</v>
      </c>
      <c r="R53" s="1147">
        <f t="shared" si="5"/>
        <v>11134958811.415939</v>
      </c>
      <c r="S53" s="1147">
        <f t="shared" si="6"/>
        <v>237572976.17804098</v>
      </c>
      <c r="T53" s="1154">
        <f t="shared" si="7"/>
        <v>12288291.286689283</v>
      </c>
    </row>
    <row r="54" spans="5:28" ht="20.100000000000001" customHeight="1">
      <c r="K54" s="1141">
        <f t="shared" si="1"/>
        <v>91</v>
      </c>
      <c r="L54" s="1158">
        <v>43661</v>
      </c>
      <c r="M54" s="1154">
        <v>8260000000</v>
      </c>
      <c r="N54" s="1154">
        <v>3330000000</v>
      </c>
      <c r="O54" s="1155">
        <f t="shared" si="2"/>
        <v>388030325.96461868</v>
      </c>
      <c r="P54" s="1154">
        <f t="shared" si="3"/>
        <v>190711068.49315068</v>
      </c>
      <c r="Q54" s="1147">
        <f t="shared" si="4"/>
        <v>197319257.471468</v>
      </c>
      <c r="R54" s="1147">
        <f t="shared" si="5"/>
        <v>8002278068.8874073</v>
      </c>
      <c r="S54" s="1147">
        <f t="shared" si="6"/>
        <v>187615006.24083295</v>
      </c>
      <c r="T54" s="1154">
        <f t="shared" si="7"/>
        <v>9704251.2306350414</v>
      </c>
    </row>
    <row r="55" spans="5:28" ht="20.100000000000001" customHeight="1">
      <c r="K55" s="1141">
        <f t="shared" si="1"/>
        <v>91</v>
      </c>
      <c r="L55" s="1158">
        <v>43752</v>
      </c>
      <c r="M55" s="1154">
        <v>4930000000</v>
      </c>
      <c r="N55" s="1154">
        <v>3330000000</v>
      </c>
      <c r="O55" s="1155">
        <f t="shared" si="2"/>
        <v>278862869.64496136</v>
      </c>
      <c r="P55" s="1154">
        <f t="shared" si="3"/>
        <v>135916602.73972604</v>
      </c>
      <c r="Q55" s="1147">
        <f t="shared" si="4"/>
        <v>142946266.90523532</v>
      </c>
      <c r="R55" s="1147">
        <f t="shared" si="5"/>
        <v>4815224335.7926426</v>
      </c>
      <c r="S55" s="1147">
        <f t="shared" si="6"/>
        <v>135916104.19174346</v>
      </c>
      <c r="T55" s="1154">
        <f t="shared" si="7"/>
        <v>7030162.7134918617</v>
      </c>
    </row>
    <row r="56" spans="5:28" ht="20.100000000000001" customHeight="1">
      <c r="K56" s="1141">
        <f t="shared" si="1"/>
        <v>78</v>
      </c>
      <c r="L56" s="1153">
        <v>43830</v>
      </c>
      <c r="M56" s="1154">
        <v>4930000000</v>
      </c>
      <c r="N56" s="1154"/>
      <c r="O56" s="1155">
        <f t="shared" si="2"/>
        <v>143475764.10694981</v>
      </c>
      <c r="P56" s="1154">
        <f t="shared" si="3"/>
        <v>69533260.273972601</v>
      </c>
      <c r="Q56" s="1147">
        <f t="shared" si="4"/>
        <v>73942503.832977206</v>
      </c>
      <c r="R56" s="1147">
        <f t="shared" si="5"/>
        <v>4889166839.6256199</v>
      </c>
      <c r="S56" s="1147">
        <f t="shared" si="6"/>
        <v>70305977.71275723</v>
      </c>
      <c r="T56" s="1154">
        <f t="shared" si="7"/>
        <v>3636526.1202199822</v>
      </c>
    </row>
    <row r="57" spans="5:28" ht="20.100000000000001" customHeight="1">
      <c r="K57" s="1141">
        <f t="shared" si="1"/>
        <v>13</v>
      </c>
      <c r="L57" s="1153">
        <v>43843</v>
      </c>
      <c r="M57" s="1154">
        <v>1600000000</v>
      </c>
      <c r="N57" s="1154">
        <v>3330000000</v>
      </c>
      <c r="O57" s="1155">
        <f t="shared" si="2"/>
        <v>23983767.913419724</v>
      </c>
      <c r="P57" s="1154">
        <f t="shared" si="3"/>
        <v>11588876.712328767</v>
      </c>
      <c r="Q57" s="1147">
        <f t="shared" si="4"/>
        <v>12394891.201090956</v>
      </c>
      <c r="R57" s="1147">
        <f t="shared" si="5"/>
        <v>1571561730.8267107</v>
      </c>
      <c r="S57" s="1147">
        <f t="shared" si="6"/>
        <v>11785304.789034003</v>
      </c>
      <c r="T57" s="1154">
        <f t="shared" si="7"/>
        <v>609586.4120569533</v>
      </c>
    </row>
    <row r="58" spans="5:28" ht="20.100000000000001" customHeight="1">
      <c r="K58" s="1141">
        <f t="shared" si="1"/>
        <v>91</v>
      </c>
      <c r="L58" s="1153">
        <v>43934</v>
      </c>
      <c r="M58" s="1154">
        <v>0</v>
      </c>
      <c r="N58" s="1154">
        <v>1600000000</v>
      </c>
      <c r="O58" s="1155">
        <f t="shared" si="2"/>
        <v>54765681.760852814</v>
      </c>
      <c r="P58" s="1154">
        <f t="shared" si="3"/>
        <v>26327671.232876711</v>
      </c>
      <c r="Q58" s="1147">
        <f t="shared" si="4"/>
        <v>28438010.527976103</v>
      </c>
      <c r="R58" s="1147">
        <f t="shared" si="5"/>
        <v>-258.64531326293945</v>
      </c>
      <c r="S58" s="1147">
        <f t="shared" si="6"/>
        <v>27039416.177889269</v>
      </c>
      <c r="T58" s="1154">
        <f t="shared" si="7"/>
        <v>1398594.3500868334</v>
      </c>
    </row>
    <row r="59" spans="5:28" ht="20.100000000000001" customHeight="1"/>
    <row r="60" spans="5:28" ht="20.100000000000001" customHeight="1"/>
    <row r="61" spans="5:28" ht="20.100000000000001" customHeight="1"/>
    <row r="62" spans="5:28" ht="20.100000000000001" customHeight="1"/>
    <row r="63" spans="5:28" ht="20.100000000000001" customHeight="1"/>
    <row r="64" spans="5:28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  <row r="403" ht="20.100000000000001" customHeight="1"/>
    <row r="404" ht="20.100000000000001" customHeight="1"/>
    <row r="405" ht="20.100000000000001" customHeight="1"/>
    <row r="406" ht="20.100000000000001" customHeight="1"/>
    <row r="407" ht="20.100000000000001" customHeight="1"/>
    <row r="408" ht="20.100000000000001" customHeight="1"/>
    <row r="409" ht="20.100000000000001" customHeight="1"/>
    <row r="410" ht="20.100000000000001" customHeight="1"/>
    <row r="411" ht="20.100000000000001" customHeight="1"/>
    <row r="412" ht="20.100000000000001" customHeight="1"/>
    <row r="413" ht="20.100000000000001" customHeight="1"/>
    <row r="414" ht="20.100000000000001" customHeight="1"/>
    <row r="415" ht="20.100000000000001" customHeight="1"/>
    <row r="416" ht="20.100000000000001" customHeight="1"/>
    <row r="417" ht="20.100000000000001" customHeight="1"/>
    <row r="418" ht="20.100000000000001" customHeight="1"/>
    <row r="419" ht="20.100000000000001" customHeight="1"/>
    <row r="420" ht="20.100000000000001" customHeight="1"/>
    <row r="421" ht="20.100000000000001" customHeight="1"/>
    <row r="422" ht="20.100000000000001" customHeight="1"/>
    <row r="423" ht="20.100000000000001" customHeight="1"/>
    <row r="424" ht="20.100000000000001" customHeight="1"/>
    <row r="425" ht="20.100000000000001" customHeight="1"/>
    <row r="426" ht="20.100000000000001" customHeight="1"/>
    <row r="427" ht="20.100000000000001" customHeight="1"/>
    <row r="428" ht="20.100000000000001" customHeight="1"/>
    <row r="429" ht="20.100000000000001" customHeight="1"/>
    <row r="430" ht="20.100000000000001" customHeight="1"/>
    <row r="431" ht="20.100000000000001" customHeight="1"/>
    <row r="432" ht="20.100000000000001" customHeight="1"/>
    <row r="433" ht="20.100000000000001" customHeight="1"/>
    <row r="434" ht="20.100000000000001" customHeight="1"/>
    <row r="435" ht="20.100000000000001" customHeight="1"/>
    <row r="436" ht="20.100000000000001" customHeight="1"/>
    <row r="437" ht="20.100000000000001" customHeight="1"/>
    <row r="438" ht="20.100000000000001" customHeight="1"/>
    <row r="439" ht="20.100000000000001" customHeight="1"/>
    <row r="440" ht="20.100000000000001" customHeight="1"/>
    <row r="441" ht="20.100000000000001" customHeight="1"/>
    <row r="442" ht="20.100000000000001" customHeight="1"/>
    <row r="443" ht="20.100000000000001" customHeight="1"/>
    <row r="444" ht="20.100000000000001" customHeight="1"/>
    <row r="445" ht="20.100000000000001" customHeight="1"/>
    <row r="446" ht="20.100000000000001" customHeight="1"/>
    <row r="447" ht="20.100000000000001" customHeight="1"/>
    <row r="44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</sheetData>
  <mergeCells count="7">
    <mergeCell ref="C43:D43"/>
    <mergeCell ref="F43:G43"/>
    <mergeCell ref="L5:M5"/>
    <mergeCell ref="N5:N6"/>
    <mergeCell ref="O5:R5"/>
    <mergeCell ref="C38:D38"/>
    <mergeCell ref="F38:G38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165"/>
  <sheetViews>
    <sheetView showGridLines="0" workbookViewId="0">
      <selection activeCell="F14" sqref="F14:F34"/>
    </sheetView>
  </sheetViews>
  <sheetFormatPr defaultColWidth="9" defaultRowHeight="16.5"/>
  <cols>
    <col min="1" max="1" width="4.5" style="432" customWidth="1"/>
    <col min="2" max="2" width="11.625" style="432" customWidth="1"/>
    <col min="3" max="7" width="13.625" style="432" customWidth="1"/>
    <col min="8" max="8" width="9" style="432"/>
    <col min="9" max="9" width="12.625" style="432" hidden="1" customWidth="1"/>
    <col min="10" max="10" width="15.625" style="432" hidden="1" customWidth="1"/>
    <col min="11" max="11" width="12.625" style="432" hidden="1" customWidth="1"/>
    <col min="12" max="12" width="15.625" style="432" hidden="1" customWidth="1"/>
    <col min="13" max="29" width="0" style="432" hidden="1" customWidth="1"/>
    <col min="30" max="30" width="13.875" style="432" bestFit="1" customWidth="1"/>
    <col min="31" max="32" width="12.875" style="432" bestFit="1" customWidth="1"/>
    <col min="33" max="33" width="9" style="432"/>
    <col min="34" max="34" width="12.875" style="432" bestFit="1" customWidth="1"/>
    <col min="35" max="16384" width="9" style="432"/>
  </cols>
  <sheetData>
    <row r="1" spans="1:34" s="410" customFormat="1" ht="24">
      <c r="B1" s="411" t="s">
        <v>284</v>
      </c>
      <c r="C1" s="411" t="s">
        <v>285</v>
      </c>
      <c r="D1" s="411" t="s">
        <v>286</v>
      </c>
      <c r="E1" s="411" t="s">
        <v>287</v>
      </c>
      <c r="F1" s="412" t="s">
        <v>288</v>
      </c>
      <c r="G1" s="411" t="s">
        <v>289</v>
      </c>
      <c r="AD1" s="411" t="s">
        <v>290</v>
      </c>
      <c r="AE1" s="411" t="s">
        <v>291</v>
      </c>
      <c r="AF1" s="411" t="s">
        <v>317</v>
      </c>
    </row>
    <row r="2" spans="1:34" s="413" customFormat="1" ht="13.5" customHeight="1">
      <c r="B2" s="414" t="s">
        <v>292</v>
      </c>
      <c r="C2" s="415">
        <f>[3]참고2!C4</f>
        <v>42018</v>
      </c>
      <c r="D2" s="415">
        <f>[3]참고2!C66</f>
        <v>46400</v>
      </c>
      <c r="E2" s="414">
        <f>[3]참고2!E4</f>
        <v>160000000000</v>
      </c>
      <c r="F2" s="414">
        <f>AD2+AE2</f>
        <v>20333280000</v>
      </c>
      <c r="G2" s="416">
        <v>9.574346196399057E-2</v>
      </c>
      <c r="AD2" s="414">
        <v>19333280000</v>
      </c>
      <c r="AE2" s="414">
        <v>1000000000</v>
      </c>
      <c r="AF2" s="657">
        <f>AD2+AE2</f>
        <v>20333280000</v>
      </c>
    </row>
    <row r="3" spans="1:34" s="417" customFormat="1" ht="13.5" customHeight="1">
      <c r="AD3" s="418">
        <f>AD2/(AD2+AE2)</f>
        <v>0.95081954313322792</v>
      </c>
      <c r="AE3" s="419">
        <f>AE2/(AD2+AE2)</f>
        <v>4.918045686677211E-2</v>
      </c>
      <c r="AF3" s="658">
        <f>AD3+AE3</f>
        <v>1</v>
      </c>
    </row>
    <row r="4" spans="1:34" s="417" customFormat="1" ht="13.5" customHeight="1">
      <c r="B4" s="420" t="s">
        <v>293</v>
      </c>
      <c r="C4" s="411" t="s">
        <v>294</v>
      </c>
      <c r="D4" s="411" t="s">
        <v>295</v>
      </c>
      <c r="E4" s="411" t="s">
        <v>296</v>
      </c>
      <c r="F4" s="411" t="s">
        <v>297</v>
      </c>
      <c r="G4" s="411" t="s">
        <v>298</v>
      </c>
    </row>
    <row r="5" spans="1:34" s="421" customFormat="1" ht="13.5" customHeight="1">
      <c r="B5" s="422">
        <f>[3]참고2!C4</f>
        <v>42018</v>
      </c>
      <c r="C5" s="423">
        <f>참고2!F4</f>
        <v>0</v>
      </c>
      <c r="D5" s="423">
        <v>0</v>
      </c>
      <c r="E5" s="423">
        <f>참고2!H4</f>
        <v>0</v>
      </c>
      <c r="F5" s="424">
        <v>0</v>
      </c>
      <c r="G5" s="423">
        <f>E2-F2</f>
        <v>139666720000</v>
      </c>
    </row>
    <row r="6" spans="1:34" s="421" customFormat="1" ht="13.5" customHeight="1">
      <c r="A6" s="421">
        <f>[3]참고2!D5</f>
        <v>89</v>
      </c>
      <c r="B6" s="422">
        <f>[3]참고2!C5</f>
        <v>42107</v>
      </c>
      <c r="C6" s="423">
        <f>참고2!F5</f>
        <v>3490000000</v>
      </c>
      <c r="D6" s="423">
        <f t="shared" ref="D6:D68" si="0">G5*A6/365*$G$2</f>
        <v>3260612605.9233522</v>
      </c>
      <c r="E6" s="423">
        <f>참고2!H5</f>
        <v>2574904109.5890412</v>
      </c>
      <c r="F6" s="424">
        <f>D6-E6</f>
        <v>685708496.33431101</v>
      </c>
      <c r="G6" s="423">
        <f>G5+F6-C6</f>
        <v>136862428496.33432</v>
      </c>
      <c r="I6" s="425" t="s">
        <v>527</v>
      </c>
      <c r="AD6" s="426">
        <f>ROUND(F6*$AD$3,1)</f>
        <v>651985039.20000005</v>
      </c>
      <c r="AE6" s="426">
        <f>ROUND(F6*$AE$3,1)</f>
        <v>33723457.100000001</v>
      </c>
      <c r="AF6" s="427">
        <f>AD6+AE6</f>
        <v>685708496.30000007</v>
      </c>
      <c r="AG6" s="427"/>
      <c r="AH6" s="427"/>
    </row>
    <row r="7" spans="1:34" s="421" customFormat="1" ht="13.5" customHeight="1">
      <c r="A7" s="421">
        <f>[3]참고2!D6</f>
        <v>91</v>
      </c>
      <c r="B7" s="422">
        <f>[3]참고2!C6</f>
        <v>42198</v>
      </c>
      <c r="C7" s="423">
        <f>참고2!F6</f>
        <v>3330000000</v>
      </c>
      <c r="D7" s="423">
        <f t="shared" si="0"/>
        <v>3266945554.1108847</v>
      </c>
      <c r="E7" s="423">
        <f>참고2!H6</f>
        <v>2575339890.4109588</v>
      </c>
      <c r="F7" s="424">
        <f t="shared" ref="F7:F68" si="1">D7-E7</f>
        <v>691605663.6999259</v>
      </c>
      <c r="G7" s="423">
        <f t="shared" ref="G7:G68" si="2">G6+F7-C7</f>
        <v>134224034160.03424</v>
      </c>
      <c r="I7" s="910" t="s">
        <v>299</v>
      </c>
      <c r="J7" s="911">
        <v>160000000000</v>
      </c>
      <c r="K7" s="912" t="s">
        <v>528</v>
      </c>
      <c r="L7" s="926">
        <f>J7</f>
        <v>160000000000</v>
      </c>
      <c r="AD7" s="426">
        <f t="shared" ref="AD7:AD68" si="3">ROUND(F7*$AD$3,1)</f>
        <v>657592181.20000005</v>
      </c>
      <c r="AE7" s="426">
        <f t="shared" ref="AE7:AE68" si="4">ROUND(F7*$AE$3,1)</f>
        <v>34013482.5</v>
      </c>
      <c r="AF7" s="427">
        <f t="shared" ref="AF7:AF68" si="5">AD7+AE7</f>
        <v>691605663.70000005</v>
      </c>
      <c r="AG7" s="427"/>
      <c r="AH7" s="427"/>
    </row>
    <row r="8" spans="1:34" s="421" customFormat="1" ht="13.5" customHeight="1">
      <c r="A8" s="421">
        <f>[3]참고2!D7</f>
        <v>92</v>
      </c>
      <c r="B8" s="422">
        <f>[3]참고2!C7</f>
        <v>42290</v>
      </c>
      <c r="C8" s="423">
        <f>참고2!F7</f>
        <v>3330000000</v>
      </c>
      <c r="D8" s="423">
        <f t="shared" si="0"/>
        <v>3239174743.1545868</v>
      </c>
      <c r="E8" s="423">
        <f>참고2!H7</f>
        <v>2548243726.0273972</v>
      </c>
      <c r="F8" s="424">
        <f t="shared" si="1"/>
        <v>690931017.12718964</v>
      </c>
      <c r="G8" s="423">
        <f t="shared" si="2"/>
        <v>131584965177.16144</v>
      </c>
      <c r="I8" s="910" t="s">
        <v>529</v>
      </c>
      <c r="J8" s="999"/>
      <c r="K8" s="1000" t="s">
        <v>530</v>
      </c>
      <c r="L8" s="1001"/>
      <c r="M8" s="421" t="s">
        <v>301</v>
      </c>
      <c r="AD8" s="426">
        <f t="shared" si="3"/>
        <v>656950714</v>
      </c>
      <c r="AE8" s="426">
        <f t="shared" si="4"/>
        <v>33980303.100000001</v>
      </c>
      <c r="AF8" s="427">
        <f t="shared" si="5"/>
        <v>690931017.10000002</v>
      </c>
      <c r="AG8" s="427"/>
      <c r="AH8" s="427"/>
    </row>
    <row r="9" spans="1:34" s="421" customFormat="1" ht="13.5" customHeight="1">
      <c r="A9" s="421">
        <f>[3]참고2!D8</f>
        <v>79</v>
      </c>
      <c r="B9" s="422">
        <f>[3]참고2!C8</f>
        <v>42369</v>
      </c>
      <c r="C9" s="423">
        <f>참고2!F8</f>
        <v>0</v>
      </c>
      <c r="D9" s="423">
        <f t="shared" si="0"/>
        <v>2726777009.7789965</v>
      </c>
      <c r="E9" s="423">
        <f>참고2!H8</f>
        <v>2140596986.3013699</v>
      </c>
      <c r="F9" s="424">
        <f t="shared" si="1"/>
        <v>586180023.47762656</v>
      </c>
      <c r="G9" s="423">
        <f t="shared" si="2"/>
        <v>132171145200.63907</v>
      </c>
      <c r="I9" s="910" t="s">
        <v>302</v>
      </c>
      <c r="J9" s="999"/>
      <c r="K9" s="1000"/>
      <c r="L9" s="910"/>
      <c r="AD9" s="426">
        <f t="shared" si="3"/>
        <v>557351422.10000002</v>
      </c>
      <c r="AE9" s="426">
        <f t="shared" si="4"/>
        <v>28828601.399999999</v>
      </c>
      <c r="AF9" s="427">
        <f t="shared" si="5"/>
        <v>586180023.5</v>
      </c>
      <c r="AG9" s="427"/>
      <c r="AH9" s="427"/>
    </row>
    <row r="10" spans="1:34" s="421" customFormat="1" ht="13.5" customHeight="1">
      <c r="A10" s="421">
        <f>[3]참고2!D9</f>
        <v>13</v>
      </c>
      <c r="B10" s="422">
        <f>[3]참고2!C9</f>
        <v>42382</v>
      </c>
      <c r="C10" s="423">
        <f>참고2!F9</f>
        <v>3330000000</v>
      </c>
      <c r="D10" s="423">
        <f t="shared" si="0"/>
        <v>450709038.82824111</v>
      </c>
      <c r="E10" s="423">
        <f>참고2!H9</f>
        <v>352250136.98630136</v>
      </c>
      <c r="F10" s="424">
        <f t="shared" si="1"/>
        <v>98458901.841939747</v>
      </c>
      <c r="G10" s="423">
        <f t="shared" si="2"/>
        <v>128939604102.481</v>
      </c>
      <c r="K10" s="421" t="s">
        <v>531</v>
      </c>
      <c r="AD10" s="426">
        <f t="shared" si="3"/>
        <v>93616648.099999994</v>
      </c>
      <c r="AE10" s="426">
        <f t="shared" si="4"/>
        <v>4842253.8</v>
      </c>
      <c r="AF10" s="427">
        <f t="shared" si="5"/>
        <v>98458901.899999991</v>
      </c>
      <c r="AG10" s="427"/>
      <c r="AH10" s="427"/>
    </row>
    <row r="11" spans="1:34" s="421" customFormat="1" ht="13.5" customHeight="1">
      <c r="B11" s="717">
        <f>[3]참고2!C10</f>
        <v>42382</v>
      </c>
      <c r="C11" s="718">
        <v>26640000000</v>
      </c>
      <c r="D11" s="718"/>
      <c r="E11" s="718"/>
      <c r="F11" s="719">
        <v>5100194249</v>
      </c>
      <c r="G11" s="719">
        <f t="shared" si="2"/>
        <v>107399798351.481</v>
      </c>
      <c r="AD11" s="426">
        <f t="shared" si="3"/>
        <v>4849364365.6999998</v>
      </c>
      <c r="AE11" s="426">
        <f t="shared" si="4"/>
        <v>250829883.30000001</v>
      </c>
      <c r="AF11" s="427">
        <f t="shared" si="5"/>
        <v>5100194249</v>
      </c>
      <c r="AG11" s="427"/>
      <c r="AH11" s="427"/>
    </row>
    <row r="12" spans="1:34" s="421" customFormat="1" ht="13.5" customHeight="1">
      <c r="A12" s="421">
        <f>[3]참고2!D11</f>
        <v>91</v>
      </c>
      <c r="B12" s="422">
        <f>[3]참고2!C11</f>
        <v>42473</v>
      </c>
      <c r="C12" s="423">
        <f>참고2!F11</f>
        <v>3330000000</v>
      </c>
      <c r="D12" s="423">
        <f>G11*A12/365*$G$2</f>
        <v>2563664093.8763847</v>
      </c>
      <c r="E12" s="423">
        <f>참고2!H11</f>
        <v>1972600767.1232877</v>
      </c>
      <c r="F12" s="424">
        <f t="shared" si="1"/>
        <v>591063326.75309706</v>
      </c>
      <c r="G12" s="423">
        <f>G11+F12-C12</f>
        <v>104660861678.2341</v>
      </c>
      <c r="O12" s="421" t="s">
        <v>532</v>
      </c>
      <c r="AD12" s="426">
        <f t="shared" si="3"/>
        <v>561994562.29999995</v>
      </c>
      <c r="AE12" s="426">
        <f t="shared" si="4"/>
        <v>29068764.399999999</v>
      </c>
      <c r="AF12" s="427">
        <f t="shared" si="5"/>
        <v>591063326.69999993</v>
      </c>
      <c r="AG12" s="427"/>
      <c r="AH12" s="427"/>
    </row>
    <row r="13" spans="1:34" s="421" customFormat="1" ht="13.5" customHeight="1">
      <c r="A13" s="421">
        <f>[3]참고2!D12</f>
        <v>91</v>
      </c>
      <c r="B13" s="422">
        <f>[3]참고2!C12</f>
        <v>42564</v>
      </c>
      <c r="C13" s="423">
        <f>참고2!F12</f>
        <v>3330000000</v>
      </c>
      <c r="D13" s="423">
        <f t="shared" si="0"/>
        <v>2498284887.2821155</v>
      </c>
      <c r="E13" s="423">
        <f>참고2!H12</f>
        <v>1917806301.369863</v>
      </c>
      <c r="F13" s="424">
        <f t="shared" si="1"/>
        <v>580478585.91225243</v>
      </c>
      <c r="G13" s="423">
        <f t="shared" si="2"/>
        <v>101911340264.14635</v>
      </c>
      <c r="I13" s="425" t="s">
        <v>533</v>
      </c>
      <c r="O13" s="421" t="s">
        <v>528</v>
      </c>
      <c r="P13" s="421" t="s">
        <v>534</v>
      </c>
      <c r="AD13" s="426">
        <f t="shared" si="3"/>
        <v>551930383.89999998</v>
      </c>
      <c r="AE13" s="426">
        <f t="shared" si="4"/>
        <v>28548202.100000001</v>
      </c>
      <c r="AF13" s="427">
        <f t="shared" si="5"/>
        <v>580478586</v>
      </c>
      <c r="AG13" s="427"/>
      <c r="AH13" s="427"/>
    </row>
    <row r="14" spans="1:34" s="421" customFormat="1" ht="13.5" customHeight="1">
      <c r="A14" s="421">
        <f>[3]참고2!D13</f>
        <v>92</v>
      </c>
      <c r="B14" s="422">
        <f>[3]참고2!C13</f>
        <v>42656</v>
      </c>
      <c r="C14" s="423">
        <f>참고2!F13</f>
        <v>3330000000</v>
      </c>
      <c r="D14" s="423">
        <f t="shared" si="0"/>
        <v>2459385470.6458163</v>
      </c>
      <c r="E14" s="423">
        <f>참고2!H13</f>
        <v>1883484493.1506848</v>
      </c>
      <c r="F14" s="424">
        <f t="shared" si="1"/>
        <v>575900977.49513149</v>
      </c>
      <c r="G14" s="423">
        <f t="shared" si="2"/>
        <v>99157241241.641479</v>
      </c>
      <c r="I14" s="910" t="s">
        <v>528</v>
      </c>
      <c r="J14" s="911">
        <v>3490000000</v>
      </c>
      <c r="K14" s="912" t="s">
        <v>535</v>
      </c>
      <c r="L14" s="926">
        <f>J14+E6</f>
        <v>6064904109.5890408</v>
      </c>
      <c r="O14" s="421" t="s">
        <v>536</v>
      </c>
      <c r="P14" s="425" t="s">
        <v>537</v>
      </c>
      <c r="AD14" s="426">
        <f t="shared" si="3"/>
        <v>547577904.29999995</v>
      </c>
      <c r="AE14" s="426">
        <f t="shared" si="4"/>
        <v>28323073.199999999</v>
      </c>
      <c r="AF14" s="427">
        <f t="shared" si="5"/>
        <v>575900977.5</v>
      </c>
      <c r="AG14" s="427"/>
      <c r="AH14" s="427"/>
    </row>
    <row r="15" spans="1:34" s="421" customFormat="1" ht="13.5" customHeight="1">
      <c r="B15" s="646">
        <f>B14</f>
        <v>42656</v>
      </c>
      <c r="C15" s="647">
        <f>[4]참고2!F14</f>
        <v>65000000000</v>
      </c>
      <c r="D15" s="647"/>
      <c r="E15" s="647"/>
      <c r="F15" s="648">
        <f>G15+C15-G14</f>
        <v>8581312745.7089844</v>
      </c>
      <c r="G15" s="648">
        <v>42738553987.350456</v>
      </c>
      <c r="H15" s="649"/>
      <c r="I15" s="927"/>
      <c r="J15" s="928"/>
      <c r="K15" s="929"/>
      <c r="L15" s="930"/>
      <c r="M15" s="649"/>
      <c r="N15" s="649"/>
      <c r="O15" s="649"/>
      <c r="P15" s="650"/>
      <c r="Q15" s="649"/>
      <c r="R15" s="649"/>
      <c r="S15" s="649"/>
      <c r="T15" s="649"/>
      <c r="U15" s="649"/>
      <c r="V15" s="649"/>
      <c r="W15" s="649"/>
      <c r="X15" s="649"/>
      <c r="Y15" s="649"/>
      <c r="Z15" s="649"/>
      <c r="AA15" s="649"/>
      <c r="AB15" s="649"/>
      <c r="AC15" s="649"/>
      <c r="AD15" s="651">
        <f t="shared" si="3"/>
        <v>8159279864.3999996</v>
      </c>
      <c r="AE15" s="651">
        <f t="shared" si="4"/>
        <v>422032881.39999998</v>
      </c>
      <c r="AF15" s="652">
        <f t="shared" si="5"/>
        <v>8581312745.7999992</v>
      </c>
      <c r="AG15" s="427"/>
      <c r="AH15" s="427"/>
    </row>
    <row r="16" spans="1:34" s="421" customFormat="1" ht="13.5" customHeight="1">
      <c r="A16" s="421">
        <f>[3]참고2!D15</f>
        <v>79</v>
      </c>
      <c r="B16" s="422">
        <f>[3]참고2!C15</f>
        <v>42735</v>
      </c>
      <c r="C16" s="423">
        <f>참고2!F15</f>
        <v>0</v>
      </c>
      <c r="D16" s="423">
        <f>G15*A16/365*$G$2</f>
        <v>885652143.36609268</v>
      </c>
      <c r="E16" s="423">
        <f>참고2!H15</f>
        <v>641250575.34246576</v>
      </c>
      <c r="F16" s="424">
        <f t="shared" si="1"/>
        <v>244401568.02362692</v>
      </c>
      <c r="G16" s="423">
        <f>G15+F16-C16</f>
        <v>42982955555.374084</v>
      </c>
      <c r="I16" s="910" t="s">
        <v>538</v>
      </c>
      <c r="J16" s="911"/>
      <c r="K16" s="912" t="s">
        <v>529</v>
      </c>
      <c r="L16" s="913"/>
      <c r="O16" s="421" t="s">
        <v>530</v>
      </c>
      <c r="P16" s="421" t="str">
        <f>P14</f>
        <v>-XXX</v>
      </c>
      <c r="AD16" s="426">
        <f t="shared" si="3"/>
        <v>232381787.19999999</v>
      </c>
      <c r="AE16" s="426">
        <f t="shared" si="4"/>
        <v>12019780.800000001</v>
      </c>
      <c r="AF16" s="427">
        <f t="shared" si="5"/>
        <v>244401568</v>
      </c>
      <c r="AG16" s="427"/>
      <c r="AH16" s="427"/>
    </row>
    <row r="17" spans="1:34" s="421" customFormat="1" ht="13.5" customHeight="1">
      <c r="B17" s="422"/>
      <c r="C17" s="423"/>
      <c r="D17" s="423"/>
      <c r="E17" s="423"/>
      <c r="F17" s="424"/>
      <c r="G17" s="423"/>
      <c r="I17" s="910"/>
      <c r="J17" s="911"/>
      <c r="K17" s="912"/>
      <c r="L17" s="913"/>
      <c r="AD17" s="426">
        <v>-359385987</v>
      </c>
      <c r="AE17" s="426">
        <v>-18588981</v>
      </c>
      <c r="AF17" s="426">
        <v>-18588981</v>
      </c>
      <c r="AG17" s="427"/>
      <c r="AH17" s="427"/>
    </row>
    <row r="18" spans="1:34" s="421" customFormat="1" ht="13.5" customHeight="1">
      <c r="A18" s="421">
        <f>[3]참고2!D16</f>
        <v>13</v>
      </c>
      <c r="B18" s="422">
        <f>[3]참고2!C16</f>
        <v>42748</v>
      </c>
      <c r="C18" s="423">
        <f>참고2!F16</f>
        <v>3330000000</v>
      </c>
      <c r="D18" s="423">
        <f>G16*A18/365*$G$2</f>
        <v>146573645.51809898</v>
      </c>
      <c r="E18" s="423">
        <f>참고2!H16</f>
        <v>105522246.57534246</v>
      </c>
      <c r="F18" s="424">
        <f t="shared" si="1"/>
        <v>41051398.942756519</v>
      </c>
      <c r="G18" s="423">
        <f>G16+F18-C18</f>
        <v>39694006954.316841</v>
      </c>
      <c r="I18" s="910"/>
      <c r="J18" s="911"/>
      <c r="K18" s="912" t="s">
        <v>536</v>
      </c>
      <c r="L18" s="913"/>
      <c r="AD18" s="426">
        <f t="shared" si="3"/>
        <v>39032472.399999999</v>
      </c>
      <c r="AE18" s="659">
        <f t="shared" si="4"/>
        <v>2018926.6</v>
      </c>
      <c r="AF18" s="427">
        <f t="shared" si="5"/>
        <v>41051399</v>
      </c>
      <c r="AG18" s="427"/>
      <c r="AH18" s="427"/>
    </row>
    <row r="19" spans="1:34" s="421" customFormat="1" ht="13.5" customHeight="1">
      <c r="A19" s="421">
        <f>[3]참고2!D17</f>
        <v>90</v>
      </c>
      <c r="B19" s="422">
        <f>[3]참고2!C17</f>
        <v>42838</v>
      </c>
      <c r="C19" s="423">
        <f>참고2!F17</f>
        <v>3330000000</v>
      </c>
      <c r="D19" s="423">
        <f t="shared" si="0"/>
        <v>937095200.14413989</v>
      </c>
      <c r="E19" s="423">
        <f>참고2!H17</f>
        <v>676346301.36986303</v>
      </c>
      <c r="F19" s="424">
        <f t="shared" si="1"/>
        <v>260748898.77427685</v>
      </c>
      <c r="G19" s="423">
        <f t="shared" si="2"/>
        <v>36624755853.091118</v>
      </c>
      <c r="J19" s="428"/>
      <c r="K19" s="428"/>
      <c r="L19" s="428"/>
      <c r="O19" s="421" t="s">
        <v>539</v>
      </c>
      <c r="AD19" s="426">
        <f t="shared" si="3"/>
        <v>247925148.80000001</v>
      </c>
      <c r="AE19" s="659">
        <f t="shared" si="4"/>
        <v>12823750</v>
      </c>
      <c r="AF19" s="427">
        <f t="shared" si="5"/>
        <v>260748898.80000001</v>
      </c>
      <c r="AG19" s="427"/>
      <c r="AH19" s="427"/>
    </row>
    <row r="20" spans="1:34" s="421" customFormat="1" ht="13.5" customHeight="1">
      <c r="A20" s="421">
        <f>[3]참고2!D18</f>
        <v>91</v>
      </c>
      <c r="B20" s="422">
        <f>[3]참고2!C18</f>
        <v>42929</v>
      </c>
      <c r="C20" s="423">
        <f>참고2!F18</f>
        <v>3330000000</v>
      </c>
      <c r="D20" s="423">
        <f t="shared" si="0"/>
        <v>874243461.9875046</v>
      </c>
      <c r="E20" s="423">
        <f>참고2!H18</f>
        <v>629066794.52054799</v>
      </c>
      <c r="F20" s="424">
        <f t="shared" si="1"/>
        <v>245176667.46695662</v>
      </c>
      <c r="G20" s="423">
        <f t="shared" si="2"/>
        <v>33539932520.558075</v>
      </c>
      <c r="I20" s="425" t="s">
        <v>540</v>
      </c>
      <c r="O20" s="421" t="s">
        <v>541</v>
      </c>
      <c r="P20" s="425" t="s">
        <v>542</v>
      </c>
      <c r="AD20" s="426">
        <f t="shared" si="3"/>
        <v>233118766.90000001</v>
      </c>
      <c r="AE20" s="659">
        <f t="shared" si="4"/>
        <v>12057900.5</v>
      </c>
      <c r="AF20" s="427">
        <f t="shared" si="5"/>
        <v>245176667.40000001</v>
      </c>
      <c r="AG20" s="427"/>
      <c r="AH20" s="427"/>
    </row>
    <row r="21" spans="1:34" s="421" customFormat="1" ht="13.5" customHeight="1">
      <c r="A21" s="421">
        <f>[3]참고2!D19</f>
        <v>92</v>
      </c>
      <c r="B21" s="422">
        <f>[3]참고2!C19</f>
        <v>43021</v>
      </c>
      <c r="C21" s="423">
        <f>참고2!F19</f>
        <v>3330000000</v>
      </c>
      <c r="D21" s="423">
        <f t="shared" si="0"/>
        <v>809405729.66364741</v>
      </c>
      <c r="E21" s="423">
        <f>참고2!H19</f>
        <v>580583013.69863009</v>
      </c>
      <c r="F21" s="424">
        <f t="shared" si="1"/>
        <v>228822715.96501732</v>
      </c>
      <c r="G21" s="423">
        <f t="shared" si="2"/>
        <v>30438755236.523094</v>
      </c>
      <c r="I21" s="910" t="s">
        <v>300</v>
      </c>
      <c r="J21" s="911">
        <f>[3]참고2!F6</f>
        <v>3330000000</v>
      </c>
      <c r="K21" s="912" t="s">
        <v>303</v>
      </c>
      <c r="L21" s="926">
        <f>J21+[3]참고2!H6</f>
        <v>5905339890.4109592</v>
      </c>
      <c r="AD21" s="426">
        <f t="shared" si="3"/>
        <v>217569110.30000001</v>
      </c>
      <c r="AE21" s="659">
        <f t="shared" si="4"/>
        <v>11253605.699999999</v>
      </c>
      <c r="AF21" s="427">
        <f t="shared" si="5"/>
        <v>228822716</v>
      </c>
      <c r="AG21" s="427"/>
      <c r="AH21" s="427"/>
    </row>
    <row r="22" spans="1:34" s="421" customFormat="1" ht="13.5" customHeight="1">
      <c r="A22" s="421">
        <f>[3]참고2!D20</f>
        <v>79</v>
      </c>
      <c r="B22" s="422">
        <f>[3]참고2!C20</f>
        <v>43100</v>
      </c>
      <c r="C22" s="423">
        <f>참고2!F20</f>
        <v>0</v>
      </c>
      <c r="D22" s="423">
        <f t="shared" si="0"/>
        <v>630768856.2556771</v>
      </c>
      <c r="E22" s="423">
        <f>참고2!H20</f>
        <v>450975287.67123288</v>
      </c>
      <c r="F22" s="424">
        <f t="shared" si="1"/>
        <v>179793568.58444422</v>
      </c>
      <c r="G22" s="423">
        <f t="shared" si="2"/>
        <v>30618548805.10754</v>
      </c>
      <c r="I22" s="910" t="s">
        <v>543</v>
      </c>
      <c r="J22" s="911"/>
      <c r="K22" s="912" t="s">
        <v>544</v>
      </c>
      <c r="L22" s="913"/>
      <c r="AD22" s="426">
        <f t="shared" si="3"/>
        <v>170951238.69999999</v>
      </c>
      <c r="AE22" s="659">
        <f t="shared" si="4"/>
        <v>8842329.8000000007</v>
      </c>
      <c r="AF22" s="427">
        <f t="shared" si="5"/>
        <v>179793568.5</v>
      </c>
      <c r="AG22" s="427"/>
      <c r="AH22" s="427"/>
    </row>
    <row r="23" spans="1:34" s="421" customFormat="1" ht="13.5" customHeight="1">
      <c r="A23" s="421">
        <f>[3]참고2!D21</f>
        <v>15</v>
      </c>
      <c r="B23" s="422">
        <f>[3]참고2!C21</f>
        <v>43115</v>
      </c>
      <c r="C23" s="423">
        <f>참고2!F21</f>
        <v>3330000000</v>
      </c>
      <c r="D23" s="423">
        <f t="shared" si="0"/>
        <v>120473665.59922202</v>
      </c>
      <c r="E23" s="423">
        <f>참고2!H21</f>
        <v>85628219.178082198</v>
      </c>
      <c r="F23" s="424">
        <f t="shared" si="1"/>
        <v>34845446.421139821</v>
      </c>
      <c r="G23" s="423">
        <f t="shared" si="2"/>
        <v>27323394251.528679</v>
      </c>
      <c r="I23" s="910"/>
      <c r="J23" s="911"/>
      <c r="K23" s="912" t="s">
        <v>302</v>
      </c>
      <c r="L23" s="913"/>
      <c r="AD23" s="426">
        <f t="shared" si="3"/>
        <v>33131731.399999999</v>
      </c>
      <c r="AE23" s="426">
        <f t="shared" si="4"/>
        <v>1713715</v>
      </c>
      <c r="AF23" s="427">
        <f t="shared" si="5"/>
        <v>34845446.399999999</v>
      </c>
      <c r="AG23" s="427"/>
      <c r="AH23" s="427"/>
    </row>
    <row r="24" spans="1:34" s="421" customFormat="1" ht="13.5" customHeight="1">
      <c r="A24" s="421">
        <f>[3]참고2!D22</f>
        <v>88</v>
      </c>
      <c r="B24" s="422">
        <f>[3]참고2!C22</f>
        <v>43203</v>
      </c>
      <c r="C24" s="423">
        <f>참고2!F22</f>
        <v>3330000000</v>
      </c>
      <c r="D24" s="423">
        <f t="shared" si="0"/>
        <v>630715615.13932943</v>
      </c>
      <c r="E24" s="423">
        <f>참고2!H22</f>
        <v>449364164.38356167</v>
      </c>
      <c r="F24" s="424">
        <f t="shared" si="1"/>
        <v>181351450.75576776</v>
      </c>
      <c r="G24" s="423">
        <f t="shared" si="2"/>
        <v>24174745702.284447</v>
      </c>
      <c r="AD24" s="426">
        <f t="shared" si="3"/>
        <v>172432503.59999999</v>
      </c>
      <c r="AE24" s="426">
        <f t="shared" si="4"/>
        <v>8918947.1999999993</v>
      </c>
      <c r="AF24" s="427">
        <f t="shared" si="5"/>
        <v>181351450.79999998</v>
      </c>
      <c r="AG24" s="427"/>
      <c r="AH24" s="427"/>
    </row>
    <row r="25" spans="1:34" s="421" customFormat="1" ht="13.5" customHeight="1">
      <c r="A25" s="421">
        <f>[3]참고2!D23</f>
        <v>91</v>
      </c>
      <c r="B25" s="422">
        <f>[3]참고2!C23</f>
        <v>43294</v>
      </c>
      <c r="C25" s="423">
        <f>참고2!F23</f>
        <v>3330000000</v>
      </c>
      <c r="D25" s="423">
        <f t="shared" si="0"/>
        <v>577058136.85714853</v>
      </c>
      <c r="E25" s="423">
        <f>참고2!H23</f>
        <v>409888931.50684929</v>
      </c>
      <c r="F25" s="424">
        <f t="shared" si="1"/>
        <v>167169205.35029924</v>
      </c>
      <c r="G25" s="423">
        <f t="shared" si="2"/>
        <v>21011914907.634747</v>
      </c>
      <c r="AD25" s="426">
        <f t="shared" si="3"/>
        <v>158947747.5</v>
      </c>
      <c r="AE25" s="426">
        <f t="shared" si="4"/>
        <v>8221457.9000000004</v>
      </c>
      <c r="AF25" s="427">
        <f t="shared" si="5"/>
        <v>167169205.40000001</v>
      </c>
      <c r="AG25" s="427"/>
      <c r="AH25" s="427"/>
    </row>
    <row r="26" spans="1:34" s="421" customFormat="1" ht="13.5" customHeight="1">
      <c r="A26" s="421">
        <f>[3]참고2!D24</f>
        <v>94</v>
      </c>
      <c r="B26" s="422">
        <f>[3]참고2!C24</f>
        <v>43388</v>
      </c>
      <c r="C26" s="423">
        <f>참고2!F24</f>
        <v>3330000000</v>
      </c>
      <c r="D26" s="423">
        <f t="shared" si="0"/>
        <v>518095415.67253423</v>
      </c>
      <c r="E26" s="423">
        <f>참고2!H24</f>
        <v>366800876.71232879</v>
      </c>
      <c r="F26" s="424">
        <f t="shared" si="1"/>
        <v>151294538.96020544</v>
      </c>
      <c r="G26" s="423">
        <f t="shared" si="2"/>
        <v>17833209446.594952</v>
      </c>
      <c r="AD26" s="426">
        <f t="shared" si="3"/>
        <v>143853804.40000001</v>
      </c>
      <c r="AE26" s="426">
        <f t="shared" si="4"/>
        <v>7440734.5</v>
      </c>
      <c r="AF26" s="427">
        <f t="shared" si="5"/>
        <v>151294538.90000001</v>
      </c>
      <c r="AG26" s="427"/>
      <c r="AH26" s="427"/>
    </row>
    <row r="27" spans="1:34" s="421" customFormat="1" ht="13.5" customHeight="1">
      <c r="A27" s="421">
        <f>[3]참고2!D25</f>
        <v>77</v>
      </c>
      <c r="B27" s="422">
        <f>[3]참고2!C25</f>
        <v>43465</v>
      </c>
      <c r="C27" s="423">
        <f>참고2!F25</f>
        <v>0</v>
      </c>
      <c r="D27" s="423">
        <f t="shared" si="0"/>
        <v>360194019.71681494</v>
      </c>
      <c r="E27" s="423">
        <f>참고2!H25</f>
        <v>254100000</v>
      </c>
      <c r="F27" s="424">
        <f t="shared" si="1"/>
        <v>106094019.71681494</v>
      </c>
      <c r="G27" s="423">
        <f t="shared" si="2"/>
        <v>17939303466.311768</v>
      </c>
      <c r="AD27" s="426">
        <f t="shared" si="3"/>
        <v>100876267.40000001</v>
      </c>
      <c r="AE27" s="426">
        <f t="shared" si="4"/>
        <v>5217752.4000000004</v>
      </c>
      <c r="AF27" s="427">
        <f t="shared" si="5"/>
        <v>106094019.80000001</v>
      </c>
      <c r="AG27" s="427"/>
      <c r="AH27" s="427"/>
    </row>
    <row r="28" spans="1:34" s="421" customFormat="1" ht="13.5" customHeight="1">
      <c r="A28" s="421">
        <f>[3]참고2!D26</f>
        <v>14</v>
      </c>
      <c r="B28" s="422">
        <f>[3]참고2!C26</f>
        <v>43479</v>
      </c>
      <c r="C28" s="423">
        <f>참고2!F26</f>
        <v>3330000000</v>
      </c>
      <c r="D28" s="423">
        <f t="shared" si="0"/>
        <v>65879436.348554164</v>
      </c>
      <c r="E28" s="423">
        <f>참고2!H26</f>
        <v>46200000</v>
      </c>
      <c r="F28" s="424">
        <f t="shared" si="1"/>
        <v>19679436.348554164</v>
      </c>
      <c r="G28" s="423">
        <f t="shared" si="2"/>
        <v>14628982902.66032</v>
      </c>
      <c r="AD28" s="426">
        <f t="shared" si="3"/>
        <v>18711592.699999999</v>
      </c>
      <c r="AE28" s="426">
        <f t="shared" si="4"/>
        <v>967843.7</v>
      </c>
      <c r="AF28" s="427">
        <f t="shared" si="5"/>
        <v>19679436.399999999</v>
      </c>
      <c r="AG28" s="427"/>
      <c r="AH28" s="427"/>
    </row>
    <row r="29" spans="1:34" s="421" customFormat="1" ht="13.5" customHeight="1">
      <c r="A29" s="421">
        <f>[3]참고2!D27</f>
        <v>91</v>
      </c>
      <c r="B29" s="422">
        <f>[3]참고2!C27</f>
        <v>43570</v>
      </c>
      <c r="C29" s="423">
        <f>참고2!F27</f>
        <v>3330000000</v>
      </c>
      <c r="D29" s="423">
        <f t="shared" si="0"/>
        <v>349198031.77604967</v>
      </c>
      <c r="E29" s="423">
        <f>참고2!H27</f>
        <v>245505534.24657536</v>
      </c>
      <c r="F29" s="424">
        <f t="shared" si="1"/>
        <v>103692497.52947432</v>
      </c>
      <c r="G29" s="423">
        <f t="shared" si="2"/>
        <v>11402675400.189795</v>
      </c>
      <c r="AD29" s="426">
        <f t="shared" si="3"/>
        <v>98592853.099999994</v>
      </c>
      <c r="AE29" s="426">
        <f t="shared" si="4"/>
        <v>5099644.4000000004</v>
      </c>
      <c r="AF29" s="427">
        <f t="shared" si="5"/>
        <v>103692497.5</v>
      </c>
      <c r="AG29" s="427"/>
      <c r="AH29" s="427"/>
    </row>
    <row r="30" spans="1:34" s="421" customFormat="1" ht="13.5" customHeight="1">
      <c r="A30" s="421">
        <f>[3]참고2!D28</f>
        <v>91</v>
      </c>
      <c r="B30" s="422">
        <f>[3]참고2!C28</f>
        <v>43661</v>
      </c>
      <c r="C30" s="423">
        <f>참고2!F28</f>
        <v>3330000000</v>
      </c>
      <c r="D30" s="423">
        <f t="shared" si="0"/>
        <v>272185143.23393983</v>
      </c>
      <c r="E30" s="423">
        <f>참고2!H28</f>
        <v>190711068.49315068</v>
      </c>
      <c r="F30" s="424">
        <f t="shared" si="1"/>
        <v>81474074.740789145</v>
      </c>
      <c r="G30" s="423">
        <f t="shared" si="2"/>
        <v>8154149474.930584</v>
      </c>
      <c r="AD30" s="426">
        <f t="shared" si="3"/>
        <v>77467142.5</v>
      </c>
      <c r="AE30" s="426">
        <f t="shared" si="4"/>
        <v>4006932.2</v>
      </c>
      <c r="AF30" s="427">
        <f t="shared" si="5"/>
        <v>81474074.700000003</v>
      </c>
      <c r="AG30" s="427"/>
      <c r="AH30" s="427"/>
    </row>
    <row r="31" spans="1:34" s="421" customFormat="1" ht="13.5" customHeight="1">
      <c r="A31" s="421">
        <f>[3]참고2!D29</f>
        <v>91</v>
      </c>
      <c r="B31" s="422">
        <f>[3]참고2!C29</f>
        <v>43752</v>
      </c>
      <c r="C31" s="423">
        <f>참고2!F29</f>
        <v>3330000000</v>
      </c>
      <c r="D31" s="423">
        <f t="shared" si="0"/>
        <v>194641894.5459058</v>
      </c>
      <c r="E31" s="423">
        <f>참고2!H29</f>
        <v>135916602.73972604</v>
      </c>
      <c r="F31" s="424">
        <f t="shared" si="1"/>
        <v>58725291.806179762</v>
      </c>
      <c r="G31" s="423">
        <f t="shared" si="2"/>
        <v>4882874766.736764</v>
      </c>
      <c r="AD31" s="426">
        <f t="shared" si="3"/>
        <v>55837155.100000001</v>
      </c>
      <c r="AE31" s="426">
        <f t="shared" si="4"/>
        <v>2888136.7</v>
      </c>
      <c r="AF31" s="427">
        <f t="shared" si="5"/>
        <v>58725291.800000004</v>
      </c>
      <c r="AG31" s="427"/>
      <c r="AH31" s="427"/>
    </row>
    <row r="32" spans="1:34" s="421" customFormat="1" ht="13.5" customHeight="1">
      <c r="A32" s="421">
        <f>[3]참고2!D30</f>
        <v>78</v>
      </c>
      <c r="B32" s="422">
        <f>[3]참고2!C30</f>
        <v>43830</v>
      </c>
      <c r="C32" s="423">
        <f>참고2!F30</f>
        <v>0</v>
      </c>
      <c r="D32" s="423">
        <f t="shared" si="0"/>
        <v>99904822.167976081</v>
      </c>
      <c r="E32" s="423">
        <f>참고2!H30</f>
        <v>69533260.273972601</v>
      </c>
      <c r="F32" s="424">
        <f t="shared" si="1"/>
        <v>30371561.894003481</v>
      </c>
      <c r="G32" s="423">
        <f t="shared" si="2"/>
        <v>4913246328.6307678</v>
      </c>
      <c r="AD32" s="426">
        <f t="shared" si="3"/>
        <v>28877874.600000001</v>
      </c>
      <c r="AE32" s="426">
        <f t="shared" si="4"/>
        <v>1493687.3</v>
      </c>
      <c r="AF32" s="427">
        <f t="shared" si="5"/>
        <v>30371561.900000002</v>
      </c>
      <c r="AG32" s="427"/>
      <c r="AH32" s="427"/>
    </row>
    <row r="33" spans="1:34" s="421" customFormat="1" ht="13.5" customHeight="1">
      <c r="A33" s="421">
        <f>[3]참고2!D31</f>
        <v>13</v>
      </c>
      <c r="B33" s="422">
        <f>[3]참고2!C31</f>
        <v>43843</v>
      </c>
      <c r="C33" s="423">
        <f>참고2!F31</f>
        <v>3330000000</v>
      </c>
      <c r="D33" s="423">
        <f t="shared" si="0"/>
        <v>16754371.969327919</v>
      </c>
      <c r="E33" s="423">
        <f>참고2!H31</f>
        <v>11588876.712328767</v>
      </c>
      <c r="F33" s="424">
        <f t="shared" si="1"/>
        <v>5165495.2569991518</v>
      </c>
      <c r="G33" s="423">
        <f t="shared" si="2"/>
        <v>1588411823.8877668</v>
      </c>
      <c r="AD33" s="426">
        <f t="shared" si="3"/>
        <v>4911453.8</v>
      </c>
      <c r="AE33" s="426">
        <f t="shared" si="4"/>
        <v>254041.4</v>
      </c>
      <c r="AF33" s="427">
        <f t="shared" si="5"/>
        <v>5165495.2</v>
      </c>
      <c r="AG33" s="427"/>
      <c r="AH33" s="427"/>
    </row>
    <row r="34" spans="1:34" s="421" customFormat="1" ht="13.5" customHeight="1">
      <c r="A34" s="421">
        <f>[3]참고2!D32</f>
        <v>91</v>
      </c>
      <c r="B34" s="422">
        <f>[3]참고2!C32</f>
        <v>43934</v>
      </c>
      <c r="C34" s="423">
        <f>참고2!F32</f>
        <v>1600000000</v>
      </c>
      <c r="D34" s="423">
        <f t="shared" si="0"/>
        <v>37915847.345104568</v>
      </c>
      <c r="E34" s="423">
        <f>참고2!H32</f>
        <v>26327671.232876711</v>
      </c>
      <c r="F34" s="424">
        <f t="shared" si="1"/>
        <v>11588176.112227857</v>
      </c>
      <c r="G34" s="423">
        <f t="shared" si="2"/>
        <v>-5.245208740234375E-6</v>
      </c>
      <c r="AD34" s="426">
        <f t="shared" si="3"/>
        <v>11018264.300000001</v>
      </c>
      <c r="AE34" s="426">
        <f t="shared" si="4"/>
        <v>569911.80000000005</v>
      </c>
      <c r="AF34" s="427">
        <f t="shared" si="5"/>
        <v>11588176.100000001</v>
      </c>
      <c r="AG34" s="427"/>
      <c r="AH34" s="427"/>
    </row>
    <row r="35" spans="1:34" s="421" customFormat="1" ht="13.5" customHeight="1">
      <c r="A35" s="421">
        <f>[3]참고2!D33</f>
        <v>91</v>
      </c>
      <c r="B35" s="422">
        <f>[3]참고2!C33</f>
        <v>44025</v>
      </c>
      <c r="C35" s="423">
        <f>[3]참고2!F33</f>
        <v>0</v>
      </c>
      <c r="D35" s="423">
        <f>G34*A35/365*$G$2</f>
        <v>-1.2520464208152791E-7</v>
      </c>
      <c r="E35" s="423">
        <f>[3]참고2!H33</f>
        <v>0</v>
      </c>
      <c r="F35" s="424">
        <f t="shared" si="1"/>
        <v>-1.2520464208152791E-7</v>
      </c>
      <c r="G35" s="423">
        <f t="shared" si="2"/>
        <v>-5.3704133823159025E-6</v>
      </c>
      <c r="AD35" s="426">
        <f t="shared" si="3"/>
        <v>0</v>
      </c>
      <c r="AE35" s="426">
        <f t="shared" si="4"/>
        <v>0</v>
      </c>
      <c r="AF35" s="427">
        <f t="shared" si="5"/>
        <v>0</v>
      </c>
      <c r="AG35" s="427"/>
      <c r="AH35" s="427"/>
    </row>
    <row r="36" spans="1:34" s="421" customFormat="1" ht="13.5" customHeight="1">
      <c r="A36" s="421">
        <f>[3]참고2!D34</f>
        <v>92</v>
      </c>
      <c r="B36" s="422">
        <f>[3]참고2!C34</f>
        <v>44117</v>
      </c>
      <c r="C36" s="423">
        <f>[3]참고2!F34</f>
        <v>0</v>
      </c>
      <c r="D36" s="423">
        <f t="shared" si="0"/>
        <v>-1.296020306434562E-7</v>
      </c>
      <c r="E36" s="423">
        <f>[3]참고2!H34</f>
        <v>0</v>
      </c>
      <c r="F36" s="424">
        <f t="shared" si="1"/>
        <v>-1.296020306434562E-7</v>
      </c>
      <c r="G36" s="423">
        <f t="shared" si="2"/>
        <v>-5.5000154129593591E-6</v>
      </c>
      <c r="AD36" s="426">
        <f t="shared" si="3"/>
        <v>0</v>
      </c>
      <c r="AE36" s="426">
        <f t="shared" si="4"/>
        <v>0</v>
      </c>
      <c r="AF36" s="427">
        <f t="shared" si="5"/>
        <v>0</v>
      </c>
      <c r="AG36" s="427"/>
      <c r="AH36" s="427"/>
    </row>
    <row r="37" spans="1:34" s="421" customFormat="1" ht="13.5" customHeight="1">
      <c r="A37" s="421">
        <f>[3]참고2!D35</f>
        <v>79</v>
      </c>
      <c r="B37" s="422">
        <f>[3]참고2!C35</f>
        <v>44196</v>
      </c>
      <c r="C37" s="423">
        <f>[3]참고2!F35</f>
        <v>0</v>
      </c>
      <c r="D37" s="423">
        <f t="shared" si="0"/>
        <v>-1.1397438576129006E-7</v>
      </c>
      <c r="E37" s="423">
        <f>[3]참고2!H35</f>
        <v>0</v>
      </c>
      <c r="F37" s="424">
        <f t="shared" si="1"/>
        <v>-1.1397438576129006E-7</v>
      </c>
      <c r="G37" s="423">
        <f t="shared" si="2"/>
        <v>-5.6139897987206493E-6</v>
      </c>
      <c r="AD37" s="426">
        <f t="shared" si="3"/>
        <v>0</v>
      </c>
      <c r="AE37" s="426">
        <f t="shared" si="4"/>
        <v>0</v>
      </c>
      <c r="AF37" s="427">
        <f t="shared" si="5"/>
        <v>0</v>
      </c>
      <c r="AG37" s="427"/>
      <c r="AH37" s="427"/>
    </row>
    <row r="38" spans="1:34" s="421" customFormat="1" ht="13.5" customHeight="1">
      <c r="A38" s="421">
        <f>[3]참고2!D36</f>
        <v>13</v>
      </c>
      <c r="B38" s="422">
        <f>[3]참고2!C36</f>
        <v>44209</v>
      </c>
      <c r="C38" s="423">
        <f>[3]참고2!F36</f>
        <v>0</v>
      </c>
      <c r="D38" s="423">
        <f t="shared" si="0"/>
        <v>-1.9143936010631619E-8</v>
      </c>
      <c r="E38" s="423">
        <f>[3]참고2!H36</f>
        <v>0</v>
      </c>
      <c r="F38" s="424">
        <f t="shared" si="1"/>
        <v>-1.9143936010631619E-8</v>
      </c>
      <c r="G38" s="423">
        <f t="shared" si="2"/>
        <v>-5.6331337347312809E-6</v>
      </c>
      <c r="AD38" s="426">
        <f t="shared" si="3"/>
        <v>0</v>
      </c>
      <c r="AE38" s="426">
        <f t="shared" si="4"/>
        <v>0</v>
      </c>
      <c r="AF38" s="427">
        <f t="shared" si="5"/>
        <v>0</v>
      </c>
      <c r="AG38" s="427"/>
      <c r="AH38" s="427"/>
    </row>
    <row r="39" spans="1:34" s="421" customFormat="1" ht="13.5" customHeight="1">
      <c r="A39" s="421">
        <f>[3]참고2!D37</f>
        <v>90</v>
      </c>
      <c r="B39" s="422">
        <f>[3]참고2!C37</f>
        <v>44299</v>
      </c>
      <c r="C39" s="423">
        <f>[3]참고2!F37</f>
        <v>0</v>
      </c>
      <c r="D39" s="423">
        <f t="shared" si="0"/>
        <v>-1.3298689121161228E-7</v>
      </c>
      <c r="E39" s="423">
        <f>[3]참고2!H37</f>
        <v>0</v>
      </c>
      <c r="F39" s="424">
        <f t="shared" si="1"/>
        <v>-1.3298689121161228E-7</v>
      </c>
      <c r="G39" s="423">
        <f t="shared" si="2"/>
        <v>-5.7661206259428928E-6</v>
      </c>
      <c r="AD39" s="426">
        <f t="shared" si="3"/>
        <v>0</v>
      </c>
      <c r="AE39" s="426">
        <f t="shared" si="4"/>
        <v>0</v>
      </c>
      <c r="AF39" s="427">
        <f t="shared" si="5"/>
        <v>0</v>
      </c>
      <c r="AG39" s="427"/>
      <c r="AH39" s="427"/>
    </row>
    <row r="40" spans="1:34" s="421" customFormat="1" ht="13.5" customHeight="1">
      <c r="A40" s="421">
        <f>[3]참고2!D38</f>
        <v>91</v>
      </c>
      <c r="B40" s="422">
        <f>[3]참고2!C38</f>
        <v>44390</v>
      </c>
      <c r="C40" s="423">
        <f>[3]참고2!F38</f>
        <v>0</v>
      </c>
      <c r="D40" s="423">
        <f t="shared" si="0"/>
        <v>-1.3763895870001859E-7</v>
      </c>
      <c r="E40" s="423">
        <f>[3]참고2!H38</f>
        <v>0</v>
      </c>
      <c r="F40" s="424">
        <f t="shared" si="1"/>
        <v>-1.3763895870001859E-7</v>
      </c>
      <c r="G40" s="423">
        <f t="shared" si="2"/>
        <v>-5.9037595846429116E-6</v>
      </c>
      <c r="AD40" s="426">
        <f t="shared" si="3"/>
        <v>0</v>
      </c>
      <c r="AE40" s="426">
        <f t="shared" si="4"/>
        <v>0</v>
      </c>
      <c r="AF40" s="427">
        <f t="shared" si="5"/>
        <v>0</v>
      </c>
      <c r="AG40" s="427"/>
      <c r="AH40" s="427"/>
    </row>
    <row r="41" spans="1:34" s="421" customFormat="1" ht="13.5" customHeight="1">
      <c r="A41" s="421">
        <f>[3]참고2!D39</f>
        <v>92</v>
      </c>
      <c r="B41" s="422">
        <f>[3]참고2!C39</f>
        <v>44482</v>
      </c>
      <c r="C41" s="423">
        <f>[3]참고2!F39</f>
        <v>0</v>
      </c>
      <c r="D41" s="423">
        <f t="shared" si="0"/>
        <v>-1.4247306047612578E-7</v>
      </c>
      <c r="E41" s="423">
        <f>[3]참고2!H39</f>
        <v>0</v>
      </c>
      <c r="F41" s="424">
        <f t="shared" si="1"/>
        <v>-1.4247306047612578E-7</v>
      </c>
      <c r="G41" s="423">
        <f t="shared" si="2"/>
        <v>-6.0462326451190373E-6</v>
      </c>
      <c r="AD41" s="426">
        <f t="shared" si="3"/>
        <v>0</v>
      </c>
      <c r="AE41" s="426">
        <f t="shared" si="4"/>
        <v>0</v>
      </c>
      <c r="AF41" s="427">
        <f t="shared" si="5"/>
        <v>0</v>
      </c>
      <c r="AG41" s="427"/>
      <c r="AH41" s="427"/>
    </row>
    <row r="42" spans="1:34" s="421" customFormat="1" ht="13.5" customHeight="1">
      <c r="A42" s="421">
        <f>[3]참고2!D40</f>
        <v>79</v>
      </c>
      <c r="B42" s="422">
        <f>[3]참고2!C40</f>
        <v>44561</v>
      </c>
      <c r="C42" s="423">
        <f>[3]참고2!F40</f>
        <v>0</v>
      </c>
      <c r="D42" s="423">
        <f t="shared" si="0"/>
        <v>-1.252934037736658E-7</v>
      </c>
      <c r="E42" s="423">
        <f>[3]참고2!H40</f>
        <v>0</v>
      </c>
      <c r="F42" s="424">
        <f t="shared" si="1"/>
        <v>-1.252934037736658E-7</v>
      </c>
      <c r="G42" s="423">
        <f t="shared" si="2"/>
        <v>-6.171526048892703E-6</v>
      </c>
      <c r="AD42" s="426">
        <f t="shared" si="3"/>
        <v>0</v>
      </c>
      <c r="AE42" s="426">
        <f t="shared" si="4"/>
        <v>0</v>
      </c>
      <c r="AF42" s="427">
        <f t="shared" si="5"/>
        <v>0</v>
      </c>
      <c r="AG42" s="427"/>
      <c r="AH42" s="427"/>
    </row>
    <row r="43" spans="1:34" s="421" customFormat="1" ht="13.5" customHeight="1">
      <c r="A43" s="421">
        <f>[3]참고2!D41</f>
        <v>13</v>
      </c>
      <c r="B43" s="422">
        <f>[3]참고2!C41</f>
        <v>44574</v>
      </c>
      <c r="C43" s="423">
        <f>[3]참고2!F41</f>
        <v>0</v>
      </c>
      <c r="D43" s="423">
        <f t="shared" si="0"/>
        <v>-2.1045157544616881E-8</v>
      </c>
      <c r="E43" s="423">
        <f>[3]참고2!H41</f>
        <v>0</v>
      </c>
      <c r="F43" s="424">
        <f t="shared" si="1"/>
        <v>-2.1045157544616881E-8</v>
      </c>
      <c r="G43" s="423">
        <f t="shared" si="2"/>
        <v>-6.1925712064373195E-6</v>
      </c>
      <c r="AD43" s="426">
        <f t="shared" si="3"/>
        <v>0</v>
      </c>
      <c r="AE43" s="426">
        <f t="shared" si="4"/>
        <v>0</v>
      </c>
      <c r="AF43" s="427">
        <f t="shared" si="5"/>
        <v>0</v>
      </c>
      <c r="AG43" s="427"/>
      <c r="AH43" s="427"/>
    </row>
    <row r="44" spans="1:34" s="421" customFormat="1" ht="13.5" customHeight="1">
      <c r="A44" s="421">
        <f>[3]참고2!D42</f>
        <v>90</v>
      </c>
      <c r="B44" s="422">
        <f>[3]참고2!C42</f>
        <v>44664</v>
      </c>
      <c r="C44" s="423">
        <f>[3]참고2!F42</f>
        <v>0</v>
      </c>
      <c r="D44" s="423">
        <f t="shared" si="0"/>
        <v>-1.4619407813330171E-7</v>
      </c>
      <c r="E44" s="423">
        <f>[3]참고2!H42</f>
        <v>0</v>
      </c>
      <c r="F44" s="424">
        <f t="shared" si="1"/>
        <v>-1.4619407813330171E-7</v>
      </c>
      <c r="G44" s="423">
        <f t="shared" si="2"/>
        <v>-6.3387652845706216E-6</v>
      </c>
      <c r="AD44" s="426">
        <f t="shared" si="3"/>
        <v>0</v>
      </c>
      <c r="AE44" s="426">
        <f t="shared" si="4"/>
        <v>0</v>
      </c>
      <c r="AF44" s="427">
        <f t="shared" si="5"/>
        <v>0</v>
      </c>
      <c r="AG44" s="427"/>
      <c r="AH44" s="427"/>
    </row>
    <row r="45" spans="1:34" s="421" customFormat="1" ht="13.5" customHeight="1">
      <c r="A45" s="421">
        <f>[3]참고2!D43</f>
        <v>91</v>
      </c>
      <c r="B45" s="422">
        <f>[3]참고2!C43</f>
        <v>44755</v>
      </c>
      <c r="C45" s="423">
        <f>[3]참고2!F43</f>
        <v>0</v>
      </c>
      <c r="D45" s="423">
        <f t="shared" si="0"/>
        <v>-1.5130815149560974E-7</v>
      </c>
      <c r="E45" s="423">
        <f>[3]참고2!H43</f>
        <v>0</v>
      </c>
      <c r="F45" s="424">
        <f t="shared" si="1"/>
        <v>-1.5130815149560974E-7</v>
      </c>
      <c r="G45" s="423">
        <f t="shared" si="2"/>
        <v>-6.4900734360662309E-6</v>
      </c>
      <c r="AD45" s="426">
        <f t="shared" si="3"/>
        <v>0</v>
      </c>
      <c r="AE45" s="426">
        <f t="shared" si="4"/>
        <v>0</v>
      </c>
      <c r="AF45" s="427">
        <f t="shared" si="5"/>
        <v>0</v>
      </c>
      <c r="AG45" s="427"/>
      <c r="AH45" s="427"/>
    </row>
    <row r="46" spans="1:34" s="421" customFormat="1" ht="13.5" customHeight="1">
      <c r="A46" s="421">
        <f>[3]참고2!D44</f>
        <v>92</v>
      </c>
      <c r="B46" s="422">
        <f>[3]참고2!C44</f>
        <v>44847</v>
      </c>
      <c r="C46" s="423">
        <f>[3]참고2!F44</f>
        <v>0</v>
      </c>
      <c r="D46" s="423">
        <f t="shared" si="0"/>
        <v>-1.5662233732491828E-7</v>
      </c>
      <c r="E46" s="423">
        <f>[3]참고2!H44</f>
        <v>0</v>
      </c>
      <c r="F46" s="424">
        <f t="shared" si="1"/>
        <v>-1.5662233732491828E-7</v>
      </c>
      <c r="G46" s="423">
        <f t="shared" si="2"/>
        <v>-6.6466957733911489E-6</v>
      </c>
      <c r="AD46" s="426">
        <f t="shared" si="3"/>
        <v>0</v>
      </c>
      <c r="AE46" s="426">
        <f t="shared" si="4"/>
        <v>0</v>
      </c>
      <c r="AF46" s="427">
        <f t="shared" si="5"/>
        <v>0</v>
      </c>
      <c r="AG46" s="427"/>
      <c r="AH46" s="427"/>
    </row>
    <row r="47" spans="1:34" s="421" customFormat="1" ht="13.5" customHeight="1">
      <c r="A47" s="421">
        <f>[3]참고2!D45</f>
        <v>79</v>
      </c>
      <c r="B47" s="422">
        <f>[3]참고2!C45</f>
        <v>44926</v>
      </c>
      <c r="C47" s="423">
        <f>[3]참고2!F45</f>
        <v>0</v>
      </c>
      <c r="D47" s="423">
        <f t="shared" si="0"/>
        <v>-1.3773653548850819E-7</v>
      </c>
      <c r="E47" s="423">
        <f>[3]참고2!H45</f>
        <v>0</v>
      </c>
      <c r="F47" s="424">
        <f t="shared" si="1"/>
        <v>-1.3773653548850819E-7</v>
      </c>
      <c r="G47" s="423">
        <f t="shared" si="2"/>
        <v>-6.7844323088796569E-6</v>
      </c>
      <c r="AD47" s="426">
        <f t="shared" si="3"/>
        <v>0</v>
      </c>
      <c r="AE47" s="426">
        <f t="shared" si="4"/>
        <v>0</v>
      </c>
      <c r="AF47" s="427">
        <f t="shared" si="5"/>
        <v>0</v>
      </c>
      <c r="AG47" s="427"/>
      <c r="AH47" s="427"/>
    </row>
    <row r="48" spans="1:34" s="421" customFormat="1" ht="13.5" customHeight="1">
      <c r="A48" s="421">
        <f>[3]참고2!D46</f>
        <v>13</v>
      </c>
      <c r="B48" s="422">
        <f>[3]참고2!C46</f>
        <v>44939</v>
      </c>
      <c r="C48" s="423">
        <f>[3]참고2!F46</f>
        <v>0</v>
      </c>
      <c r="D48" s="423">
        <f t="shared" si="0"/>
        <v>-2.3135193088389989E-8</v>
      </c>
      <c r="E48" s="423">
        <f>[3]참고2!H46</f>
        <v>0</v>
      </c>
      <c r="F48" s="424">
        <f t="shared" si="1"/>
        <v>-2.3135193088389989E-8</v>
      </c>
      <c r="G48" s="423">
        <f t="shared" si="2"/>
        <v>-6.8075675019680473E-6</v>
      </c>
      <c r="AD48" s="426">
        <f t="shared" si="3"/>
        <v>0</v>
      </c>
      <c r="AE48" s="426">
        <f t="shared" si="4"/>
        <v>0</v>
      </c>
      <c r="AF48" s="427">
        <f t="shared" si="5"/>
        <v>0</v>
      </c>
      <c r="AG48" s="427"/>
      <c r="AH48" s="427"/>
    </row>
    <row r="49" spans="1:34" s="421" customFormat="1" ht="13.5" customHeight="1">
      <c r="A49" s="421">
        <f>[3]참고2!D47</f>
        <v>90</v>
      </c>
      <c r="B49" s="422">
        <f>[3]참고2!C47</f>
        <v>45029</v>
      </c>
      <c r="C49" s="423">
        <f>[3]참고2!F47</f>
        <v>0</v>
      </c>
      <c r="D49" s="423">
        <f t="shared" si="0"/>
        <v>-1.6071289648569273E-7</v>
      </c>
      <c r="E49" s="423">
        <f>[3]참고2!H47</f>
        <v>0</v>
      </c>
      <c r="F49" s="424">
        <f>D49-E49</f>
        <v>-1.6071289648569273E-7</v>
      </c>
      <c r="G49" s="423">
        <f t="shared" si="2"/>
        <v>-6.9682803984537404E-6</v>
      </c>
      <c r="AD49" s="426">
        <f t="shared" si="3"/>
        <v>0</v>
      </c>
      <c r="AE49" s="426">
        <f t="shared" si="4"/>
        <v>0</v>
      </c>
      <c r="AF49" s="427">
        <f t="shared" si="5"/>
        <v>0</v>
      </c>
      <c r="AG49" s="427"/>
      <c r="AH49" s="427"/>
    </row>
    <row r="50" spans="1:34" s="421" customFormat="1" ht="13.5" customHeight="1">
      <c r="A50" s="421">
        <f>[3]참고2!D48</f>
        <v>91</v>
      </c>
      <c r="B50" s="422">
        <f>[3]참고2!C48</f>
        <v>45120</v>
      </c>
      <c r="C50" s="423">
        <f>[3]참고2!F48</f>
        <v>0</v>
      </c>
      <c r="D50" s="423">
        <f t="shared" si="0"/>
        <v>-1.6633485842417449E-7</v>
      </c>
      <c r="E50" s="423">
        <f>[3]참고2!H48</f>
        <v>0</v>
      </c>
      <c r="F50" s="424">
        <f t="shared" ref="F50:F65" si="6">D50-E50</f>
        <v>-1.6633485842417449E-7</v>
      </c>
      <c r="G50" s="423">
        <f t="shared" si="2"/>
        <v>-7.1346152568779146E-6</v>
      </c>
      <c r="AD50" s="426">
        <f t="shared" si="3"/>
        <v>0</v>
      </c>
      <c r="AE50" s="426">
        <f t="shared" si="4"/>
        <v>0</v>
      </c>
      <c r="AF50" s="427">
        <f t="shared" si="5"/>
        <v>0</v>
      </c>
      <c r="AG50" s="427"/>
      <c r="AH50" s="427"/>
    </row>
    <row r="51" spans="1:34" s="421" customFormat="1" ht="13.5" customHeight="1">
      <c r="A51" s="421">
        <f>[3]참고2!D49</f>
        <v>95</v>
      </c>
      <c r="B51" s="422">
        <f>[3]참고2!C49</f>
        <v>45215</v>
      </c>
      <c r="C51" s="423">
        <f>[3]참고2!F49</f>
        <v>0</v>
      </c>
      <c r="D51" s="423">
        <f t="shared" si="0"/>
        <v>-1.7779126746599112E-7</v>
      </c>
      <c r="E51" s="423">
        <f>[3]참고2!H49</f>
        <v>0</v>
      </c>
      <c r="F51" s="424">
        <f t="shared" si="6"/>
        <v>-1.7779126746599112E-7</v>
      </c>
      <c r="G51" s="423">
        <f t="shared" si="2"/>
        <v>-7.3124065243439056E-6</v>
      </c>
      <c r="AD51" s="426">
        <f t="shared" si="3"/>
        <v>0</v>
      </c>
      <c r="AE51" s="426">
        <f t="shared" si="4"/>
        <v>0</v>
      </c>
      <c r="AF51" s="427">
        <f t="shared" si="5"/>
        <v>0</v>
      </c>
      <c r="AG51" s="427"/>
      <c r="AH51" s="427"/>
    </row>
    <row r="52" spans="1:34" s="421" customFormat="1" ht="13.5" customHeight="1">
      <c r="A52" s="421">
        <f>[3]참고2!D50</f>
        <v>76</v>
      </c>
      <c r="B52" s="422">
        <f>[3]참고2!C50</f>
        <v>45291</v>
      </c>
      <c r="C52" s="423">
        <f>[3]참고2!F50</f>
        <v>0</v>
      </c>
      <c r="D52" s="423">
        <f t="shared" si="0"/>
        <v>-1.4577739400160422E-7</v>
      </c>
      <c r="E52" s="423">
        <f>[3]참고2!H50</f>
        <v>0</v>
      </c>
      <c r="F52" s="424">
        <f t="shared" si="6"/>
        <v>-1.4577739400160422E-7</v>
      </c>
      <c r="G52" s="423">
        <f t="shared" si="2"/>
        <v>-7.4581839183455102E-6</v>
      </c>
      <c r="AD52" s="426">
        <f t="shared" si="3"/>
        <v>0</v>
      </c>
      <c r="AE52" s="426">
        <f t="shared" si="4"/>
        <v>0</v>
      </c>
      <c r="AF52" s="427">
        <f t="shared" si="5"/>
        <v>0</v>
      </c>
      <c r="AG52" s="427"/>
      <c r="AH52" s="427"/>
    </row>
    <row r="53" spans="1:34" s="421" customFormat="1" ht="13.5" customHeight="1">
      <c r="A53" s="421">
        <f>[3]참고2!D51</f>
        <v>15</v>
      </c>
      <c r="B53" s="422">
        <f>[3]참고2!C51</f>
        <v>45306</v>
      </c>
      <c r="C53" s="423">
        <f>[3]참고2!F51</f>
        <v>0</v>
      </c>
      <c r="D53" s="423">
        <f t="shared" si="0"/>
        <v>-2.9345438971502443E-8</v>
      </c>
      <c r="E53" s="423">
        <f>[3]참고2!H51</f>
        <v>0</v>
      </c>
      <c r="F53" s="424">
        <f t="shared" si="6"/>
        <v>-2.9345438971502443E-8</v>
      </c>
      <c r="G53" s="423">
        <f t="shared" si="2"/>
        <v>-7.4875293573170126E-6</v>
      </c>
      <c r="AD53" s="426">
        <f t="shared" si="3"/>
        <v>0</v>
      </c>
      <c r="AE53" s="426">
        <f t="shared" si="4"/>
        <v>0</v>
      </c>
      <c r="AF53" s="427">
        <f t="shared" si="5"/>
        <v>0</v>
      </c>
      <c r="AG53" s="427"/>
      <c r="AH53" s="427"/>
    </row>
    <row r="54" spans="1:34" s="421" customFormat="1" ht="13.5" customHeight="1">
      <c r="A54" s="421">
        <f>[3]참고2!D52</f>
        <v>91</v>
      </c>
      <c r="B54" s="422">
        <f>[3]참고2!C52</f>
        <v>45397</v>
      </c>
      <c r="C54" s="423">
        <f>[3]참고2!F52</f>
        <v>0</v>
      </c>
      <c r="D54" s="423">
        <f t="shared" si="0"/>
        <v>-1.7872948050031648E-7</v>
      </c>
      <c r="E54" s="423">
        <f>[3]참고2!H52</f>
        <v>0</v>
      </c>
      <c r="F54" s="424">
        <f t="shared" si="6"/>
        <v>-1.7872948050031648E-7</v>
      </c>
      <c r="G54" s="423">
        <f t="shared" si="2"/>
        <v>-7.6662588378173286E-6</v>
      </c>
      <c r="AD54" s="426">
        <f t="shared" si="3"/>
        <v>0</v>
      </c>
      <c r="AE54" s="426">
        <f t="shared" si="4"/>
        <v>0</v>
      </c>
      <c r="AF54" s="427">
        <f t="shared" si="5"/>
        <v>0</v>
      </c>
      <c r="AG54" s="427"/>
      <c r="AH54" s="427"/>
    </row>
    <row r="55" spans="1:34" s="421" customFormat="1" ht="13.5" customHeight="1">
      <c r="A55" s="421">
        <f>[3]참고2!D53</f>
        <v>91</v>
      </c>
      <c r="B55" s="422">
        <f>[3]참고2!C53</f>
        <v>45488</v>
      </c>
      <c r="C55" s="423">
        <f>[3]참고2!F53</f>
        <v>0</v>
      </c>
      <c r="D55" s="423">
        <f t="shared" si="0"/>
        <v>-1.8299580463415063E-7</v>
      </c>
      <c r="E55" s="423">
        <f>[3]참고2!H53</f>
        <v>0</v>
      </c>
      <c r="F55" s="424">
        <f t="shared" si="6"/>
        <v>-1.8299580463415063E-7</v>
      </c>
      <c r="G55" s="423">
        <f t="shared" si="2"/>
        <v>-7.8492546424514787E-6</v>
      </c>
      <c r="AD55" s="426">
        <f t="shared" si="3"/>
        <v>0</v>
      </c>
      <c r="AE55" s="426">
        <f t="shared" si="4"/>
        <v>0</v>
      </c>
      <c r="AF55" s="427">
        <f t="shared" si="5"/>
        <v>0</v>
      </c>
      <c r="AG55" s="427"/>
      <c r="AH55" s="427"/>
    </row>
    <row r="56" spans="1:34" s="421" customFormat="1" ht="13.5" customHeight="1">
      <c r="A56" s="421">
        <f>[3]참고2!D54</f>
        <v>91</v>
      </c>
      <c r="B56" s="422">
        <f>[3]참고2!C54</f>
        <v>45579</v>
      </c>
      <c r="C56" s="423">
        <f>[3]참고2!F54</f>
        <v>0</v>
      </c>
      <c r="D56" s="423">
        <f t="shared" si="0"/>
        <v>-1.8736396715281064E-7</v>
      </c>
      <c r="E56" s="423">
        <f>[3]참고2!H54</f>
        <v>0</v>
      </c>
      <c r="F56" s="424">
        <f t="shared" si="6"/>
        <v>-1.8736396715281064E-7</v>
      </c>
      <c r="G56" s="423">
        <f t="shared" si="2"/>
        <v>-8.0366186096042889E-6</v>
      </c>
      <c r="AD56" s="426">
        <f t="shared" si="3"/>
        <v>0</v>
      </c>
      <c r="AE56" s="426">
        <f t="shared" si="4"/>
        <v>0</v>
      </c>
      <c r="AF56" s="427">
        <f t="shared" si="5"/>
        <v>0</v>
      </c>
      <c r="AG56" s="427"/>
      <c r="AH56" s="427"/>
    </row>
    <row r="57" spans="1:34" s="421" customFormat="1" ht="13.5" customHeight="1">
      <c r="A57" s="421">
        <f>[3]참고2!D55</f>
        <v>78</v>
      </c>
      <c r="B57" s="422">
        <f>[3]참고2!C55</f>
        <v>45657</v>
      </c>
      <c r="C57" s="423">
        <f>[3]참고2!F55</f>
        <v>0</v>
      </c>
      <c r="D57" s="423">
        <f t="shared" si="0"/>
        <v>-1.6443119911529937E-7</v>
      </c>
      <c r="E57" s="423">
        <f>[3]참고2!H55</f>
        <v>0</v>
      </c>
      <c r="F57" s="424">
        <f t="shared" si="6"/>
        <v>-1.6443119911529937E-7</v>
      </c>
      <c r="G57" s="423">
        <f t="shared" si="2"/>
        <v>-8.2010498087195877E-6</v>
      </c>
      <c r="AD57" s="426">
        <f t="shared" si="3"/>
        <v>0</v>
      </c>
      <c r="AE57" s="426">
        <f t="shared" si="4"/>
        <v>0</v>
      </c>
      <c r="AF57" s="427">
        <f t="shared" si="5"/>
        <v>0</v>
      </c>
      <c r="AG57" s="427"/>
      <c r="AH57" s="427"/>
    </row>
    <row r="58" spans="1:34" s="421" customFormat="1" ht="13.5" customHeight="1">
      <c r="A58" s="421">
        <f>[3]참고2!D56</f>
        <v>13</v>
      </c>
      <c r="B58" s="422">
        <f>[3]참고2!C56</f>
        <v>45670</v>
      </c>
      <c r="C58" s="423">
        <f>[3]참고2!F56</f>
        <v>0</v>
      </c>
      <c r="D58" s="423">
        <f t="shared" si="0"/>
        <v>-2.7965917001471694E-8</v>
      </c>
      <c r="E58" s="423">
        <f>[3]참고2!H56</f>
        <v>0</v>
      </c>
      <c r="F58" s="424">
        <f t="shared" si="6"/>
        <v>-2.7965917001471694E-8</v>
      </c>
      <c r="G58" s="423">
        <f t="shared" si="2"/>
        <v>-8.2290157257210593E-6</v>
      </c>
      <c r="AD58" s="426">
        <f t="shared" si="3"/>
        <v>0</v>
      </c>
      <c r="AE58" s="426">
        <f t="shared" si="4"/>
        <v>0</v>
      </c>
      <c r="AF58" s="427">
        <f t="shared" si="5"/>
        <v>0</v>
      </c>
      <c r="AG58" s="427"/>
      <c r="AH58" s="427"/>
    </row>
    <row r="59" spans="1:34" s="421" customFormat="1" ht="13.5" customHeight="1">
      <c r="A59" s="421">
        <f>[3]참고2!D57</f>
        <v>91</v>
      </c>
      <c r="B59" s="422">
        <f>[3]참고2!C57</f>
        <v>45761</v>
      </c>
      <c r="C59" s="423">
        <f>[3]참고2!F57</f>
        <v>0</v>
      </c>
      <c r="D59" s="423">
        <f t="shared" si="0"/>
        <v>-1.9642897349708372E-7</v>
      </c>
      <c r="E59" s="423">
        <f>[3]참고2!H57</f>
        <v>0</v>
      </c>
      <c r="F59" s="424">
        <f t="shared" si="6"/>
        <v>-1.9642897349708372E-7</v>
      </c>
      <c r="G59" s="423">
        <f t="shared" si="2"/>
        <v>-8.4254446992181435E-6</v>
      </c>
      <c r="AD59" s="426">
        <f t="shared" si="3"/>
        <v>0</v>
      </c>
      <c r="AE59" s="426">
        <f t="shared" si="4"/>
        <v>0</v>
      </c>
      <c r="AF59" s="427">
        <f t="shared" si="5"/>
        <v>0</v>
      </c>
      <c r="AG59" s="427"/>
      <c r="AH59" s="427"/>
    </row>
    <row r="60" spans="1:34" s="421" customFormat="1" ht="13.5" customHeight="1">
      <c r="A60" s="421">
        <f>[3]참고2!D58</f>
        <v>91</v>
      </c>
      <c r="B60" s="422">
        <f>[3]참고2!C58</f>
        <v>45852</v>
      </c>
      <c r="C60" s="423">
        <f>[3]참고2!F58</f>
        <v>0</v>
      </c>
      <c r="D60" s="423">
        <f t="shared" si="0"/>
        <v>-2.0111778962226343E-7</v>
      </c>
      <c r="E60" s="423">
        <f>[3]참고2!H58</f>
        <v>0</v>
      </c>
      <c r="F60" s="424">
        <f t="shared" si="6"/>
        <v>-2.0111778962226343E-7</v>
      </c>
      <c r="G60" s="423">
        <f t="shared" si="2"/>
        <v>-8.6265624888404075E-6</v>
      </c>
      <c r="AD60" s="426">
        <f t="shared" si="3"/>
        <v>0</v>
      </c>
      <c r="AE60" s="426">
        <f t="shared" si="4"/>
        <v>0</v>
      </c>
      <c r="AF60" s="427">
        <f t="shared" si="5"/>
        <v>0</v>
      </c>
      <c r="AG60" s="427"/>
      <c r="AH60" s="427"/>
    </row>
    <row r="61" spans="1:34" s="421" customFormat="1" ht="13.5" customHeight="1">
      <c r="A61" s="421">
        <f>[3]참고2!D59</f>
        <v>91</v>
      </c>
      <c r="B61" s="422">
        <f>[3]참고2!C59</f>
        <v>45943</v>
      </c>
      <c r="C61" s="423">
        <f>[3]참고2!F59</f>
        <v>0</v>
      </c>
      <c r="D61" s="423">
        <f t="shared" si="0"/>
        <v>-2.059185291376861E-7</v>
      </c>
      <c r="E61" s="423">
        <f>[3]참고2!H59</f>
        <v>0</v>
      </c>
      <c r="F61" s="424">
        <f t="shared" si="6"/>
        <v>-2.059185291376861E-7</v>
      </c>
      <c r="G61" s="423">
        <f t="shared" si="2"/>
        <v>-8.8324810179780933E-6</v>
      </c>
      <c r="AD61" s="426">
        <f t="shared" si="3"/>
        <v>0</v>
      </c>
      <c r="AE61" s="426">
        <f t="shared" si="4"/>
        <v>0</v>
      </c>
      <c r="AF61" s="427">
        <f t="shared" si="5"/>
        <v>0</v>
      </c>
      <c r="AG61" s="427"/>
      <c r="AH61" s="427"/>
    </row>
    <row r="62" spans="1:34" s="421" customFormat="1" ht="13.5" customHeight="1">
      <c r="A62" s="421">
        <f>[3]참고2!D60</f>
        <v>79</v>
      </c>
      <c r="B62" s="422">
        <f>[3]참고2!C60</f>
        <v>46022</v>
      </c>
      <c r="C62" s="423">
        <f>[3]참고2!F60</f>
        <v>0</v>
      </c>
      <c r="D62" s="423">
        <f t="shared" si="0"/>
        <v>-1.8303159594795587E-7</v>
      </c>
      <c r="E62" s="423">
        <f>[3]참고2!H60</f>
        <v>0</v>
      </c>
      <c r="F62" s="424">
        <f t="shared" si="6"/>
        <v>-1.8303159594795587E-7</v>
      </c>
      <c r="G62" s="423">
        <f t="shared" si="2"/>
        <v>-9.0155126139260495E-6</v>
      </c>
      <c r="AD62" s="426">
        <f t="shared" si="3"/>
        <v>0</v>
      </c>
      <c r="AE62" s="426">
        <f t="shared" si="4"/>
        <v>0</v>
      </c>
      <c r="AF62" s="427">
        <f t="shared" si="5"/>
        <v>0</v>
      </c>
      <c r="AG62" s="427"/>
      <c r="AH62" s="427"/>
    </row>
    <row r="63" spans="1:34" s="421" customFormat="1" ht="13.5" customHeight="1">
      <c r="A63" s="421">
        <f>[3]참고2!D61</f>
        <v>13</v>
      </c>
      <c r="B63" s="422">
        <f>[3]참고2!C61</f>
        <v>46035</v>
      </c>
      <c r="C63" s="423">
        <f>[3]참고2!F61</f>
        <v>0</v>
      </c>
      <c r="D63" s="423">
        <f t="shared" si="0"/>
        <v>-3.0743268650643771E-8</v>
      </c>
      <c r="E63" s="423">
        <f>[3]참고2!H61</f>
        <v>0</v>
      </c>
      <c r="F63" s="424">
        <f t="shared" si="6"/>
        <v>-3.0743268650643771E-8</v>
      </c>
      <c r="G63" s="423">
        <f t="shared" si="2"/>
        <v>-9.046255882576693E-6</v>
      </c>
      <c r="AD63" s="426">
        <f t="shared" si="3"/>
        <v>0</v>
      </c>
      <c r="AE63" s="426">
        <f t="shared" si="4"/>
        <v>0</v>
      </c>
      <c r="AF63" s="427">
        <f t="shared" si="5"/>
        <v>0</v>
      </c>
      <c r="AG63" s="427"/>
      <c r="AH63" s="427"/>
    </row>
    <row r="64" spans="1:34" s="421" customFormat="1" ht="13.5" customHeight="1">
      <c r="A64" s="421">
        <f>[3]참고2!D62</f>
        <v>90</v>
      </c>
      <c r="B64" s="422">
        <f>[3]참고2!C62</f>
        <v>46125</v>
      </c>
      <c r="C64" s="423">
        <f>[3]참고2!F62</f>
        <v>0</v>
      </c>
      <c r="D64" s="423">
        <f t="shared" si="0"/>
        <v>-2.1356380011205667E-7</v>
      </c>
      <c r="E64" s="423">
        <f>[3]참고2!H62</f>
        <v>0</v>
      </c>
      <c r="F64" s="424">
        <f t="shared" si="6"/>
        <v>-2.1356380011205667E-7</v>
      </c>
      <c r="G64" s="423">
        <f t="shared" si="2"/>
        <v>-9.2598196826887495E-6</v>
      </c>
      <c r="AD64" s="426">
        <f t="shared" si="3"/>
        <v>0</v>
      </c>
      <c r="AE64" s="426">
        <f t="shared" si="4"/>
        <v>0</v>
      </c>
      <c r="AF64" s="427">
        <f t="shared" si="5"/>
        <v>0</v>
      </c>
      <c r="AG64" s="427"/>
      <c r="AH64" s="427"/>
    </row>
    <row r="65" spans="1:34" s="421" customFormat="1" ht="13.5" customHeight="1">
      <c r="A65" s="421">
        <f>[3]참고2!D63</f>
        <v>91</v>
      </c>
      <c r="B65" s="422">
        <f>[3]참고2!C63</f>
        <v>46216</v>
      </c>
      <c r="C65" s="423">
        <f>[3]참고2!F63</f>
        <v>0</v>
      </c>
      <c r="D65" s="423">
        <f t="shared" si="0"/>
        <v>-2.2103456059190648E-7</v>
      </c>
      <c r="E65" s="423">
        <f>[3]참고2!H63</f>
        <v>0</v>
      </c>
      <c r="F65" s="424">
        <f t="shared" si="6"/>
        <v>-2.2103456059190648E-7</v>
      </c>
      <c r="G65" s="423">
        <f t="shared" si="2"/>
        <v>-9.4808542432806562E-6</v>
      </c>
      <c r="AD65" s="426">
        <f t="shared" si="3"/>
        <v>0</v>
      </c>
      <c r="AE65" s="426">
        <f t="shared" si="4"/>
        <v>0</v>
      </c>
      <c r="AF65" s="427">
        <f t="shared" si="5"/>
        <v>0</v>
      </c>
      <c r="AG65" s="427"/>
      <c r="AH65" s="427"/>
    </row>
    <row r="66" spans="1:34" s="421" customFormat="1" ht="13.5" customHeight="1">
      <c r="A66" s="421">
        <f>[3]참고2!D64</f>
        <v>92</v>
      </c>
      <c r="B66" s="422">
        <f>[3]참고2!C64</f>
        <v>46308</v>
      </c>
      <c r="C66" s="423">
        <f>[3]참고2!F64</f>
        <v>0</v>
      </c>
      <c r="D66" s="423">
        <f t="shared" si="0"/>
        <v>-2.2879765014177141E-7</v>
      </c>
      <c r="E66" s="423">
        <f>[3]참고2!H64</f>
        <v>0</v>
      </c>
      <c r="F66" s="424">
        <f t="shared" si="1"/>
        <v>-2.2879765014177141E-7</v>
      </c>
      <c r="G66" s="423">
        <f t="shared" si="2"/>
        <v>-9.7096518934224283E-6</v>
      </c>
      <c r="AD66" s="426">
        <f t="shared" si="3"/>
        <v>0</v>
      </c>
      <c r="AE66" s="426">
        <f t="shared" si="4"/>
        <v>0</v>
      </c>
      <c r="AF66" s="427">
        <f t="shared" si="5"/>
        <v>0</v>
      </c>
      <c r="AG66" s="427"/>
      <c r="AH66" s="427"/>
    </row>
    <row r="67" spans="1:34" s="421" customFormat="1" ht="13.5" customHeight="1">
      <c r="A67" s="421">
        <f>[3]참고2!D65</f>
        <v>79</v>
      </c>
      <c r="B67" s="422">
        <f>[3]참고2!C65</f>
        <v>46387</v>
      </c>
      <c r="C67" s="423">
        <f>[3]참고2!F65</f>
        <v>0</v>
      </c>
      <c r="D67" s="423">
        <f t="shared" si="0"/>
        <v>-2.0120881987007358E-7</v>
      </c>
      <c r="E67" s="423">
        <f>[3]참고2!H65</f>
        <v>0</v>
      </c>
      <c r="F67" s="424">
        <f t="shared" si="1"/>
        <v>-2.0120881987007358E-7</v>
      </c>
      <c r="G67" s="423">
        <f t="shared" si="2"/>
        <v>-9.910860713292502E-6</v>
      </c>
      <c r="AD67" s="426">
        <f t="shared" si="3"/>
        <v>0</v>
      </c>
      <c r="AE67" s="426">
        <f t="shared" si="4"/>
        <v>0</v>
      </c>
      <c r="AF67" s="427">
        <f t="shared" si="5"/>
        <v>0</v>
      </c>
      <c r="AG67" s="427"/>
      <c r="AH67" s="427"/>
    </row>
    <row r="68" spans="1:34" s="421" customFormat="1" ht="13.5" customHeight="1">
      <c r="A68" s="421">
        <f>[3]참고2!D66</f>
        <v>13</v>
      </c>
      <c r="B68" s="422">
        <f>[3]참고2!C66</f>
        <v>46400</v>
      </c>
      <c r="C68" s="423">
        <f>[3]참고2!F66</f>
        <v>0</v>
      </c>
      <c r="D68" s="423">
        <f t="shared" si="0"/>
        <v>-3.3796442478180488E-8</v>
      </c>
      <c r="E68" s="423">
        <f>[3]참고2!H66</f>
        <v>0</v>
      </c>
      <c r="F68" s="424">
        <f t="shared" si="1"/>
        <v>-3.3796442478180488E-8</v>
      </c>
      <c r="G68" s="423">
        <f t="shared" si="2"/>
        <v>-9.9446571557706826E-6</v>
      </c>
      <c r="AD68" s="426">
        <f t="shared" si="3"/>
        <v>0</v>
      </c>
      <c r="AE68" s="426">
        <f t="shared" si="4"/>
        <v>0</v>
      </c>
      <c r="AF68" s="427">
        <f t="shared" si="5"/>
        <v>0</v>
      </c>
      <c r="AG68" s="427"/>
      <c r="AH68" s="427"/>
    </row>
    <row r="69" spans="1:34" s="421" customFormat="1" ht="13.5" customHeight="1">
      <c r="A69" s="421">
        <f>SUM(A6:A68)</f>
        <v>4382</v>
      </c>
      <c r="B69" s="429" t="s">
        <v>304</v>
      </c>
      <c r="C69" s="430">
        <f>SUM(C6:C68)</f>
        <v>160000000000</v>
      </c>
      <c r="D69" s="430">
        <f>SUM(D6:D68)</f>
        <v>27992308840.907436</v>
      </c>
      <c r="E69" s="430">
        <f>SUM(E6:E68)</f>
        <v>21340535835.61644</v>
      </c>
      <c r="F69" s="431">
        <f>SUM(F6:F68)</f>
        <v>20333279999.999996</v>
      </c>
      <c r="G69" s="430"/>
      <c r="AH69" s="427"/>
    </row>
    <row r="70" spans="1:34" s="421" customFormat="1" ht="15" customHeight="1">
      <c r="C70" s="427">
        <f>C69-E2</f>
        <v>0</v>
      </c>
    </row>
    <row r="71" spans="1:34" s="421" customFormat="1" ht="15" customHeight="1"/>
    <row r="72" spans="1:34" s="421" customFormat="1" ht="15" customHeight="1"/>
    <row r="73" spans="1:34" s="421" customFormat="1" ht="15" customHeight="1"/>
    <row r="74" spans="1:34" s="421" customFormat="1" ht="15" customHeight="1"/>
    <row r="75" spans="1:34" s="421" customFormat="1" ht="15" customHeight="1"/>
    <row r="76" spans="1:34" s="421" customFormat="1" ht="15" customHeight="1"/>
    <row r="77" spans="1:34" s="421" customFormat="1" ht="15" customHeight="1"/>
    <row r="78" spans="1:34" s="421" customFormat="1" ht="15" customHeight="1"/>
    <row r="79" spans="1:34" s="421" customFormat="1" ht="15" customHeight="1"/>
    <row r="80" spans="1:34" s="421" customFormat="1" ht="15" customHeight="1"/>
    <row r="81" s="421" customFormat="1" ht="15" customHeight="1"/>
    <row r="82" s="421" customFormat="1" ht="15" customHeight="1"/>
    <row r="83" s="421" customFormat="1" ht="15" customHeight="1"/>
    <row r="84" s="421" customFormat="1" ht="15" customHeight="1"/>
    <row r="85" s="421" customFormat="1" ht="15" customHeight="1"/>
    <row r="86" s="421" customFormat="1" ht="15" customHeight="1"/>
    <row r="87" s="421" customFormat="1" ht="15" customHeight="1"/>
    <row r="88" s="421" customFormat="1" ht="15" customHeight="1"/>
    <row r="89" s="421" customFormat="1" ht="15" customHeight="1"/>
    <row r="90" s="421" customFormat="1" ht="15" customHeight="1"/>
    <row r="91" s="421" customFormat="1" ht="15" customHeight="1"/>
    <row r="92" s="421" customFormat="1" ht="15" customHeight="1"/>
    <row r="93" s="421" customFormat="1" ht="15" customHeight="1"/>
    <row r="94" s="421" customFormat="1" ht="15" customHeight="1"/>
    <row r="95" s="421" customFormat="1" ht="15" customHeight="1"/>
    <row r="96" s="421" customFormat="1" ht="15" customHeight="1"/>
    <row r="97" s="421" customFormat="1" ht="15" customHeight="1"/>
    <row r="98" s="421" customFormat="1" ht="15" customHeight="1"/>
    <row r="99" s="421" customFormat="1" ht="15" customHeight="1"/>
    <row r="100" s="421" customFormat="1" ht="15" customHeight="1"/>
    <row r="101" s="421" customFormat="1" ht="15" customHeight="1"/>
    <row r="102" s="421" customFormat="1" ht="15" customHeight="1"/>
    <row r="103" s="421" customFormat="1" ht="15" customHeight="1"/>
    <row r="104" s="421" customFormat="1" ht="15" customHeight="1"/>
    <row r="105" s="417" customFormat="1" ht="15" customHeight="1"/>
    <row r="106" s="417" customFormat="1" ht="15" customHeight="1"/>
    <row r="107" s="417" customFormat="1" ht="15" customHeight="1"/>
    <row r="108" s="417" customFormat="1" ht="15" customHeight="1"/>
    <row r="109" s="417" customFormat="1" ht="15" customHeight="1"/>
    <row r="110" s="417" customFormat="1" ht="15" customHeight="1"/>
    <row r="111" s="417" customFormat="1" ht="15" customHeight="1"/>
    <row r="112" s="417" customFormat="1" ht="15" customHeight="1"/>
    <row r="113" s="417" customFormat="1" ht="15" customHeight="1"/>
    <row r="114" s="417" customFormat="1" ht="15" customHeight="1"/>
    <row r="115" s="417" customFormat="1" ht="15" customHeight="1"/>
    <row r="116" s="417" customFormat="1" ht="15" customHeight="1"/>
    <row r="117" s="417" customFormat="1" ht="15" customHeight="1"/>
    <row r="118" s="417" customFormat="1" ht="15" customHeight="1"/>
    <row r="119" s="417" customFormat="1" ht="15" customHeight="1"/>
    <row r="120" s="417" customFormat="1" ht="15" customHeight="1"/>
    <row r="121" s="417" customFormat="1" ht="15" customHeight="1"/>
    <row r="122" s="417" customFormat="1" ht="15" customHeight="1"/>
    <row r="123" s="417" customFormat="1" ht="15" customHeight="1"/>
    <row r="124" s="417" customFormat="1" ht="15" customHeight="1"/>
    <row r="125" s="417" customFormat="1" ht="15" customHeight="1"/>
    <row r="126" s="417" customFormat="1" ht="15" customHeight="1"/>
    <row r="127" s="417" customFormat="1" ht="15" customHeight="1"/>
    <row r="128" s="417" customFormat="1" ht="15" customHeight="1"/>
    <row r="129" s="417" customFormat="1" ht="15" customHeight="1"/>
    <row r="130" s="417" customFormat="1" ht="15" customHeight="1"/>
    <row r="131" s="417" customFormat="1" ht="15" customHeight="1"/>
    <row r="132" s="417" customFormat="1" ht="15" customHeight="1"/>
    <row r="133" s="417" customFormat="1" ht="15" customHeight="1"/>
    <row r="134" s="417" customFormat="1" ht="15" customHeight="1"/>
    <row r="135" s="417" customFormat="1" ht="15" customHeight="1"/>
    <row r="136" s="417" customFormat="1" ht="15" customHeight="1"/>
    <row r="137" s="417" customFormat="1" ht="15" customHeight="1"/>
    <row r="138" s="417" customFormat="1" ht="15" customHeight="1"/>
    <row r="139" s="417" customFormat="1" ht="15" customHeight="1"/>
    <row r="140" s="417" customFormat="1" ht="15" customHeight="1"/>
    <row r="141" s="417" customFormat="1" ht="15" customHeight="1"/>
    <row r="142" s="417" customFormat="1" ht="15" customHeight="1"/>
    <row r="143" s="417" customFormat="1" ht="15" customHeight="1"/>
    <row r="144" s="417" customFormat="1" ht="15" customHeight="1"/>
    <row r="145" s="417" customFormat="1" ht="15" customHeight="1"/>
    <row r="146" s="417" customFormat="1" ht="15" customHeight="1"/>
    <row r="147" s="417" customFormat="1" ht="15" customHeight="1"/>
    <row r="148" s="417" customFormat="1" ht="15" customHeight="1"/>
    <row r="149" s="417" customFormat="1" ht="15" customHeight="1"/>
    <row r="150" s="417" customFormat="1" ht="15" customHeight="1"/>
    <row r="151" s="417" customFormat="1" ht="15" customHeight="1"/>
    <row r="152" s="417" customFormat="1" ht="15" customHeight="1"/>
    <row r="153" s="417" customFormat="1" ht="15" customHeight="1"/>
    <row r="154" s="417" customFormat="1" ht="15" customHeight="1"/>
    <row r="155" s="417" customFormat="1" ht="15" customHeight="1"/>
    <row r="156" s="417" customFormat="1" ht="15" customHeight="1"/>
    <row r="157" s="417" customFormat="1" ht="15" customHeight="1"/>
    <row r="158" s="417" customFormat="1" ht="15" customHeight="1"/>
    <row r="159" s="417" customFormat="1" ht="15" customHeight="1"/>
    <row r="160" s="417" customFormat="1" ht="15" customHeight="1"/>
    <row r="161" s="417" customFormat="1" ht="15" customHeight="1"/>
    <row r="162" s="417" customFormat="1" ht="15" customHeight="1"/>
    <row r="163" s="417" customFormat="1" ht="15" customHeight="1"/>
    <row r="164" s="417" customFormat="1" ht="15" customHeight="1"/>
    <row r="165" s="417" customFormat="1" ht="15" customHeight="1"/>
  </sheetData>
  <phoneticPr fontId="2" type="noConversion"/>
  <pageMargins left="0.39370078740157483" right="0.39370078740157483" top="0.59055118110236227" bottom="0.39370078740157483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8"/>
  <sheetViews>
    <sheetView showGridLines="0" workbookViewId="0">
      <pane xSplit="4" topLeftCell="E1" activePane="topRight" state="frozen"/>
      <selection activeCell="F5" sqref="F5:F19"/>
      <selection pane="topRight" activeCell="F31" sqref="F31:F32"/>
    </sheetView>
  </sheetViews>
  <sheetFormatPr defaultColWidth="9" defaultRowHeight="12"/>
  <cols>
    <col min="1" max="1" width="2.5" style="656" customWidth="1"/>
    <col min="2" max="2" width="5.5" style="656" bestFit="1" customWidth="1"/>
    <col min="3" max="3" width="11.25" style="656" customWidth="1"/>
    <col min="4" max="4" width="7.75" style="654" customWidth="1"/>
    <col min="5" max="6" width="14.875" style="440" bestFit="1" customWidth="1"/>
    <col min="7" max="7" width="9" style="440"/>
    <col min="8" max="8" width="13.875" style="440" bestFit="1" customWidth="1"/>
    <col min="9" max="9" width="9" style="656"/>
    <col min="10" max="10" width="14.875" style="656" bestFit="1" customWidth="1"/>
    <col min="11" max="11" width="9" style="656"/>
    <col min="12" max="12" width="15.25" style="656" bestFit="1" customWidth="1"/>
    <col min="13" max="16384" width="9" style="656"/>
  </cols>
  <sheetData>
    <row r="1" spans="1:12" s="654" customFormat="1" ht="18" customHeight="1" thickBot="1">
      <c r="A1" s="985"/>
      <c r="B1" s="985"/>
      <c r="E1" s="433"/>
      <c r="F1" s="433"/>
      <c r="G1" s="433"/>
      <c r="H1" s="433"/>
    </row>
    <row r="2" spans="1:12" s="654" customFormat="1" ht="15" customHeight="1">
      <c r="B2" s="2115" t="s">
        <v>523</v>
      </c>
      <c r="C2" s="2116"/>
      <c r="D2" s="2117" t="s">
        <v>524</v>
      </c>
      <c r="E2" s="2112" t="s">
        <v>525</v>
      </c>
      <c r="F2" s="2113"/>
      <c r="G2" s="2113"/>
      <c r="H2" s="2114"/>
    </row>
    <row r="3" spans="1:12" s="654" customFormat="1" ht="15" customHeight="1">
      <c r="B3" s="944" t="s">
        <v>305</v>
      </c>
      <c r="C3" s="984" t="s">
        <v>306</v>
      </c>
      <c r="D3" s="2118"/>
      <c r="E3" s="947" t="s">
        <v>520</v>
      </c>
      <c r="F3" s="948" t="s">
        <v>521</v>
      </c>
      <c r="G3" s="948" t="s">
        <v>526</v>
      </c>
      <c r="H3" s="950" t="s">
        <v>522</v>
      </c>
    </row>
    <row r="4" spans="1:12" s="654" customFormat="1" ht="15" customHeight="1">
      <c r="B4" s="931"/>
      <c r="C4" s="932">
        <v>42018</v>
      </c>
      <c r="D4" s="933"/>
      <c r="E4" s="934">
        <v>160000000000</v>
      </c>
      <c r="F4" s="434"/>
      <c r="G4" s="435"/>
      <c r="H4" s="935"/>
    </row>
    <row r="5" spans="1:12" s="654" customFormat="1" ht="15" customHeight="1">
      <c r="B5" s="936">
        <v>1</v>
      </c>
      <c r="C5" s="937">
        <v>42107</v>
      </c>
      <c r="D5" s="938">
        <f t="shared" ref="D5:D66" si="0">DATEDIF(C4,C5,"D")</f>
        <v>89</v>
      </c>
      <c r="E5" s="939">
        <f>E4-F5</f>
        <v>156510000000</v>
      </c>
      <c r="F5" s="940">
        <v>3490000000</v>
      </c>
      <c r="G5" s="941">
        <v>6.6000000000000003E-2</v>
      </c>
      <c r="H5" s="942">
        <f>E4*G5*D5/365</f>
        <v>2574904109.5890412</v>
      </c>
    </row>
    <row r="6" spans="1:12" s="654" customFormat="1" ht="15" customHeight="1">
      <c r="B6" s="936">
        <v>2</v>
      </c>
      <c r="C6" s="937">
        <v>42198</v>
      </c>
      <c r="D6" s="938">
        <f t="shared" si="0"/>
        <v>91</v>
      </c>
      <c r="E6" s="939">
        <f t="shared" ref="E6:E66" si="1">E5-F6</f>
        <v>153180000000</v>
      </c>
      <c r="F6" s="940">
        <v>3330000000</v>
      </c>
      <c r="G6" s="941">
        <f t="shared" ref="G6:G66" si="2">G5</f>
        <v>6.6000000000000003E-2</v>
      </c>
      <c r="H6" s="942">
        <f t="shared" ref="H6:H66" si="3">E5*G6*D6/365</f>
        <v>2575339890.4109588</v>
      </c>
    </row>
    <row r="7" spans="1:12" s="654" customFormat="1" ht="15" customHeight="1">
      <c r="B7" s="936">
        <v>3</v>
      </c>
      <c r="C7" s="937">
        <v>42290</v>
      </c>
      <c r="D7" s="943">
        <f t="shared" si="0"/>
        <v>92</v>
      </c>
      <c r="E7" s="939">
        <f t="shared" si="1"/>
        <v>149850000000</v>
      </c>
      <c r="F7" s="940">
        <v>3330000000</v>
      </c>
      <c r="G7" s="941">
        <f t="shared" si="2"/>
        <v>6.6000000000000003E-2</v>
      </c>
      <c r="H7" s="942">
        <f t="shared" si="3"/>
        <v>2548243726.0273972</v>
      </c>
    </row>
    <row r="8" spans="1:12" s="654" customFormat="1" ht="15" customHeight="1">
      <c r="B8" s="944"/>
      <c r="C8" s="945">
        <v>42369</v>
      </c>
      <c r="D8" s="946">
        <f t="shared" si="0"/>
        <v>79</v>
      </c>
      <c r="E8" s="947">
        <f t="shared" si="1"/>
        <v>149850000000</v>
      </c>
      <c r="F8" s="948"/>
      <c r="G8" s="949">
        <f t="shared" si="2"/>
        <v>6.6000000000000003E-2</v>
      </c>
      <c r="H8" s="950">
        <f t="shared" si="3"/>
        <v>2140596986.3013699</v>
      </c>
    </row>
    <row r="9" spans="1:12" s="654" customFormat="1" ht="15" customHeight="1">
      <c r="B9" s="951">
        <v>4</v>
      </c>
      <c r="C9" s="952">
        <v>42382</v>
      </c>
      <c r="D9" s="953">
        <f t="shared" si="0"/>
        <v>13</v>
      </c>
      <c r="E9" s="954">
        <f t="shared" si="1"/>
        <v>146520000000</v>
      </c>
      <c r="F9" s="436">
        <v>3330000000</v>
      </c>
      <c r="G9" s="437">
        <f t="shared" si="2"/>
        <v>6.6000000000000003E-2</v>
      </c>
      <c r="H9" s="438">
        <f t="shared" si="3"/>
        <v>352250136.98630136</v>
      </c>
      <c r="J9" s="955" t="e">
        <f>XIRR(J10:J56,C10:C56)</f>
        <v>#NUM!</v>
      </c>
    </row>
    <row r="10" spans="1:12" s="956" customFormat="1" ht="15" customHeight="1">
      <c r="B10" s="957"/>
      <c r="C10" s="958">
        <v>42382</v>
      </c>
      <c r="D10" s="959">
        <v>13</v>
      </c>
      <c r="E10" s="960">
        <f>E9-F10</f>
        <v>119880000000</v>
      </c>
      <c r="F10" s="961">
        <f>'[5]161013'!C11</f>
        <v>26640000000</v>
      </c>
      <c r="G10" s="962"/>
      <c r="H10" s="963"/>
      <c r="I10" s="956" t="s">
        <v>519</v>
      </c>
      <c r="J10" s="653">
        <f>-'[5]161013'!AH11</f>
        <v>0</v>
      </c>
      <c r="L10" s="986">
        <f>F10*G10*D9/365</f>
        <v>0</v>
      </c>
    </row>
    <row r="11" spans="1:12" s="654" customFormat="1" ht="15" customHeight="1">
      <c r="B11" s="936">
        <v>5</v>
      </c>
      <c r="C11" s="937">
        <v>42473</v>
      </c>
      <c r="D11" s="943">
        <f>DATEDIF(C9,C11,"D")</f>
        <v>91</v>
      </c>
      <c r="E11" s="939">
        <f>E10-F11</f>
        <v>116550000000</v>
      </c>
      <c r="F11" s="940">
        <v>3330000000</v>
      </c>
      <c r="G11" s="941">
        <f>G9</f>
        <v>6.6000000000000003E-2</v>
      </c>
      <c r="H11" s="942">
        <f>E10*G11*D11/365</f>
        <v>1972600767.1232877</v>
      </c>
      <c r="J11" s="655">
        <f>F11+H11</f>
        <v>5302600767.1232872</v>
      </c>
    </row>
    <row r="12" spans="1:12" s="654" customFormat="1" ht="15" customHeight="1">
      <c r="B12" s="936">
        <v>6</v>
      </c>
      <c r="C12" s="937">
        <v>42564</v>
      </c>
      <c r="D12" s="943">
        <f t="shared" si="0"/>
        <v>91</v>
      </c>
      <c r="E12" s="939">
        <f t="shared" si="1"/>
        <v>113220000000</v>
      </c>
      <c r="F12" s="940">
        <v>3330000000</v>
      </c>
      <c r="G12" s="941">
        <f t="shared" si="2"/>
        <v>6.6000000000000003E-2</v>
      </c>
      <c r="H12" s="942">
        <f>E11*G12*D12/365</f>
        <v>1917806301.369863</v>
      </c>
      <c r="J12" s="655">
        <f t="shared" ref="J12:J56" si="4">F12+H12</f>
        <v>5247806301.3698635</v>
      </c>
    </row>
    <row r="13" spans="1:12" s="654" customFormat="1" ht="15" customHeight="1">
      <c r="B13" s="936">
        <v>7</v>
      </c>
      <c r="C13" s="937">
        <v>42656</v>
      </c>
      <c r="D13" s="943">
        <f t="shared" si="0"/>
        <v>92</v>
      </c>
      <c r="E13" s="939">
        <f t="shared" si="1"/>
        <v>109890000000</v>
      </c>
      <c r="F13" s="940">
        <v>3330000000</v>
      </c>
      <c r="G13" s="941">
        <f t="shared" si="2"/>
        <v>6.6000000000000003E-2</v>
      </c>
      <c r="H13" s="942">
        <f t="shared" si="3"/>
        <v>1883484493.1506848</v>
      </c>
      <c r="J13" s="655">
        <f t="shared" si="4"/>
        <v>5213484493.1506844</v>
      </c>
    </row>
    <row r="14" spans="1:12" s="956" customFormat="1" ht="15" customHeight="1">
      <c r="B14" s="964"/>
      <c r="C14" s="965"/>
      <c r="D14" s="966"/>
      <c r="E14" s="967">
        <f>E13-F14</f>
        <v>44890000000</v>
      </c>
      <c r="F14" s="968">
        <v>65000000000</v>
      </c>
      <c r="G14" s="969"/>
      <c r="H14" s="970"/>
      <c r="J14" s="653"/>
    </row>
    <row r="15" spans="1:12" s="654" customFormat="1" ht="15" customHeight="1">
      <c r="B15" s="971"/>
      <c r="C15" s="972">
        <v>42735</v>
      </c>
      <c r="D15" s="973">
        <f>DATEDIF(C13,C15,"D")</f>
        <v>79</v>
      </c>
      <c r="E15" s="974">
        <f>E14</f>
        <v>44890000000</v>
      </c>
      <c r="F15" s="975"/>
      <c r="G15" s="976">
        <f>G13</f>
        <v>6.6000000000000003E-2</v>
      </c>
      <c r="H15" s="977">
        <f>E14*G15*D15/365</f>
        <v>641250575.34246576</v>
      </c>
      <c r="J15" s="655">
        <f t="shared" si="4"/>
        <v>641250575.34246576</v>
      </c>
    </row>
    <row r="16" spans="1:12" s="654" customFormat="1" ht="15" customHeight="1">
      <c r="B16" s="931">
        <v>8</v>
      </c>
      <c r="C16" s="932">
        <v>42748</v>
      </c>
      <c r="D16" s="978">
        <f t="shared" si="0"/>
        <v>13</v>
      </c>
      <c r="E16" s="934">
        <f t="shared" si="1"/>
        <v>41560000000</v>
      </c>
      <c r="F16" s="434">
        <v>3330000000</v>
      </c>
      <c r="G16" s="435">
        <f t="shared" si="2"/>
        <v>6.6000000000000003E-2</v>
      </c>
      <c r="H16" s="935">
        <f t="shared" si="3"/>
        <v>105522246.57534246</v>
      </c>
      <c r="J16" s="655">
        <f t="shared" si="4"/>
        <v>3435522246.5753427</v>
      </c>
    </row>
    <row r="17" spans="2:12" s="654" customFormat="1" ht="15" customHeight="1">
      <c r="B17" s="936">
        <v>9</v>
      </c>
      <c r="C17" s="937">
        <v>42838</v>
      </c>
      <c r="D17" s="943">
        <f t="shared" si="0"/>
        <v>90</v>
      </c>
      <c r="E17" s="939">
        <f t="shared" si="1"/>
        <v>38230000000</v>
      </c>
      <c r="F17" s="940">
        <v>3330000000</v>
      </c>
      <c r="G17" s="941">
        <f t="shared" si="2"/>
        <v>6.6000000000000003E-2</v>
      </c>
      <c r="H17" s="942">
        <f t="shared" si="3"/>
        <v>676346301.36986303</v>
      </c>
      <c r="J17" s="655">
        <f t="shared" si="4"/>
        <v>4006346301.369863</v>
      </c>
    </row>
    <row r="18" spans="2:12" s="654" customFormat="1" ht="15" customHeight="1">
      <c r="B18" s="936">
        <v>10</v>
      </c>
      <c r="C18" s="937">
        <v>42929</v>
      </c>
      <c r="D18" s="943">
        <f t="shared" si="0"/>
        <v>91</v>
      </c>
      <c r="E18" s="939">
        <f t="shared" si="1"/>
        <v>34900000000</v>
      </c>
      <c r="F18" s="940">
        <v>3330000000</v>
      </c>
      <c r="G18" s="941">
        <f t="shared" si="2"/>
        <v>6.6000000000000003E-2</v>
      </c>
      <c r="H18" s="942">
        <f t="shared" si="3"/>
        <v>629066794.52054799</v>
      </c>
      <c r="J18" s="655">
        <f t="shared" si="4"/>
        <v>3959066794.5205479</v>
      </c>
    </row>
    <row r="19" spans="2:12" s="654" customFormat="1" ht="15" customHeight="1">
      <c r="B19" s="936">
        <v>11</v>
      </c>
      <c r="C19" s="937">
        <v>43021</v>
      </c>
      <c r="D19" s="943">
        <f t="shared" si="0"/>
        <v>92</v>
      </c>
      <c r="E19" s="939">
        <f t="shared" si="1"/>
        <v>31570000000</v>
      </c>
      <c r="F19" s="940">
        <v>3330000000</v>
      </c>
      <c r="G19" s="941">
        <f t="shared" si="2"/>
        <v>6.6000000000000003E-2</v>
      </c>
      <c r="H19" s="942">
        <f>E18*G19*D19/365</f>
        <v>580583013.69863009</v>
      </c>
      <c r="J19" s="655">
        <f t="shared" si="4"/>
        <v>3910583013.6986303</v>
      </c>
    </row>
    <row r="20" spans="2:12" s="654" customFormat="1" ht="15" customHeight="1">
      <c r="B20" s="944"/>
      <c r="C20" s="945">
        <v>43100</v>
      </c>
      <c r="D20" s="946">
        <f t="shared" si="0"/>
        <v>79</v>
      </c>
      <c r="E20" s="947">
        <f t="shared" si="1"/>
        <v>31570000000</v>
      </c>
      <c r="F20" s="948"/>
      <c r="G20" s="949">
        <f t="shared" si="2"/>
        <v>6.6000000000000003E-2</v>
      </c>
      <c r="H20" s="950">
        <f t="shared" si="3"/>
        <v>450975287.67123288</v>
      </c>
      <c r="J20" s="655">
        <f t="shared" si="4"/>
        <v>450975287.67123288</v>
      </c>
    </row>
    <row r="21" spans="2:12" s="654" customFormat="1" ht="15" customHeight="1">
      <c r="B21" s="951">
        <v>12</v>
      </c>
      <c r="C21" s="952">
        <v>43115</v>
      </c>
      <c r="D21" s="953">
        <f t="shared" si="0"/>
        <v>15</v>
      </c>
      <c r="E21" s="954">
        <f t="shared" si="1"/>
        <v>28240000000</v>
      </c>
      <c r="F21" s="436">
        <v>3330000000</v>
      </c>
      <c r="G21" s="437">
        <f t="shared" si="2"/>
        <v>6.6000000000000003E-2</v>
      </c>
      <c r="H21" s="438">
        <f t="shared" si="3"/>
        <v>85628219.178082198</v>
      </c>
      <c r="J21" s="655">
        <f t="shared" si="4"/>
        <v>3415628219.178082</v>
      </c>
    </row>
    <row r="22" spans="2:12" s="654" customFormat="1" ht="15" customHeight="1">
      <c r="B22" s="936">
        <v>13</v>
      </c>
      <c r="C22" s="937">
        <v>43203</v>
      </c>
      <c r="D22" s="943">
        <f t="shared" si="0"/>
        <v>88</v>
      </c>
      <c r="E22" s="939">
        <f t="shared" si="1"/>
        <v>24910000000</v>
      </c>
      <c r="F22" s="940">
        <v>3330000000</v>
      </c>
      <c r="G22" s="941">
        <f t="shared" si="2"/>
        <v>6.6000000000000003E-2</v>
      </c>
      <c r="H22" s="942">
        <f t="shared" si="3"/>
        <v>449364164.38356167</v>
      </c>
      <c r="J22" s="655">
        <f t="shared" si="4"/>
        <v>3779364164.3835616</v>
      </c>
    </row>
    <row r="23" spans="2:12" s="654" customFormat="1" ht="15" customHeight="1">
      <c r="B23" s="936">
        <v>14</v>
      </c>
      <c r="C23" s="979">
        <v>43294</v>
      </c>
      <c r="D23" s="943">
        <f t="shared" si="0"/>
        <v>91</v>
      </c>
      <c r="E23" s="939">
        <f t="shared" si="1"/>
        <v>21580000000</v>
      </c>
      <c r="F23" s="940">
        <v>3330000000</v>
      </c>
      <c r="G23" s="980">
        <f t="shared" si="2"/>
        <v>6.6000000000000003E-2</v>
      </c>
      <c r="H23" s="942">
        <f t="shared" si="3"/>
        <v>409888931.50684929</v>
      </c>
      <c r="J23" s="655">
        <f t="shared" si="4"/>
        <v>3739888931.5068493</v>
      </c>
    </row>
    <row r="24" spans="2:12" s="654" customFormat="1" ht="15" customHeight="1">
      <c r="B24" s="936">
        <v>15</v>
      </c>
      <c r="C24" s="979">
        <v>43388</v>
      </c>
      <c r="D24" s="943">
        <f t="shared" si="0"/>
        <v>94</v>
      </c>
      <c r="E24" s="939">
        <f t="shared" si="1"/>
        <v>18250000000</v>
      </c>
      <c r="F24" s="940">
        <v>3330000000</v>
      </c>
      <c r="G24" s="980">
        <f t="shared" si="2"/>
        <v>6.6000000000000003E-2</v>
      </c>
      <c r="H24" s="942">
        <f t="shared" si="3"/>
        <v>366800876.71232879</v>
      </c>
      <c r="J24" s="655">
        <f t="shared" si="4"/>
        <v>3696800876.7123289</v>
      </c>
    </row>
    <row r="25" spans="2:12" s="654" customFormat="1" ht="15" customHeight="1">
      <c r="B25" s="971"/>
      <c r="C25" s="981">
        <v>43465</v>
      </c>
      <c r="D25" s="973">
        <f t="shared" si="0"/>
        <v>77</v>
      </c>
      <c r="E25" s="974">
        <f t="shared" si="1"/>
        <v>18250000000</v>
      </c>
      <c r="F25" s="975"/>
      <c r="G25" s="982">
        <f t="shared" si="2"/>
        <v>6.6000000000000003E-2</v>
      </c>
      <c r="H25" s="977">
        <f t="shared" si="3"/>
        <v>254100000</v>
      </c>
      <c r="J25" s="655">
        <f t="shared" si="4"/>
        <v>254100000</v>
      </c>
    </row>
    <row r="26" spans="2:12" s="654" customFormat="1" ht="15" customHeight="1">
      <c r="B26" s="931">
        <v>16</v>
      </c>
      <c r="C26" s="983">
        <v>43479</v>
      </c>
      <c r="D26" s="978">
        <f t="shared" si="0"/>
        <v>14</v>
      </c>
      <c r="E26" s="934">
        <f t="shared" si="1"/>
        <v>14920000000</v>
      </c>
      <c r="F26" s="434">
        <v>3330000000</v>
      </c>
      <c r="G26" s="435">
        <f t="shared" si="2"/>
        <v>6.6000000000000003E-2</v>
      </c>
      <c r="H26" s="935">
        <f t="shared" si="3"/>
        <v>46200000</v>
      </c>
      <c r="J26" s="655">
        <f t="shared" si="4"/>
        <v>3376200000</v>
      </c>
    </row>
    <row r="27" spans="2:12" s="654" customFormat="1" ht="15" customHeight="1">
      <c r="B27" s="936">
        <v>17</v>
      </c>
      <c r="C27" s="937">
        <v>43570</v>
      </c>
      <c r="D27" s="943">
        <f t="shared" si="0"/>
        <v>91</v>
      </c>
      <c r="E27" s="939">
        <f t="shared" si="1"/>
        <v>11590000000</v>
      </c>
      <c r="F27" s="940">
        <v>3330000000</v>
      </c>
      <c r="G27" s="941">
        <f t="shared" si="2"/>
        <v>6.6000000000000003E-2</v>
      </c>
      <c r="H27" s="942">
        <f t="shared" si="3"/>
        <v>245505534.24657536</v>
      </c>
      <c r="J27" s="655">
        <f t="shared" si="4"/>
        <v>3575505534.2465754</v>
      </c>
    </row>
    <row r="28" spans="2:12" s="654" customFormat="1" ht="15" customHeight="1">
      <c r="B28" s="936">
        <v>18</v>
      </c>
      <c r="C28" s="937">
        <v>43661</v>
      </c>
      <c r="D28" s="943">
        <f t="shared" si="0"/>
        <v>91</v>
      </c>
      <c r="E28" s="939">
        <f t="shared" si="1"/>
        <v>8260000000</v>
      </c>
      <c r="F28" s="940">
        <v>3330000000</v>
      </c>
      <c r="G28" s="941">
        <f t="shared" si="2"/>
        <v>6.6000000000000003E-2</v>
      </c>
      <c r="H28" s="942">
        <f t="shared" si="3"/>
        <v>190711068.49315068</v>
      </c>
      <c r="J28" s="655">
        <f t="shared" si="4"/>
        <v>3520711068.4931507</v>
      </c>
    </row>
    <row r="29" spans="2:12" s="654" customFormat="1" ht="15" customHeight="1">
      <c r="B29" s="936">
        <v>19</v>
      </c>
      <c r="C29" s="937">
        <v>43752</v>
      </c>
      <c r="D29" s="943">
        <f t="shared" si="0"/>
        <v>91</v>
      </c>
      <c r="E29" s="939">
        <f t="shared" si="1"/>
        <v>4930000000</v>
      </c>
      <c r="F29" s="940">
        <v>3330000000</v>
      </c>
      <c r="G29" s="941">
        <f t="shared" si="2"/>
        <v>6.6000000000000003E-2</v>
      </c>
      <c r="H29" s="942">
        <f t="shared" si="3"/>
        <v>135916602.73972604</v>
      </c>
      <c r="J29" s="655">
        <f t="shared" si="4"/>
        <v>3465916602.7397261</v>
      </c>
    </row>
    <row r="30" spans="2:12" s="654" customFormat="1" ht="15" customHeight="1">
      <c r="B30" s="944"/>
      <c r="C30" s="945">
        <v>43830</v>
      </c>
      <c r="D30" s="946">
        <f t="shared" si="0"/>
        <v>78</v>
      </c>
      <c r="E30" s="947">
        <f t="shared" si="1"/>
        <v>4930000000</v>
      </c>
      <c r="F30" s="948"/>
      <c r="G30" s="949">
        <f t="shared" si="2"/>
        <v>6.6000000000000003E-2</v>
      </c>
      <c r="H30" s="950">
        <f t="shared" si="3"/>
        <v>69533260.273972601</v>
      </c>
      <c r="J30" s="655">
        <f t="shared" si="4"/>
        <v>69533260.273972601</v>
      </c>
    </row>
    <row r="31" spans="2:12" s="654" customFormat="1" ht="15" customHeight="1">
      <c r="B31" s="951">
        <v>20</v>
      </c>
      <c r="C31" s="952">
        <v>43843</v>
      </c>
      <c r="D31" s="953">
        <f t="shared" si="0"/>
        <v>13</v>
      </c>
      <c r="E31" s="954">
        <f t="shared" si="1"/>
        <v>1600000000</v>
      </c>
      <c r="F31" s="436">
        <v>3330000000</v>
      </c>
      <c r="G31" s="437">
        <f t="shared" si="2"/>
        <v>6.6000000000000003E-2</v>
      </c>
      <c r="H31" s="438">
        <f t="shared" si="3"/>
        <v>11588876.712328767</v>
      </c>
      <c r="J31" s="655">
        <f t="shared" si="4"/>
        <v>3341588876.7123289</v>
      </c>
    </row>
    <row r="32" spans="2:12" s="654" customFormat="1" ht="15" customHeight="1">
      <c r="B32" s="936">
        <v>21</v>
      </c>
      <c r="C32" s="937">
        <v>43934</v>
      </c>
      <c r="D32" s="943">
        <f t="shared" si="0"/>
        <v>91</v>
      </c>
      <c r="E32" s="939">
        <f t="shared" si="1"/>
        <v>0</v>
      </c>
      <c r="F32" s="940">
        <v>1600000000</v>
      </c>
      <c r="G32" s="941">
        <f t="shared" si="2"/>
        <v>6.6000000000000003E-2</v>
      </c>
      <c r="H32" s="942">
        <f t="shared" si="3"/>
        <v>26327671.232876711</v>
      </c>
      <c r="J32" s="655">
        <f t="shared" si="4"/>
        <v>1626327671.2328768</v>
      </c>
      <c r="L32" s="655"/>
    </row>
    <row r="33" spans="2:10" s="654" customFormat="1" ht="15" customHeight="1">
      <c r="B33" s="936">
        <v>22</v>
      </c>
      <c r="C33" s="979">
        <v>44025</v>
      </c>
      <c r="D33" s="943">
        <f t="shared" si="0"/>
        <v>91</v>
      </c>
      <c r="E33" s="939">
        <f t="shared" si="1"/>
        <v>0</v>
      </c>
      <c r="F33" s="940"/>
      <c r="G33" s="941">
        <f t="shared" si="2"/>
        <v>6.6000000000000003E-2</v>
      </c>
      <c r="H33" s="942">
        <f t="shared" si="3"/>
        <v>0</v>
      </c>
      <c r="J33" s="655">
        <f t="shared" si="4"/>
        <v>0</v>
      </c>
    </row>
    <row r="34" spans="2:10" s="654" customFormat="1" ht="15" customHeight="1">
      <c r="B34" s="936">
        <v>23</v>
      </c>
      <c r="C34" s="979">
        <v>44117</v>
      </c>
      <c r="D34" s="943">
        <f t="shared" si="0"/>
        <v>92</v>
      </c>
      <c r="E34" s="939">
        <f t="shared" si="1"/>
        <v>0</v>
      </c>
      <c r="F34" s="987"/>
      <c r="G34" s="941">
        <f t="shared" si="2"/>
        <v>6.6000000000000003E-2</v>
      </c>
      <c r="H34" s="942">
        <f t="shared" si="3"/>
        <v>0</v>
      </c>
      <c r="J34" s="655">
        <f t="shared" si="4"/>
        <v>0</v>
      </c>
    </row>
    <row r="35" spans="2:10" s="654" customFormat="1" ht="15" customHeight="1">
      <c r="B35" s="971"/>
      <c r="C35" s="981">
        <v>44196</v>
      </c>
      <c r="D35" s="973">
        <f t="shared" si="0"/>
        <v>79</v>
      </c>
      <c r="E35" s="974">
        <f t="shared" si="1"/>
        <v>0</v>
      </c>
      <c r="F35" s="988"/>
      <c r="G35" s="976">
        <f t="shared" si="2"/>
        <v>6.6000000000000003E-2</v>
      </c>
      <c r="H35" s="977">
        <f t="shared" si="3"/>
        <v>0</v>
      </c>
      <c r="J35" s="655">
        <f t="shared" si="4"/>
        <v>0</v>
      </c>
    </row>
    <row r="36" spans="2:10" s="654" customFormat="1" ht="15" customHeight="1">
      <c r="B36" s="931">
        <v>24</v>
      </c>
      <c r="C36" s="983">
        <v>44209</v>
      </c>
      <c r="D36" s="978">
        <f t="shared" si="0"/>
        <v>13</v>
      </c>
      <c r="E36" s="934">
        <f t="shared" si="1"/>
        <v>0</v>
      </c>
      <c r="F36" s="989"/>
      <c r="G36" s="435">
        <f t="shared" si="2"/>
        <v>6.6000000000000003E-2</v>
      </c>
      <c r="H36" s="935">
        <f t="shared" si="3"/>
        <v>0</v>
      </c>
      <c r="J36" s="655">
        <f t="shared" si="4"/>
        <v>0</v>
      </c>
    </row>
    <row r="37" spans="2:10" s="654" customFormat="1" ht="15" customHeight="1">
      <c r="B37" s="936">
        <v>25</v>
      </c>
      <c r="C37" s="937">
        <v>44299</v>
      </c>
      <c r="D37" s="943">
        <f t="shared" si="0"/>
        <v>90</v>
      </c>
      <c r="E37" s="939">
        <f t="shared" si="1"/>
        <v>0</v>
      </c>
      <c r="F37" s="987"/>
      <c r="G37" s="941">
        <f t="shared" si="2"/>
        <v>6.6000000000000003E-2</v>
      </c>
      <c r="H37" s="942">
        <f t="shared" si="3"/>
        <v>0</v>
      </c>
      <c r="J37" s="655">
        <f t="shared" si="4"/>
        <v>0</v>
      </c>
    </row>
    <row r="38" spans="2:10" s="654" customFormat="1" ht="15" customHeight="1">
      <c r="B38" s="936">
        <v>26</v>
      </c>
      <c r="C38" s="937">
        <v>44390</v>
      </c>
      <c r="D38" s="943">
        <f t="shared" si="0"/>
        <v>91</v>
      </c>
      <c r="E38" s="939">
        <f t="shared" si="1"/>
        <v>0</v>
      </c>
      <c r="F38" s="987"/>
      <c r="G38" s="941">
        <f t="shared" si="2"/>
        <v>6.6000000000000003E-2</v>
      </c>
      <c r="H38" s="942">
        <f t="shared" si="3"/>
        <v>0</v>
      </c>
      <c r="J38" s="655">
        <f t="shared" si="4"/>
        <v>0</v>
      </c>
    </row>
    <row r="39" spans="2:10" s="654" customFormat="1" ht="15" customHeight="1">
      <c r="B39" s="936">
        <v>27</v>
      </c>
      <c r="C39" s="937">
        <v>44482</v>
      </c>
      <c r="D39" s="943">
        <f t="shared" si="0"/>
        <v>92</v>
      </c>
      <c r="E39" s="939">
        <f t="shared" si="1"/>
        <v>0</v>
      </c>
      <c r="F39" s="987"/>
      <c r="G39" s="941">
        <f t="shared" si="2"/>
        <v>6.6000000000000003E-2</v>
      </c>
      <c r="H39" s="942">
        <f t="shared" si="3"/>
        <v>0</v>
      </c>
      <c r="J39" s="655">
        <f t="shared" si="4"/>
        <v>0</v>
      </c>
    </row>
    <row r="40" spans="2:10" s="654" customFormat="1" ht="15" customHeight="1">
      <c r="B40" s="944"/>
      <c r="C40" s="945">
        <v>44561</v>
      </c>
      <c r="D40" s="946">
        <f t="shared" si="0"/>
        <v>79</v>
      </c>
      <c r="E40" s="947">
        <f t="shared" si="1"/>
        <v>0</v>
      </c>
      <c r="F40" s="990"/>
      <c r="G40" s="949">
        <f t="shared" si="2"/>
        <v>6.6000000000000003E-2</v>
      </c>
      <c r="H40" s="950">
        <f t="shared" si="3"/>
        <v>0</v>
      </c>
      <c r="J40" s="655">
        <f t="shared" si="4"/>
        <v>0</v>
      </c>
    </row>
    <row r="41" spans="2:10" s="654" customFormat="1" ht="15" customHeight="1">
      <c r="B41" s="951">
        <v>28</v>
      </c>
      <c r="C41" s="952">
        <v>44574</v>
      </c>
      <c r="D41" s="953">
        <f t="shared" si="0"/>
        <v>13</v>
      </c>
      <c r="E41" s="954">
        <f t="shared" si="1"/>
        <v>0</v>
      </c>
      <c r="F41" s="991"/>
      <c r="G41" s="437">
        <f t="shared" si="2"/>
        <v>6.6000000000000003E-2</v>
      </c>
      <c r="H41" s="438">
        <f t="shared" si="3"/>
        <v>0</v>
      </c>
      <c r="J41" s="655">
        <f t="shared" si="4"/>
        <v>0</v>
      </c>
    </row>
    <row r="42" spans="2:10" s="654" customFormat="1" ht="15" customHeight="1">
      <c r="B42" s="936">
        <v>29</v>
      </c>
      <c r="C42" s="937">
        <v>44664</v>
      </c>
      <c r="D42" s="943">
        <f t="shared" si="0"/>
        <v>90</v>
      </c>
      <c r="E42" s="939">
        <f t="shared" si="1"/>
        <v>0</v>
      </c>
      <c r="F42" s="987"/>
      <c r="G42" s="941">
        <f t="shared" si="2"/>
        <v>6.6000000000000003E-2</v>
      </c>
      <c r="H42" s="942">
        <f t="shared" si="3"/>
        <v>0</v>
      </c>
      <c r="J42" s="655">
        <f t="shared" si="4"/>
        <v>0</v>
      </c>
    </row>
    <row r="43" spans="2:10" s="654" customFormat="1" ht="15" customHeight="1">
      <c r="B43" s="936">
        <v>30</v>
      </c>
      <c r="C43" s="979">
        <v>44755</v>
      </c>
      <c r="D43" s="943">
        <f t="shared" si="0"/>
        <v>91</v>
      </c>
      <c r="E43" s="939">
        <f t="shared" si="1"/>
        <v>0</v>
      </c>
      <c r="F43" s="987"/>
      <c r="G43" s="941">
        <f t="shared" si="2"/>
        <v>6.6000000000000003E-2</v>
      </c>
      <c r="H43" s="942">
        <f t="shared" si="3"/>
        <v>0</v>
      </c>
      <c r="J43" s="655">
        <f t="shared" si="4"/>
        <v>0</v>
      </c>
    </row>
    <row r="44" spans="2:10" s="654" customFormat="1" ht="15" customHeight="1">
      <c r="B44" s="936">
        <v>31</v>
      </c>
      <c r="C44" s="979">
        <v>44847</v>
      </c>
      <c r="D44" s="943">
        <f t="shared" si="0"/>
        <v>92</v>
      </c>
      <c r="E44" s="939">
        <f t="shared" si="1"/>
        <v>0</v>
      </c>
      <c r="F44" s="987"/>
      <c r="G44" s="941">
        <f t="shared" si="2"/>
        <v>6.6000000000000003E-2</v>
      </c>
      <c r="H44" s="942">
        <f t="shared" si="3"/>
        <v>0</v>
      </c>
      <c r="J44" s="655">
        <f t="shared" si="4"/>
        <v>0</v>
      </c>
    </row>
    <row r="45" spans="2:10" s="654" customFormat="1" ht="15" customHeight="1">
      <c r="B45" s="971"/>
      <c r="C45" s="981">
        <v>44926</v>
      </c>
      <c r="D45" s="973">
        <f t="shared" si="0"/>
        <v>79</v>
      </c>
      <c r="E45" s="974">
        <f t="shared" si="1"/>
        <v>0</v>
      </c>
      <c r="F45" s="988"/>
      <c r="G45" s="976">
        <f t="shared" si="2"/>
        <v>6.6000000000000003E-2</v>
      </c>
      <c r="H45" s="977">
        <f t="shared" si="3"/>
        <v>0</v>
      </c>
      <c r="J45" s="655">
        <f t="shared" si="4"/>
        <v>0</v>
      </c>
    </row>
    <row r="46" spans="2:10" s="654" customFormat="1" ht="15" customHeight="1">
      <c r="B46" s="931">
        <v>32</v>
      </c>
      <c r="C46" s="983">
        <v>44939</v>
      </c>
      <c r="D46" s="978">
        <f t="shared" si="0"/>
        <v>13</v>
      </c>
      <c r="E46" s="934">
        <f t="shared" si="1"/>
        <v>0</v>
      </c>
      <c r="F46" s="989"/>
      <c r="G46" s="435">
        <f t="shared" si="2"/>
        <v>6.6000000000000003E-2</v>
      </c>
      <c r="H46" s="935">
        <f t="shared" si="3"/>
        <v>0</v>
      </c>
      <c r="J46" s="655">
        <f t="shared" si="4"/>
        <v>0</v>
      </c>
    </row>
    <row r="47" spans="2:10" s="654" customFormat="1" ht="15" customHeight="1">
      <c r="B47" s="936">
        <v>33</v>
      </c>
      <c r="C47" s="937">
        <v>45029</v>
      </c>
      <c r="D47" s="943">
        <f t="shared" si="0"/>
        <v>90</v>
      </c>
      <c r="E47" s="939">
        <f t="shared" si="1"/>
        <v>0</v>
      </c>
      <c r="F47" s="987"/>
      <c r="G47" s="941">
        <f t="shared" si="2"/>
        <v>6.6000000000000003E-2</v>
      </c>
      <c r="H47" s="942">
        <f t="shared" si="3"/>
        <v>0</v>
      </c>
      <c r="J47" s="655">
        <f t="shared" si="4"/>
        <v>0</v>
      </c>
    </row>
    <row r="48" spans="2:10" s="654" customFormat="1" ht="15" customHeight="1">
      <c r="B48" s="936">
        <v>34</v>
      </c>
      <c r="C48" s="937">
        <v>45120</v>
      </c>
      <c r="D48" s="943">
        <f t="shared" si="0"/>
        <v>91</v>
      </c>
      <c r="E48" s="939">
        <f t="shared" si="1"/>
        <v>0</v>
      </c>
      <c r="F48" s="987"/>
      <c r="G48" s="941">
        <f t="shared" si="2"/>
        <v>6.6000000000000003E-2</v>
      </c>
      <c r="H48" s="942">
        <f t="shared" si="3"/>
        <v>0</v>
      </c>
      <c r="J48" s="655">
        <f t="shared" si="4"/>
        <v>0</v>
      </c>
    </row>
    <row r="49" spans="2:10" s="654" customFormat="1" ht="15" customHeight="1">
      <c r="B49" s="936">
        <v>35</v>
      </c>
      <c r="C49" s="937">
        <v>45215</v>
      </c>
      <c r="D49" s="943">
        <f t="shared" si="0"/>
        <v>95</v>
      </c>
      <c r="E49" s="939">
        <f t="shared" si="1"/>
        <v>0</v>
      </c>
      <c r="F49" s="987"/>
      <c r="G49" s="941">
        <f t="shared" si="2"/>
        <v>6.6000000000000003E-2</v>
      </c>
      <c r="H49" s="942">
        <f t="shared" si="3"/>
        <v>0</v>
      </c>
      <c r="J49" s="655">
        <f t="shared" si="4"/>
        <v>0</v>
      </c>
    </row>
    <row r="50" spans="2:10" s="654" customFormat="1" ht="15" customHeight="1">
      <c r="B50" s="944"/>
      <c r="C50" s="945">
        <v>45291</v>
      </c>
      <c r="D50" s="946">
        <f t="shared" si="0"/>
        <v>76</v>
      </c>
      <c r="E50" s="947">
        <f t="shared" si="1"/>
        <v>0</v>
      </c>
      <c r="F50" s="990"/>
      <c r="G50" s="949">
        <f t="shared" si="2"/>
        <v>6.6000000000000003E-2</v>
      </c>
      <c r="H50" s="950">
        <f t="shared" si="3"/>
        <v>0</v>
      </c>
      <c r="J50" s="655">
        <f t="shared" si="4"/>
        <v>0</v>
      </c>
    </row>
    <row r="51" spans="2:10" s="654" customFormat="1" ht="15" customHeight="1">
      <c r="B51" s="951">
        <v>36</v>
      </c>
      <c r="C51" s="952">
        <v>45306</v>
      </c>
      <c r="D51" s="953">
        <f t="shared" si="0"/>
        <v>15</v>
      </c>
      <c r="E51" s="954">
        <f t="shared" si="1"/>
        <v>0</v>
      </c>
      <c r="F51" s="991"/>
      <c r="G51" s="437">
        <f t="shared" si="2"/>
        <v>6.6000000000000003E-2</v>
      </c>
      <c r="H51" s="438">
        <f t="shared" si="3"/>
        <v>0</v>
      </c>
      <c r="J51" s="655">
        <f t="shared" si="4"/>
        <v>0</v>
      </c>
    </row>
    <row r="52" spans="2:10" s="654" customFormat="1" ht="15" customHeight="1">
      <c r="B52" s="936">
        <v>37</v>
      </c>
      <c r="C52" s="937">
        <v>45397</v>
      </c>
      <c r="D52" s="943">
        <f t="shared" si="0"/>
        <v>91</v>
      </c>
      <c r="E52" s="939">
        <f t="shared" si="1"/>
        <v>0</v>
      </c>
      <c r="F52" s="987"/>
      <c r="G52" s="941">
        <f t="shared" si="2"/>
        <v>6.6000000000000003E-2</v>
      </c>
      <c r="H52" s="942">
        <f>E51*G52*D52/365</f>
        <v>0</v>
      </c>
      <c r="J52" s="655">
        <f t="shared" si="4"/>
        <v>0</v>
      </c>
    </row>
    <row r="53" spans="2:10" s="654" customFormat="1" ht="15" customHeight="1">
      <c r="B53" s="936">
        <v>38</v>
      </c>
      <c r="C53" s="979">
        <v>45488</v>
      </c>
      <c r="D53" s="943">
        <f t="shared" si="0"/>
        <v>91</v>
      </c>
      <c r="E53" s="939">
        <f t="shared" si="1"/>
        <v>0</v>
      </c>
      <c r="F53" s="987"/>
      <c r="G53" s="941">
        <f t="shared" si="2"/>
        <v>6.6000000000000003E-2</v>
      </c>
      <c r="H53" s="942">
        <f t="shared" si="3"/>
        <v>0</v>
      </c>
      <c r="J53" s="655">
        <f t="shared" si="4"/>
        <v>0</v>
      </c>
    </row>
    <row r="54" spans="2:10" s="654" customFormat="1" ht="15" customHeight="1">
      <c r="B54" s="936">
        <v>39</v>
      </c>
      <c r="C54" s="979">
        <v>45579</v>
      </c>
      <c r="D54" s="943">
        <f t="shared" si="0"/>
        <v>91</v>
      </c>
      <c r="E54" s="939">
        <f t="shared" si="1"/>
        <v>0</v>
      </c>
      <c r="F54" s="987"/>
      <c r="G54" s="941">
        <f t="shared" si="2"/>
        <v>6.6000000000000003E-2</v>
      </c>
      <c r="H54" s="942">
        <f>E53*G54*D54/365</f>
        <v>0</v>
      </c>
      <c r="J54" s="655">
        <f t="shared" si="4"/>
        <v>0</v>
      </c>
    </row>
    <row r="55" spans="2:10" s="654" customFormat="1" ht="15" customHeight="1">
      <c r="B55" s="971"/>
      <c r="C55" s="981">
        <v>45657</v>
      </c>
      <c r="D55" s="973">
        <f t="shared" si="0"/>
        <v>78</v>
      </c>
      <c r="E55" s="974">
        <f t="shared" si="1"/>
        <v>0</v>
      </c>
      <c r="F55" s="988"/>
      <c r="G55" s="976">
        <f t="shared" si="2"/>
        <v>6.6000000000000003E-2</v>
      </c>
      <c r="H55" s="977">
        <f t="shared" si="3"/>
        <v>0</v>
      </c>
      <c r="J55" s="655">
        <f t="shared" si="4"/>
        <v>0</v>
      </c>
    </row>
    <row r="56" spans="2:10" s="654" customFormat="1" ht="15" customHeight="1">
      <c r="B56" s="931">
        <v>40</v>
      </c>
      <c r="C56" s="983">
        <v>45670</v>
      </c>
      <c r="D56" s="978">
        <f t="shared" si="0"/>
        <v>13</v>
      </c>
      <c r="E56" s="934">
        <f t="shared" si="1"/>
        <v>0</v>
      </c>
      <c r="F56" s="989"/>
      <c r="G56" s="435">
        <f t="shared" si="2"/>
        <v>6.6000000000000003E-2</v>
      </c>
      <c r="H56" s="935">
        <f t="shared" si="3"/>
        <v>0</v>
      </c>
      <c r="J56" s="655">
        <f t="shared" si="4"/>
        <v>0</v>
      </c>
    </row>
    <row r="57" spans="2:10" s="654" customFormat="1" ht="15" customHeight="1">
      <c r="B57" s="936">
        <v>41</v>
      </c>
      <c r="C57" s="937">
        <v>45761</v>
      </c>
      <c r="D57" s="943">
        <f t="shared" si="0"/>
        <v>91</v>
      </c>
      <c r="E57" s="939">
        <f t="shared" si="1"/>
        <v>0</v>
      </c>
      <c r="F57" s="940"/>
      <c r="G57" s="941">
        <f t="shared" si="2"/>
        <v>6.6000000000000003E-2</v>
      </c>
      <c r="H57" s="942">
        <f t="shared" si="3"/>
        <v>0</v>
      </c>
    </row>
    <row r="58" spans="2:10" s="654" customFormat="1" ht="15" customHeight="1">
      <c r="B58" s="936">
        <v>42</v>
      </c>
      <c r="C58" s="937">
        <v>45852</v>
      </c>
      <c r="D58" s="943">
        <f t="shared" si="0"/>
        <v>91</v>
      </c>
      <c r="E58" s="939">
        <f t="shared" si="1"/>
        <v>0</v>
      </c>
      <c r="F58" s="940"/>
      <c r="G58" s="941">
        <f t="shared" si="2"/>
        <v>6.6000000000000003E-2</v>
      </c>
      <c r="H58" s="942">
        <f t="shared" si="3"/>
        <v>0</v>
      </c>
    </row>
    <row r="59" spans="2:10" s="654" customFormat="1" ht="15" customHeight="1">
      <c r="B59" s="936">
        <v>43</v>
      </c>
      <c r="C59" s="937">
        <v>45943</v>
      </c>
      <c r="D59" s="943">
        <f t="shared" si="0"/>
        <v>91</v>
      </c>
      <c r="E59" s="939">
        <f t="shared" si="1"/>
        <v>0</v>
      </c>
      <c r="F59" s="940"/>
      <c r="G59" s="941">
        <f t="shared" si="2"/>
        <v>6.6000000000000003E-2</v>
      </c>
      <c r="H59" s="942">
        <f t="shared" si="3"/>
        <v>0</v>
      </c>
    </row>
    <row r="60" spans="2:10" s="654" customFormat="1" ht="15" customHeight="1">
      <c r="B60" s="944"/>
      <c r="C60" s="945">
        <v>46022</v>
      </c>
      <c r="D60" s="946">
        <f t="shared" si="0"/>
        <v>79</v>
      </c>
      <c r="E60" s="947">
        <f t="shared" si="1"/>
        <v>0</v>
      </c>
      <c r="F60" s="948"/>
      <c r="G60" s="949">
        <f t="shared" si="2"/>
        <v>6.6000000000000003E-2</v>
      </c>
      <c r="H60" s="950">
        <f t="shared" si="3"/>
        <v>0</v>
      </c>
    </row>
    <row r="61" spans="2:10" s="654" customFormat="1" ht="15" customHeight="1">
      <c r="B61" s="951">
        <v>44</v>
      </c>
      <c r="C61" s="952">
        <v>46035</v>
      </c>
      <c r="D61" s="953">
        <f t="shared" si="0"/>
        <v>13</v>
      </c>
      <c r="E61" s="954">
        <f t="shared" si="1"/>
        <v>0</v>
      </c>
      <c r="F61" s="436"/>
      <c r="G61" s="437">
        <f t="shared" si="2"/>
        <v>6.6000000000000003E-2</v>
      </c>
      <c r="H61" s="438">
        <f t="shared" si="3"/>
        <v>0</v>
      </c>
    </row>
    <row r="62" spans="2:10" s="654" customFormat="1" ht="15" customHeight="1">
      <c r="B62" s="936">
        <v>45</v>
      </c>
      <c r="C62" s="937">
        <v>46125</v>
      </c>
      <c r="D62" s="943">
        <f t="shared" si="0"/>
        <v>90</v>
      </c>
      <c r="E62" s="939">
        <f t="shared" si="1"/>
        <v>0</v>
      </c>
      <c r="F62" s="940"/>
      <c r="G62" s="941">
        <f t="shared" si="2"/>
        <v>6.6000000000000003E-2</v>
      </c>
      <c r="H62" s="942">
        <f t="shared" si="3"/>
        <v>0</v>
      </c>
    </row>
    <row r="63" spans="2:10" s="654" customFormat="1" ht="15" customHeight="1">
      <c r="B63" s="936">
        <v>46</v>
      </c>
      <c r="C63" s="979">
        <v>46216</v>
      </c>
      <c r="D63" s="943">
        <f t="shared" si="0"/>
        <v>91</v>
      </c>
      <c r="E63" s="939">
        <f t="shared" si="1"/>
        <v>0</v>
      </c>
      <c r="F63" s="940"/>
      <c r="G63" s="941">
        <f t="shared" si="2"/>
        <v>6.6000000000000003E-2</v>
      </c>
      <c r="H63" s="942">
        <f t="shared" si="3"/>
        <v>0</v>
      </c>
    </row>
    <row r="64" spans="2:10" s="654" customFormat="1" ht="14.25" customHeight="1">
      <c r="B64" s="936">
        <v>47</v>
      </c>
      <c r="C64" s="979">
        <v>46308</v>
      </c>
      <c r="D64" s="943">
        <f t="shared" si="0"/>
        <v>92</v>
      </c>
      <c r="E64" s="939">
        <f t="shared" si="1"/>
        <v>0</v>
      </c>
      <c r="F64" s="940"/>
      <c r="G64" s="941">
        <f t="shared" si="2"/>
        <v>6.6000000000000003E-2</v>
      </c>
      <c r="H64" s="942">
        <f t="shared" si="3"/>
        <v>0</v>
      </c>
    </row>
    <row r="65" spans="2:8" s="654" customFormat="1" ht="14.25" customHeight="1">
      <c r="B65" s="936"/>
      <c r="C65" s="979">
        <v>46387</v>
      </c>
      <c r="D65" s="943">
        <f t="shared" si="0"/>
        <v>79</v>
      </c>
      <c r="E65" s="939">
        <f t="shared" si="1"/>
        <v>0</v>
      </c>
      <c r="F65" s="940"/>
      <c r="G65" s="941">
        <f t="shared" si="2"/>
        <v>6.6000000000000003E-2</v>
      </c>
      <c r="H65" s="942">
        <f t="shared" si="3"/>
        <v>0</v>
      </c>
    </row>
    <row r="66" spans="2:8" s="654" customFormat="1" ht="15" customHeight="1" thickBot="1">
      <c r="B66" s="992">
        <v>48</v>
      </c>
      <c r="C66" s="993">
        <v>46400</v>
      </c>
      <c r="D66" s="994">
        <f t="shared" si="0"/>
        <v>13</v>
      </c>
      <c r="E66" s="995">
        <f t="shared" si="1"/>
        <v>0</v>
      </c>
      <c r="F66" s="996"/>
      <c r="G66" s="997">
        <f t="shared" si="2"/>
        <v>6.6000000000000003E-2</v>
      </c>
      <c r="H66" s="998">
        <f t="shared" si="3"/>
        <v>0</v>
      </c>
    </row>
    <row r="67" spans="2:8" s="654" customFormat="1" ht="15" customHeight="1">
      <c r="E67" s="433"/>
      <c r="F67" s="433">
        <f>SUM(F4:F66)</f>
        <v>160000000000</v>
      </c>
      <c r="G67" s="439"/>
      <c r="H67" s="433">
        <f>SUM(H5:H66)</f>
        <v>21340535835.61644</v>
      </c>
    </row>
    <row r="68" spans="2:8" s="654" customFormat="1" ht="15" customHeight="1">
      <c r="E68" s="433"/>
      <c r="F68" s="433"/>
      <c r="G68" s="439"/>
      <c r="H68" s="433"/>
    </row>
    <row r="69" spans="2:8" s="654" customFormat="1" ht="15" customHeight="1">
      <c r="E69" s="433"/>
      <c r="F69" s="433"/>
      <c r="G69" s="439"/>
      <c r="H69" s="433"/>
    </row>
    <row r="70" spans="2:8" s="654" customFormat="1" ht="15" customHeight="1">
      <c r="E70" s="433"/>
      <c r="F70" s="433"/>
      <c r="G70" s="439"/>
      <c r="H70" s="433"/>
    </row>
    <row r="71" spans="2:8" s="654" customFormat="1" ht="15" customHeight="1">
      <c r="E71" s="433"/>
      <c r="F71" s="433"/>
      <c r="G71" s="439"/>
      <c r="H71" s="433"/>
    </row>
    <row r="72" spans="2:8" s="654" customFormat="1" ht="15" customHeight="1">
      <c r="E72" s="433"/>
      <c r="F72" s="433"/>
      <c r="G72" s="439"/>
      <c r="H72" s="433"/>
    </row>
    <row r="73" spans="2:8" s="654" customFormat="1" ht="15" customHeight="1">
      <c r="E73" s="433"/>
      <c r="F73" s="433"/>
      <c r="G73" s="439"/>
      <c r="H73" s="433"/>
    </row>
    <row r="74" spans="2:8" s="654" customFormat="1" ht="15" customHeight="1">
      <c r="E74" s="433"/>
      <c r="F74" s="433"/>
      <c r="G74" s="439"/>
      <c r="H74" s="433"/>
    </row>
    <row r="75" spans="2:8" s="654" customFormat="1" ht="15" customHeight="1">
      <c r="E75" s="433"/>
      <c r="F75" s="433"/>
      <c r="G75" s="439"/>
      <c r="H75" s="433"/>
    </row>
    <row r="76" spans="2:8" s="654" customFormat="1" ht="15" customHeight="1">
      <c r="E76" s="433"/>
      <c r="F76" s="433"/>
      <c r="G76" s="439"/>
      <c r="H76" s="433"/>
    </row>
    <row r="77" spans="2:8" s="654" customFormat="1" ht="15" customHeight="1">
      <c r="E77" s="433"/>
      <c r="F77" s="433"/>
      <c r="G77" s="439"/>
      <c r="H77" s="433"/>
    </row>
    <row r="78" spans="2:8" s="654" customFormat="1" ht="15" customHeight="1">
      <c r="E78" s="433"/>
      <c r="F78" s="433"/>
      <c r="G78" s="439"/>
      <c r="H78" s="433"/>
    </row>
    <row r="79" spans="2:8" s="654" customFormat="1" ht="15" customHeight="1">
      <c r="E79" s="433"/>
      <c r="F79" s="433"/>
      <c r="G79" s="439"/>
      <c r="H79" s="433"/>
    </row>
    <row r="80" spans="2:8" s="654" customFormat="1" ht="15" customHeight="1">
      <c r="E80" s="433"/>
      <c r="F80" s="433"/>
      <c r="G80" s="439"/>
      <c r="H80" s="433"/>
    </row>
    <row r="81" spans="5:8" s="654" customFormat="1" ht="15" customHeight="1">
      <c r="E81" s="433"/>
      <c r="F81" s="433"/>
      <c r="G81" s="439"/>
      <c r="H81" s="433"/>
    </row>
    <row r="82" spans="5:8" s="654" customFormat="1" ht="15" customHeight="1">
      <c r="E82" s="433"/>
      <c r="F82" s="433"/>
      <c r="G82" s="439"/>
      <c r="H82" s="433"/>
    </row>
    <row r="83" spans="5:8" s="654" customFormat="1" ht="15" customHeight="1">
      <c r="E83" s="433"/>
      <c r="F83" s="433"/>
      <c r="G83" s="433"/>
      <c r="H83" s="433"/>
    </row>
    <row r="84" spans="5:8" s="654" customFormat="1" ht="15" customHeight="1">
      <c r="E84" s="433"/>
      <c r="F84" s="433"/>
      <c r="G84" s="433"/>
      <c r="H84" s="433"/>
    </row>
    <row r="85" spans="5:8" s="654" customFormat="1" ht="15" customHeight="1">
      <c r="E85" s="433"/>
      <c r="F85" s="433"/>
      <c r="G85" s="433"/>
      <c r="H85" s="433"/>
    </row>
    <row r="86" spans="5:8" s="654" customFormat="1" ht="15" customHeight="1">
      <c r="E86" s="433"/>
      <c r="F86" s="433"/>
      <c r="G86" s="433"/>
      <c r="H86" s="433"/>
    </row>
    <row r="87" spans="5:8" s="654" customFormat="1" ht="15" customHeight="1">
      <c r="E87" s="433"/>
      <c r="F87" s="433"/>
      <c r="G87" s="433"/>
      <c r="H87" s="433"/>
    </row>
    <row r="88" spans="5:8" s="654" customFormat="1" ht="15" customHeight="1">
      <c r="E88" s="433"/>
      <c r="F88" s="433"/>
      <c r="G88" s="433"/>
      <c r="H88" s="433"/>
    </row>
    <row r="89" spans="5:8" s="654" customFormat="1" ht="15" customHeight="1">
      <c r="E89" s="433"/>
      <c r="F89" s="433"/>
      <c r="G89" s="433"/>
      <c r="H89" s="433"/>
    </row>
    <row r="90" spans="5:8" s="654" customFormat="1" ht="15" customHeight="1">
      <c r="E90" s="433"/>
      <c r="F90" s="433"/>
      <c r="G90" s="433"/>
      <c r="H90" s="433"/>
    </row>
    <row r="91" spans="5:8" s="654" customFormat="1" ht="15" customHeight="1">
      <c r="E91" s="433"/>
      <c r="F91" s="433"/>
      <c r="G91" s="433"/>
      <c r="H91" s="433"/>
    </row>
    <row r="92" spans="5:8" s="654" customFormat="1" ht="15" customHeight="1">
      <c r="E92" s="433"/>
      <c r="F92" s="433"/>
      <c r="G92" s="433"/>
      <c r="H92" s="433"/>
    </row>
    <row r="93" spans="5:8" s="654" customFormat="1" ht="15" customHeight="1">
      <c r="E93" s="433"/>
      <c r="F93" s="433"/>
      <c r="G93" s="433"/>
      <c r="H93" s="433"/>
    </row>
    <row r="94" spans="5:8" s="654" customFormat="1" ht="15" customHeight="1">
      <c r="E94" s="433"/>
      <c r="F94" s="433"/>
      <c r="G94" s="433"/>
      <c r="H94" s="433"/>
    </row>
    <row r="95" spans="5:8" s="654" customFormat="1" ht="15" customHeight="1">
      <c r="E95" s="433"/>
      <c r="F95" s="433"/>
      <c r="G95" s="433"/>
      <c r="H95" s="433"/>
    </row>
    <row r="96" spans="5:8" s="654" customFormat="1" ht="15" customHeight="1">
      <c r="E96" s="433"/>
      <c r="F96" s="433"/>
      <c r="G96" s="433"/>
      <c r="H96" s="433"/>
    </row>
    <row r="97" spans="5:8" s="654" customFormat="1" ht="15" customHeight="1">
      <c r="E97" s="433"/>
      <c r="F97" s="433"/>
      <c r="G97" s="433"/>
      <c r="H97" s="433"/>
    </row>
    <row r="98" spans="5:8" s="654" customFormat="1" ht="15" customHeight="1">
      <c r="E98" s="433"/>
      <c r="F98" s="433"/>
      <c r="G98" s="433"/>
      <c r="H98" s="433"/>
    </row>
    <row r="99" spans="5:8" s="654" customFormat="1" ht="15" customHeight="1">
      <c r="E99" s="433"/>
      <c r="F99" s="433"/>
      <c r="G99" s="433"/>
      <c r="H99" s="433"/>
    </row>
    <row r="100" spans="5:8" s="654" customFormat="1" ht="15" customHeight="1">
      <c r="E100" s="433"/>
      <c r="F100" s="433"/>
      <c r="G100" s="433"/>
      <c r="H100" s="433"/>
    </row>
    <row r="101" spans="5:8" s="654" customFormat="1" ht="15" customHeight="1">
      <c r="E101" s="433"/>
      <c r="F101" s="433"/>
      <c r="G101" s="433"/>
      <c r="H101" s="433"/>
    </row>
    <row r="102" spans="5:8" s="654" customFormat="1" ht="15" customHeight="1">
      <c r="E102" s="433"/>
      <c r="F102" s="433"/>
      <c r="G102" s="433"/>
      <c r="H102" s="433"/>
    </row>
    <row r="103" spans="5:8" s="654" customFormat="1" ht="15" customHeight="1">
      <c r="E103" s="433"/>
      <c r="F103" s="433"/>
      <c r="G103" s="433"/>
      <c r="H103" s="433"/>
    </row>
    <row r="104" spans="5:8" s="654" customFormat="1" ht="15" customHeight="1">
      <c r="E104" s="433"/>
      <c r="F104" s="433"/>
      <c r="G104" s="433"/>
      <c r="H104" s="433"/>
    </row>
    <row r="105" spans="5:8" s="654" customFormat="1" ht="15" customHeight="1">
      <c r="E105" s="433"/>
      <c r="F105" s="433"/>
      <c r="G105" s="433"/>
      <c r="H105" s="433"/>
    </row>
    <row r="106" spans="5:8" s="654" customFormat="1" ht="15" customHeight="1">
      <c r="E106" s="433"/>
      <c r="F106" s="433"/>
      <c r="G106" s="433"/>
      <c r="H106" s="433"/>
    </row>
    <row r="107" spans="5:8" s="654" customFormat="1" ht="15" customHeight="1">
      <c r="E107" s="433"/>
      <c r="F107" s="433"/>
      <c r="G107" s="433"/>
      <c r="H107" s="433"/>
    </row>
    <row r="108" spans="5:8" s="654" customFormat="1" ht="15" customHeight="1">
      <c r="E108" s="433"/>
      <c r="F108" s="433"/>
      <c r="G108" s="433"/>
      <c r="H108" s="433"/>
    </row>
    <row r="109" spans="5:8" s="654" customFormat="1" ht="15" customHeight="1">
      <c r="E109" s="433"/>
      <c r="F109" s="433"/>
      <c r="G109" s="433"/>
      <c r="H109" s="433"/>
    </row>
    <row r="110" spans="5:8" s="654" customFormat="1" ht="15" customHeight="1">
      <c r="E110" s="433"/>
      <c r="F110" s="433"/>
      <c r="G110" s="433"/>
      <c r="H110" s="433"/>
    </row>
    <row r="111" spans="5:8" s="654" customFormat="1" ht="15" customHeight="1">
      <c r="E111" s="433"/>
      <c r="F111" s="433"/>
      <c r="G111" s="433"/>
      <c r="H111" s="433"/>
    </row>
    <row r="112" spans="5:8" s="654" customFormat="1" ht="15" customHeight="1">
      <c r="E112" s="433"/>
      <c r="F112" s="433"/>
      <c r="G112" s="433"/>
      <c r="H112" s="433"/>
    </row>
    <row r="113" spans="5:8" s="654" customFormat="1" ht="15" customHeight="1">
      <c r="E113" s="433"/>
      <c r="F113" s="433"/>
      <c r="G113" s="433"/>
      <c r="H113" s="433"/>
    </row>
    <row r="114" spans="5:8" s="654" customFormat="1" ht="15" customHeight="1">
      <c r="E114" s="433"/>
      <c r="F114" s="433"/>
      <c r="G114" s="433"/>
      <c r="H114" s="433"/>
    </row>
    <row r="115" spans="5:8" s="654" customFormat="1" ht="15" customHeight="1">
      <c r="E115" s="433"/>
      <c r="F115" s="433"/>
      <c r="G115" s="433"/>
      <c r="H115" s="433"/>
    </row>
    <row r="116" spans="5:8" s="654" customFormat="1" ht="15" customHeight="1">
      <c r="E116" s="433"/>
      <c r="F116" s="433"/>
      <c r="G116" s="433"/>
      <c r="H116" s="433"/>
    </row>
    <row r="117" spans="5:8" s="654" customFormat="1" ht="15" customHeight="1">
      <c r="E117" s="433"/>
      <c r="F117" s="433"/>
      <c r="G117" s="433"/>
      <c r="H117" s="433"/>
    </row>
    <row r="118" spans="5:8" s="654" customFormat="1" ht="15" customHeight="1">
      <c r="E118" s="433"/>
      <c r="F118" s="433"/>
      <c r="G118" s="433"/>
      <c r="H118" s="433"/>
    </row>
    <row r="119" spans="5:8" s="654" customFormat="1" ht="15" customHeight="1">
      <c r="E119" s="433"/>
      <c r="F119" s="433"/>
      <c r="G119" s="433"/>
      <c r="H119" s="433"/>
    </row>
    <row r="120" spans="5:8" s="654" customFormat="1" ht="15" customHeight="1">
      <c r="E120" s="433"/>
      <c r="F120" s="433"/>
      <c r="G120" s="433"/>
      <c r="H120" s="433"/>
    </row>
    <row r="121" spans="5:8" s="654" customFormat="1" ht="15" customHeight="1">
      <c r="E121" s="433"/>
      <c r="F121" s="433"/>
      <c r="G121" s="433"/>
      <c r="H121" s="433"/>
    </row>
    <row r="122" spans="5:8" s="654" customFormat="1" ht="15" customHeight="1">
      <c r="E122" s="433"/>
      <c r="F122" s="433"/>
      <c r="G122" s="433"/>
      <c r="H122" s="433"/>
    </row>
    <row r="123" spans="5:8" s="654" customFormat="1" ht="15" customHeight="1">
      <c r="E123" s="433"/>
      <c r="F123" s="433"/>
      <c r="G123" s="433"/>
      <c r="H123" s="433"/>
    </row>
    <row r="124" spans="5:8" s="654" customFormat="1" ht="15" customHeight="1">
      <c r="E124" s="433"/>
      <c r="F124" s="433"/>
      <c r="G124" s="433"/>
      <c r="H124" s="433"/>
    </row>
    <row r="125" spans="5:8" s="654" customFormat="1" ht="15" customHeight="1">
      <c r="E125" s="433"/>
      <c r="F125" s="433"/>
      <c r="G125" s="433"/>
      <c r="H125" s="433"/>
    </row>
    <row r="126" spans="5:8" s="654" customFormat="1" ht="15" customHeight="1">
      <c r="E126" s="433"/>
      <c r="F126" s="433"/>
      <c r="G126" s="433"/>
      <c r="H126" s="433"/>
    </row>
    <row r="127" spans="5:8" s="654" customFormat="1" ht="15" customHeight="1">
      <c r="E127" s="433"/>
      <c r="F127" s="433"/>
      <c r="G127" s="433"/>
      <c r="H127" s="433"/>
    </row>
    <row r="128" spans="5:8" s="654" customFormat="1" ht="15" customHeight="1">
      <c r="E128" s="433"/>
      <c r="F128" s="433"/>
      <c r="G128" s="433"/>
      <c r="H128" s="433"/>
    </row>
    <row r="129" spans="5:8" s="654" customFormat="1" ht="15" customHeight="1">
      <c r="E129" s="433"/>
      <c r="F129" s="433"/>
      <c r="G129" s="433"/>
      <c r="H129" s="433"/>
    </row>
    <row r="130" spans="5:8" s="654" customFormat="1" ht="15" customHeight="1">
      <c r="E130" s="433"/>
      <c r="F130" s="433"/>
      <c r="G130" s="433"/>
      <c r="H130" s="433"/>
    </row>
    <row r="131" spans="5:8" s="654" customFormat="1" ht="15" customHeight="1">
      <c r="E131" s="433"/>
      <c r="F131" s="433"/>
      <c r="G131" s="433"/>
      <c r="H131" s="433"/>
    </row>
    <row r="132" spans="5:8" s="654" customFormat="1" ht="15" customHeight="1">
      <c r="E132" s="433"/>
      <c r="F132" s="433"/>
      <c r="G132" s="433"/>
      <c r="H132" s="433"/>
    </row>
    <row r="133" spans="5:8" s="654" customFormat="1" ht="15" customHeight="1">
      <c r="E133" s="433"/>
      <c r="F133" s="433"/>
      <c r="G133" s="433"/>
      <c r="H133" s="433"/>
    </row>
    <row r="134" spans="5:8" s="654" customFormat="1" ht="15" customHeight="1">
      <c r="E134" s="433"/>
      <c r="F134" s="433"/>
      <c r="G134" s="433"/>
      <c r="H134" s="433"/>
    </row>
    <row r="135" spans="5:8" s="654" customFormat="1" ht="15" customHeight="1">
      <c r="E135" s="433"/>
      <c r="F135" s="433"/>
      <c r="G135" s="433"/>
      <c r="H135" s="433"/>
    </row>
    <row r="136" spans="5:8" s="654" customFormat="1" ht="15" customHeight="1">
      <c r="E136" s="433"/>
      <c r="F136" s="433"/>
      <c r="G136" s="433"/>
      <c r="H136" s="433"/>
    </row>
    <row r="137" spans="5:8" s="654" customFormat="1" ht="15" customHeight="1">
      <c r="E137" s="433"/>
      <c r="F137" s="433"/>
      <c r="G137" s="433"/>
      <c r="H137" s="433"/>
    </row>
    <row r="138" spans="5:8" s="654" customFormat="1" ht="15" customHeight="1">
      <c r="E138" s="433"/>
      <c r="F138" s="433"/>
      <c r="G138" s="433"/>
      <c r="H138" s="433"/>
    </row>
    <row r="139" spans="5:8" s="654" customFormat="1" ht="15" customHeight="1">
      <c r="E139" s="433"/>
      <c r="F139" s="433"/>
      <c r="G139" s="433"/>
      <c r="H139" s="433"/>
    </row>
    <row r="140" spans="5:8" s="654" customFormat="1" ht="15" customHeight="1">
      <c r="E140" s="433"/>
      <c r="F140" s="433"/>
      <c r="G140" s="433"/>
      <c r="H140" s="433"/>
    </row>
    <row r="141" spans="5:8" s="654" customFormat="1" ht="15" customHeight="1">
      <c r="E141" s="433"/>
      <c r="F141" s="433"/>
      <c r="G141" s="433"/>
      <c r="H141" s="433"/>
    </row>
    <row r="142" spans="5:8" s="654" customFormat="1" ht="15" customHeight="1">
      <c r="E142" s="433"/>
      <c r="F142" s="433"/>
      <c r="G142" s="433"/>
      <c r="H142" s="433"/>
    </row>
    <row r="143" spans="5:8" s="654" customFormat="1" ht="15" customHeight="1">
      <c r="E143" s="433"/>
      <c r="F143" s="433"/>
      <c r="G143" s="433"/>
      <c r="H143" s="433"/>
    </row>
    <row r="144" spans="5:8" s="654" customFormat="1" ht="15" customHeight="1">
      <c r="E144" s="433"/>
      <c r="F144" s="433"/>
      <c r="G144" s="433"/>
      <c r="H144" s="433"/>
    </row>
    <row r="145" spans="5:8" s="654" customFormat="1" ht="15" customHeight="1">
      <c r="E145" s="433"/>
      <c r="F145" s="433"/>
      <c r="G145" s="433"/>
      <c r="H145" s="433"/>
    </row>
    <row r="146" spans="5:8" s="654" customFormat="1" ht="15" customHeight="1">
      <c r="E146" s="433"/>
      <c r="F146" s="433"/>
      <c r="G146" s="433"/>
      <c r="H146" s="433"/>
    </row>
    <row r="147" spans="5:8" s="654" customFormat="1" ht="15" customHeight="1">
      <c r="E147" s="433"/>
      <c r="F147" s="433"/>
      <c r="G147" s="433"/>
      <c r="H147" s="433"/>
    </row>
    <row r="148" spans="5:8" s="654" customFormat="1" ht="15" customHeight="1">
      <c r="E148" s="433"/>
      <c r="F148" s="433"/>
      <c r="G148" s="433"/>
      <c r="H148" s="433"/>
    </row>
    <row r="149" spans="5:8" s="654" customFormat="1" ht="15" customHeight="1">
      <c r="E149" s="433"/>
      <c r="F149" s="433"/>
      <c r="G149" s="433"/>
      <c r="H149" s="433"/>
    </row>
    <row r="150" spans="5:8" s="654" customFormat="1" ht="15" customHeight="1">
      <c r="E150" s="433"/>
      <c r="F150" s="433"/>
      <c r="G150" s="433"/>
      <c r="H150" s="433"/>
    </row>
    <row r="151" spans="5:8" s="654" customFormat="1" ht="15" customHeight="1">
      <c r="E151" s="433"/>
      <c r="F151" s="433"/>
      <c r="G151" s="433"/>
      <c r="H151" s="433"/>
    </row>
    <row r="152" spans="5:8" s="654" customFormat="1" ht="15" customHeight="1">
      <c r="E152" s="433"/>
      <c r="F152" s="433"/>
      <c r="G152" s="433"/>
      <c r="H152" s="433"/>
    </row>
    <row r="153" spans="5:8" s="654" customFormat="1" ht="15" customHeight="1">
      <c r="E153" s="433"/>
      <c r="F153" s="433"/>
      <c r="G153" s="433"/>
      <c r="H153" s="433"/>
    </row>
    <row r="154" spans="5:8" s="654" customFormat="1" ht="15" customHeight="1">
      <c r="E154" s="433"/>
      <c r="F154" s="433"/>
      <c r="G154" s="433"/>
      <c r="H154" s="433"/>
    </row>
    <row r="155" spans="5:8" s="654" customFormat="1" ht="15" customHeight="1">
      <c r="E155" s="433"/>
      <c r="F155" s="433"/>
      <c r="G155" s="433"/>
      <c r="H155" s="433"/>
    </row>
    <row r="156" spans="5:8" s="654" customFormat="1" ht="15" customHeight="1">
      <c r="E156" s="433"/>
      <c r="F156" s="433"/>
      <c r="G156" s="433"/>
      <c r="H156" s="433"/>
    </row>
    <row r="157" spans="5:8" s="654" customFormat="1" ht="15" customHeight="1">
      <c r="E157" s="433"/>
      <c r="F157" s="433"/>
      <c r="G157" s="433"/>
      <c r="H157" s="433"/>
    </row>
    <row r="158" spans="5:8" s="654" customFormat="1" ht="15" customHeight="1">
      <c r="E158" s="433"/>
      <c r="F158" s="433"/>
      <c r="G158" s="433"/>
      <c r="H158" s="433"/>
    </row>
    <row r="159" spans="5:8" s="654" customFormat="1" ht="15" customHeight="1">
      <c r="E159" s="433"/>
      <c r="F159" s="433"/>
      <c r="G159" s="433"/>
      <c r="H159" s="433"/>
    </row>
    <row r="160" spans="5:8" s="654" customFormat="1" ht="15" customHeight="1">
      <c r="E160" s="433"/>
      <c r="F160" s="433"/>
      <c r="G160" s="433"/>
      <c r="H160" s="433"/>
    </row>
    <row r="161" spans="5:8" s="654" customFormat="1" ht="15" customHeight="1">
      <c r="E161" s="433"/>
      <c r="F161" s="433"/>
      <c r="G161" s="433"/>
      <c r="H161" s="433"/>
    </row>
    <row r="162" spans="5:8" s="654" customFormat="1" ht="15" customHeight="1">
      <c r="E162" s="433"/>
      <c r="F162" s="433"/>
      <c r="G162" s="433"/>
      <c r="H162" s="433"/>
    </row>
    <row r="163" spans="5:8" s="654" customFormat="1" ht="15" customHeight="1">
      <c r="E163" s="433"/>
      <c r="F163" s="433"/>
      <c r="G163" s="433"/>
      <c r="H163" s="433"/>
    </row>
    <row r="164" spans="5:8" s="654" customFormat="1" ht="15" customHeight="1">
      <c r="E164" s="433"/>
      <c r="F164" s="433"/>
      <c r="G164" s="433"/>
      <c r="H164" s="433"/>
    </row>
    <row r="165" spans="5:8" s="654" customFormat="1" ht="15" customHeight="1">
      <c r="E165" s="433"/>
      <c r="F165" s="433"/>
      <c r="G165" s="433"/>
      <c r="H165" s="433"/>
    </row>
    <row r="166" spans="5:8" s="654" customFormat="1" ht="15" customHeight="1">
      <c r="E166" s="433"/>
      <c r="F166" s="433"/>
      <c r="G166" s="433"/>
      <c r="H166" s="433"/>
    </row>
    <row r="167" spans="5:8" s="654" customFormat="1" ht="15" customHeight="1">
      <c r="E167" s="433"/>
      <c r="F167" s="433"/>
      <c r="G167" s="433"/>
      <c r="H167" s="433"/>
    </row>
    <row r="168" spans="5:8" s="654" customFormat="1" ht="15" customHeight="1">
      <c r="E168" s="433"/>
      <c r="F168" s="433"/>
      <c r="G168" s="433"/>
      <c r="H168" s="433"/>
    </row>
    <row r="169" spans="5:8" s="654" customFormat="1" ht="15" customHeight="1">
      <c r="E169" s="433"/>
      <c r="F169" s="433"/>
      <c r="G169" s="433"/>
      <c r="H169" s="433"/>
    </row>
    <row r="170" spans="5:8" s="654" customFormat="1" ht="15" customHeight="1">
      <c r="E170" s="433"/>
      <c r="F170" s="433"/>
      <c r="G170" s="433"/>
      <c r="H170" s="433"/>
    </row>
    <row r="171" spans="5:8" s="654" customFormat="1" ht="15" customHeight="1">
      <c r="E171" s="433"/>
      <c r="F171" s="433"/>
      <c r="G171" s="433"/>
      <c r="H171" s="433"/>
    </row>
    <row r="172" spans="5:8" s="654" customFormat="1" ht="15" customHeight="1">
      <c r="E172" s="433"/>
      <c r="F172" s="433"/>
      <c r="G172" s="433"/>
      <c r="H172" s="433"/>
    </row>
    <row r="173" spans="5:8" s="654" customFormat="1" ht="15" customHeight="1">
      <c r="E173" s="433"/>
      <c r="F173" s="433"/>
      <c r="G173" s="433"/>
      <c r="H173" s="433"/>
    </row>
    <row r="174" spans="5:8" s="654" customFormat="1" ht="15" customHeight="1">
      <c r="E174" s="433"/>
      <c r="F174" s="433"/>
      <c r="G174" s="433"/>
      <c r="H174" s="433"/>
    </row>
    <row r="175" spans="5:8" s="654" customFormat="1" ht="15" customHeight="1">
      <c r="E175" s="433"/>
      <c r="F175" s="433"/>
      <c r="G175" s="433"/>
      <c r="H175" s="433"/>
    </row>
    <row r="176" spans="5:8" s="654" customFormat="1" ht="15" customHeight="1">
      <c r="E176" s="433"/>
      <c r="F176" s="433"/>
      <c r="G176" s="433"/>
      <c r="H176" s="433"/>
    </row>
    <row r="177" spans="5:8" s="654" customFormat="1" ht="15" customHeight="1">
      <c r="E177" s="433"/>
      <c r="F177" s="433"/>
      <c r="G177" s="433"/>
      <c r="H177" s="433"/>
    </row>
    <row r="178" spans="5:8" s="654" customFormat="1" ht="15" customHeight="1">
      <c r="E178" s="433"/>
      <c r="F178" s="433"/>
      <c r="G178" s="433"/>
      <c r="H178" s="433"/>
    </row>
    <row r="179" spans="5:8" s="654" customFormat="1" ht="15" customHeight="1">
      <c r="E179" s="433"/>
      <c r="F179" s="433"/>
      <c r="G179" s="433"/>
      <c r="H179" s="433"/>
    </row>
    <row r="180" spans="5:8" s="654" customFormat="1" ht="15" customHeight="1">
      <c r="E180" s="433"/>
      <c r="F180" s="433"/>
      <c r="G180" s="433"/>
      <c r="H180" s="433"/>
    </row>
    <row r="181" spans="5:8" s="654" customFormat="1" ht="15" customHeight="1">
      <c r="E181" s="433"/>
      <c r="F181" s="433"/>
      <c r="G181" s="433"/>
      <c r="H181" s="433"/>
    </row>
    <row r="182" spans="5:8" s="654" customFormat="1" ht="15" customHeight="1">
      <c r="E182" s="433"/>
      <c r="F182" s="433"/>
      <c r="G182" s="433"/>
      <c r="H182" s="433"/>
    </row>
    <row r="183" spans="5:8" s="654" customFormat="1" ht="15" customHeight="1">
      <c r="E183" s="433"/>
      <c r="F183" s="433"/>
      <c r="G183" s="433"/>
      <c r="H183" s="433"/>
    </row>
    <row r="184" spans="5:8" s="654" customFormat="1" ht="15" customHeight="1">
      <c r="E184" s="433"/>
      <c r="F184" s="433"/>
      <c r="G184" s="433"/>
      <c r="H184" s="433"/>
    </row>
    <row r="185" spans="5:8" s="654" customFormat="1" ht="15" customHeight="1">
      <c r="E185" s="433"/>
      <c r="F185" s="433"/>
      <c r="G185" s="433"/>
      <c r="H185" s="433"/>
    </row>
    <row r="186" spans="5:8" s="654" customFormat="1" ht="15" customHeight="1">
      <c r="E186" s="433"/>
      <c r="F186" s="433"/>
      <c r="G186" s="433"/>
      <c r="H186" s="433"/>
    </row>
    <row r="187" spans="5:8" s="654" customFormat="1" ht="15" customHeight="1">
      <c r="E187" s="433"/>
      <c r="F187" s="433"/>
      <c r="G187" s="433"/>
      <c r="H187" s="433"/>
    </row>
    <row r="188" spans="5:8" s="654" customFormat="1" ht="15" customHeight="1">
      <c r="E188" s="433"/>
      <c r="F188" s="433"/>
      <c r="G188" s="433"/>
      <c r="H188" s="433"/>
    </row>
    <row r="189" spans="5:8" s="654" customFormat="1" ht="15" customHeight="1">
      <c r="E189" s="433"/>
      <c r="F189" s="433"/>
      <c r="G189" s="433"/>
      <c r="H189" s="433"/>
    </row>
    <row r="190" spans="5:8" s="654" customFormat="1" ht="15" customHeight="1">
      <c r="E190" s="433"/>
      <c r="F190" s="433"/>
      <c r="G190" s="433"/>
      <c r="H190" s="433"/>
    </row>
    <row r="191" spans="5:8" s="654" customFormat="1" ht="15" customHeight="1">
      <c r="E191" s="433"/>
      <c r="F191" s="433"/>
      <c r="G191" s="433"/>
      <c r="H191" s="433"/>
    </row>
    <row r="192" spans="5:8" s="654" customFormat="1" ht="15" customHeight="1">
      <c r="E192" s="433"/>
      <c r="F192" s="433"/>
      <c r="G192" s="433"/>
      <c r="H192" s="433"/>
    </row>
    <row r="193" spans="5:8" s="654" customFormat="1" ht="15" customHeight="1">
      <c r="E193" s="433"/>
      <c r="F193" s="433"/>
      <c r="G193" s="433"/>
      <c r="H193" s="433"/>
    </row>
    <row r="194" spans="5:8" s="654" customFormat="1" ht="15" customHeight="1">
      <c r="E194" s="433"/>
      <c r="F194" s="433"/>
      <c r="G194" s="433"/>
      <c r="H194" s="433"/>
    </row>
    <row r="195" spans="5:8" s="654" customFormat="1" ht="15" customHeight="1">
      <c r="E195" s="433"/>
      <c r="F195" s="433"/>
      <c r="G195" s="433"/>
      <c r="H195" s="433"/>
    </row>
    <row r="196" spans="5:8" s="654" customFormat="1" ht="15" customHeight="1">
      <c r="E196" s="433"/>
      <c r="F196" s="433"/>
      <c r="G196" s="433"/>
      <c r="H196" s="433"/>
    </row>
    <row r="197" spans="5:8" s="654" customFormat="1" ht="15" customHeight="1">
      <c r="E197" s="433"/>
      <c r="F197" s="433"/>
      <c r="G197" s="433"/>
      <c r="H197" s="433"/>
    </row>
    <row r="198" spans="5:8" s="654" customFormat="1" ht="15" customHeight="1">
      <c r="E198" s="433"/>
      <c r="F198" s="433"/>
      <c r="G198" s="433"/>
      <c r="H198" s="433"/>
    </row>
    <row r="199" spans="5:8" s="654" customFormat="1" ht="15" customHeight="1">
      <c r="E199" s="433"/>
      <c r="F199" s="433"/>
      <c r="G199" s="433"/>
      <c r="H199" s="433"/>
    </row>
    <row r="200" spans="5:8" s="654" customFormat="1" ht="15" customHeight="1">
      <c r="E200" s="433"/>
      <c r="F200" s="433"/>
      <c r="G200" s="433"/>
      <c r="H200" s="433"/>
    </row>
    <row r="201" spans="5:8" s="654" customFormat="1" ht="15" customHeight="1">
      <c r="E201" s="433"/>
      <c r="F201" s="433"/>
      <c r="G201" s="433"/>
      <c r="H201" s="433"/>
    </row>
    <row r="202" spans="5:8" s="654" customFormat="1" ht="15" customHeight="1">
      <c r="E202" s="433"/>
      <c r="F202" s="433"/>
      <c r="G202" s="433"/>
      <c r="H202" s="433"/>
    </row>
    <row r="203" spans="5:8" s="654" customFormat="1" ht="15" customHeight="1">
      <c r="E203" s="433"/>
      <c r="F203" s="433"/>
      <c r="G203" s="433"/>
      <c r="H203" s="433"/>
    </row>
    <row r="204" spans="5:8" s="654" customFormat="1" ht="15" customHeight="1">
      <c r="E204" s="433"/>
      <c r="F204" s="433"/>
      <c r="G204" s="433"/>
      <c r="H204" s="433"/>
    </row>
    <row r="205" spans="5:8" s="654" customFormat="1" ht="15" customHeight="1">
      <c r="E205" s="433"/>
      <c r="F205" s="433"/>
      <c r="G205" s="433"/>
      <c r="H205" s="433"/>
    </row>
    <row r="206" spans="5:8" s="654" customFormat="1" ht="15" customHeight="1">
      <c r="E206" s="433"/>
      <c r="F206" s="433"/>
      <c r="G206" s="433"/>
      <c r="H206" s="433"/>
    </row>
    <row r="207" spans="5:8" s="654" customFormat="1" ht="15" customHeight="1">
      <c r="E207" s="433"/>
      <c r="F207" s="433"/>
      <c r="G207" s="433"/>
      <c r="H207" s="433"/>
    </row>
    <row r="208" spans="5:8" s="654" customFormat="1" ht="15" customHeight="1">
      <c r="E208" s="433"/>
      <c r="F208" s="433"/>
      <c r="G208" s="433"/>
      <c r="H208" s="433"/>
    </row>
    <row r="209" spans="5:8" s="654" customFormat="1" ht="15" customHeight="1">
      <c r="E209" s="433"/>
      <c r="F209" s="433"/>
      <c r="G209" s="433"/>
      <c r="H209" s="433"/>
    </row>
    <row r="210" spans="5:8" s="654" customFormat="1" ht="15" customHeight="1">
      <c r="E210" s="433"/>
      <c r="F210" s="433"/>
      <c r="G210" s="433"/>
      <c r="H210" s="433"/>
    </row>
    <row r="211" spans="5:8" s="654" customFormat="1" ht="15" customHeight="1">
      <c r="E211" s="433"/>
      <c r="F211" s="433"/>
      <c r="G211" s="433"/>
      <c r="H211" s="433"/>
    </row>
    <row r="212" spans="5:8" s="654" customFormat="1" ht="15" customHeight="1">
      <c r="E212" s="433"/>
      <c r="F212" s="433"/>
      <c r="G212" s="433"/>
      <c r="H212" s="433"/>
    </row>
    <row r="213" spans="5:8" s="654" customFormat="1" ht="15" customHeight="1">
      <c r="E213" s="433"/>
      <c r="F213" s="433"/>
      <c r="G213" s="433"/>
      <c r="H213" s="433"/>
    </row>
    <row r="214" spans="5:8" s="654" customFormat="1" ht="15" customHeight="1">
      <c r="E214" s="433"/>
      <c r="F214" s="433"/>
      <c r="G214" s="433"/>
      <c r="H214" s="433"/>
    </row>
    <row r="215" spans="5:8" s="654" customFormat="1" ht="15" customHeight="1">
      <c r="E215" s="433"/>
      <c r="F215" s="433"/>
      <c r="G215" s="433"/>
      <c r="H215" s="433"/>
    </row>
    <row r="216" spans="5:8" s="654" customFormat="1" ht="15" customHeight="1">
      <c r="E216" s="433"/>
      <c r="F216" s="433"/>
      <c r="G216" s="433"/>
      <c r="H216" s="433"/>
    </row>
    <row r="217" spans="5:8" s="654" customFormat="1" ht="15" customHeight="1">
      <c r="E217" s="433"/>
      <c r="F217" s="433"/>
      <c r="G217" s="433"/>
      <c r="H217" s="433"/>
    </row>
    <row r="218" spans="5:8" s="654" customFormat="1" ht="15" customHeight="1">
      <c r="E218" s="433"/>
      <c r="F218" s="433"/>
      <c r="G218" s="433"/>
      <c r="H218" s="433"/>
    </row>
    <row r="219" spans="5:8" s="654" customFormat="1" ht="15" customHeight="1">
      <c r="E219" s="433"/>
      <c r="F219" s="433"/>
      <c r="G219" s="433"/>
      <c r="H219" s="433"/>
    </row>
    <row r="220" spans="5:8" s="654" customFormat="1" ht="15" customHeight="1">
      <c r="E220" s="433"/>
      <c r="F220" s="433"/>
      <c r="G220" s="433"/>
      <c r="H220" s="433"/>
    </row>
    <row r="221" spans="5:8" s="654" customFormat="1" ht="15" customHeight="1">
      <c r="E221" s="433"/>
      <c r="F221" s="433"/>
      <c r="G221" s="433"/>
      <c r="H221" s="433"/>
    </row>
    <row r="222" spans="5:8" s="654" customFormat="1" ht="15" customHeight="1">
      <c r="E222" s="433"/>
      <c r="F222" s="433"/>
      <c r="G222" s="433"/>
      <c r="H222" s="433"/>
    </row>
    <row r="223" spans="5:8" s="654" customFormat="1" ht="15" customHeight="1">
      <c r="E223" s="433"/>
      <c r="F223" s="433"/>
      <c r="G223" s="433"/>
      <c r="H223" s="433"/>
    </row>
    <row r="224" spans="5:8" s="654" customFormat="1" ht="15" customHeight="1">
      <c r="E224" s="433"/>
      <c r="F224" s="433"/>
      <c r="G224" s="433"/>
      <c r="H224" s="433"/>
    </row>
    <row r="225" spans="5:8" s="654" customFormat="1" ht="15" customHeight="1">
      <c r="E225" s="433"/>
      <c r="F225" s="433"/>
      <c r="G225" s="433"/>
      <c r="H225" s="433"/>
    </row>
    <row r="226" spans="5:8" s="654" customFormat="1" ht="15" customHeight="1">
      <c r="E226" s="433"/>
      <c r="F226" s="433"/>
      <c r="G226" s="433"/>
      <c r="H226" s="433"/>
    </row>
    <row r="227" spans="5:8" s="654" customFormat="1" ht="15" customHeight="1">
      <c r="E227" s="433"/>
      <c r="F227" s="433"/>
      <c r="G227" s="433"/>
      <c r="H227" s="433"/>
    </row>
    <row r="228" spans="5:8" s="654" customFormat="1" ht="15" customHeight="1">
      <c r="E228" s="433"/>
      <c r="F228" s="433"/>
      <c r="G228" s="433"/>
      <c r="H228" s="433"/>
    </row>
    <row r="229" spans="5:8" s="654" customFormat="1" ht="15" customHeight="1">
      <c r="E229" s="433"/>
      <c r="F229" s="433"/>
      <c r="G229" s="433"/>
      <c r="H229" s="433"/>
    </row>
    <row r="230" spans="5:8" s="654" customFormat="1" ht="15" customHeight="1">
      <c r="E230" s="433"/>
      <c r="F230" s="433"/>
      <c r="G230" s="433"/>
      <c r="H230" s="433"/>
    </row>
    <row r="231" spans="5:8" s="654" customFormat="1" ht="15" customHeight="1">
      <c r="E231" s="433"/>
      <c r="F231" s="433"/>
      <c r="G231" s="433"/>
      <c r="H231" s="433"/>
    </row>
    <row r="232" spans="5:8" s="654" customFormat="1" ht="15" customHeight="1">
      <c r="E232" s="433"/>
      <c r="F232" s="433"/>
      <c r="G232" s="433"/>
      <c r="H232" s="433"/>
    </row>
    <row r="233" spans="5:8" s="654" customFormat="1" ht="15" customHeight="1">
      <c r="E233" s="433"/>
      <c r="F233" s="433"/>
      <c r="G233" s="433"/>
      <c r="H233" s="433"/>
    </row>
    <row r="234" spans="5:8" s="654" customFormat="1" ht="15" customHeight="1">
      <c r="E234" s="433"/>
      <c r="F234" s="433"/>
      <c r="G234" s="433"/>
      <c r="H234" s="433"/>
    </row>
    <row r="235" spans="5:8" s="654" customFormat="1" ht="15" customHeight="1">
      <c r="E235" s="433"/>
      <c r="F235" s="433"/>
      <c r="G235" s="433"/>
      <c r="H235" s="433"/>
    </row>
    <row r="236" spans="5:8" s="654" customFormat="1" ht="15" customHeight="1">
      <c r="E236" s="433"/>
      <c r="F236" s="433"/>
      <c r="G236" s="433"/>
      <c r="H236" s="433"/>
    </row>
    <row r="237" spans="5:8" s="654" customFormat="1" ht="15" customHeight="1">
      <c r="E237" s="433"/>
      <c r="F237" s="433"/>
      <c r="G237" s="433"/>
      <c r="H237" s="433"/>
    </row>
    <row r="238" spans="5:8" s="654" customFormat="1" ht="15" customHeight="1">
      <c r="E238" s="433"/>
      <c r="F238" s="433"/>
      <c r="G238" s="433"/>
      <c r="H238" s="433"/>
    </row>
    <row r="239" spans="5:8" s="654" customFormat="1" ht="15" customHeight="1">
      <c r="E239" s="433"/>
      <c r="F239" s="433"/>
      <c r="G239" s="433"/>
      <c r="H239" s="433"/>
    </row>
    <row r="240" spans="5:8" s="654" customFormat="1" ht="15" customHeight="1">
      <c r="E240" s="433"/>
      <c r="F240" s="433"/>
      <c r="G240" s="433"/>
      <c r="H240" s="433"/>
    </row>
    <row r="241" spans="5:8" s="654" customFormat="1" ht="15" customHeight="1">
      <c r="E241" s="433"/>
      <c r="F241" s="433"/>
      <c r="G241" s="433"/>
      <c r="H241" s="433"/>
    </row>
    <row r="242" spans="5:8" s="654" customFormat="1" ht="15" customHeight="1">
      <c r="E242" s="433"/>
      <c r="F242" s="433"/>
      <c r="G242" s="433"/>
      <c r="H242" s="433"/>
    </row>
    <row r="243" spans="5:8" s="654" customFormat="1" ht="15" customHeight="1">
      <c r="E243" s="433"/>
      <c r="F243" s="433"/>
      <c r="G243" s="433"/>
      <c r="H243" s="433"/>
    </row>
    <row r="244" spans="5:8" s="654" customFormat="1" ht="15" customHeight="1">
      <c r="E244" s="433"/>
      <c r="F244" s="433"/>
      <c r="G244" s="433"/>
      <c r="H244" s="433"/>
    </row>
    <row r="245" spans="5:8" s="654" customFormat="1" ht="15" customHeight="1">
      <c r="E245" s="433"/>
      <c r="F245" s="433"/>
      <c r="G245" s="433"/>
      <c r="H245" s="433"/>
    </row>
    <row r="246" spans="5:8" s="654" customFormat="1" ht="15" customHeight="1">
      <c r="E246" s="433"/>
      <c r="F246" s="433"/>
      <c r="G246" s="433"/>
      <c r="H246" s="433"/>
    </row>
    <row r="247" spans="5:8" s="654" customFormat="1" ht="15" customHeight="1">
      <c r="E247" s="433"/>
      <c r="F247" s="433"/>
      <c r="G247" s="433"/>
      <c r="H247" s="433"/>
    </row>
    <row r="248" spans="5:8" s="654" customFormat="1" ht="15" customHeight="1">
      <c r="E248" s="433"/>
      <c r="F248" s="433"/>
      <c r="G248" s="433"/>
      <c r="H248" s="433"/>
    </row>
    <row r="249" spans="5:8" s="654" customFormat="1" ht="15" customHeight="1">
      <c r="E249" s="433"/>
      <c r="F249" s="433"/>
      <c r="G249" s="433"/>
      <c r="H249" s="433"/>
    </row>
    <row r="250" spans="5:8" s="654" customFormat="1" ht="15" customHeight="1">
      <c r="E250" s="433"/>
      <c r="F250" s="433"/>
      <c r="G250" s="433"/>
      <c r="H250" s="433"/>
    </row>
    <row r="251" spans="5:8" s="654" customFormat="1" ht="15" customHeight="1">
      <c r="E251" s="433"/>
      <c r="F251" s="433"/>
      <c r="G251" s="433"/>
      <c r="H251" s="433"/>
    </row>
    <row r="252" spans="5:8" s="654" customFormat="1" ht="15" customHeight="1">
      <c r="E252" s="433"/>
      <c r="F252" s="433"/>
      <c r="G252" s="433"/>
      <c r="H252" s="433"/>
    </row>
    <row r="253" spans="5:8" s="654" customFormat="1" ht="15" customHeight="1">
      <c r="E253" s="433"/>
      <c r="F253" s="433"/>
      <c r="G253" s="433"/>
      <c r="H253" s="433"/>
    </row>
    <row r="254" spans="5:8" s="654" customFormat="1" ht="18" customHeight="1">
      <c r="E254" s="433"/>
      <c r="F254" s="433"/>
      <c r="G254" s="433"/>
      <c r="H254" s="433"/>
    </row>
    <row r="255" spans="5:8" s="654" customFormat="1" ht="18" customHeight="1">
      <c r="E255" s="433"/>
      <c r="F255" s="433"/>
      <c r="G255" s="433"/>
      <c r="H255" s="433"/>
    </row>
    <row r="256" spans="5:8" s="654" customFormat="1" ht="18" customHeight="1">
      <c r="E256" s="433"/>
      <c r="F256" s="433"/>
      <c r="G256" s="433"/>
      <c r="H256" s="433"/>
    </row>
    <row r="257" spans="5:8" s="654" customFormat="1" ht="18" customHeight="1">
      <c r="E257" s="433"/>
      <c r="F257" s="433"/>
      <c r="G257" s="433"/>
      <c r="H257" s="433"/>
    </row>
    <row r="258" spans="5:8" s="654" customFormat="1" ht="18" customHeight="1">
      <c r="E258" s="433"/>
      <c r="F258" s="433"/>
      <c r="G258" s="433"/>
      <c r="H258" s="433"/>
    </row>
    <row r="259" spans="5:8" s="654" customFormat="1" ht="18" customHeight="1">
      <c r="E259" s="433"/>
      <c r="F259" s="433"/>
      <c r="G259" s="433"/>
      <c r="H259" s="433"/>
    </row>
    <row r="260" spans="5:8" s="654" customFormat="1" ht="18" customHeight="1">
      <c r="E260" s="433"/>
      <c r="F260" s="433"/>
      <c r="G260" s="433"/>
      <c r="H260" s="433"/>
    </row>
    <row r="261" spans="5:8" s="654" customFormat="1" ht="18" customHeight="1">
      <c r="E261" s="433"/>
      <c r="F261" s="433"/>
      <c r="G261" s="433"/>
      <c r="H261" s="433"/>
    </row>
    <row r="262" spans="5:8" s="654" customFormat="1" ht="18" customHeight="1">
      <c r="E262" s="433"/>
      <c r="F262" s="433"/>
      <c r="G262" s="433"/>
      <c r="H262" s="433"/>
    </row>
    <row r="263" spans="5:8" s="654" customFormat="1" ht="18" customHeight="1">
      <c r="E263" s="433"/>
      <c r="F263" s="433"/>
      <c r="G263" s="433"/>
      <c r="H263" s="433"/>
    </row>
    <row r="264" spans="5:8" s="654" customFormat="1" ht="18" customHeight="1">
      <c r="E264" s="433"/>
      <c r="F264" s="433"/>
      <c r="G264" s="433"/>
      <c r="H264" s="433"/>
    </row>
    <row r="265" spans="5:8" s="654" customFormat="1" ht="18" customHeight="1">
      <c r="E265" s="433"/>
      <c r="F265" s="433"/>
      <c r="G265" s="433"/>
      <c r="H265" s="433"/>
    </row>
    <row r="266" spans="5:8" s="654" customFormat="1" ht="18" customHeight="1">
      <c r="E266" s="433"/>
      <c r="F266" s="433"/>
      <c r="G266" s="433"/>
      <c r="H266" s="433"/>
    </row>
    <row r="267" spans="5:8" s="654" customFormat="1" ht="18" customHeight="1">
      <c r="E267" s="433"/>
      <c r="F267" s="433"/>
      <c r="G267" s="433"/>
      <c r="H267" s="433"/>
    </row>
    <row r="268" spans="5:8" s="654" customFormat="1" ht="18" customHeight="1">
      <c r="E268" s="433"/>
      <c r="F268" s="433"/>
      <c r="G268" s="433"/>
      <c r="H268" s="433"/>
    </row>
    <row r="269" spans="5:8" s="654" customFormat="1" ht="18" customHeight="1">
      <c r="E269" s="433"/>
      <c r="F269" s="433"/>
      <c r="G269" s="433"/>
      <c r="H269" s="433"/>
    </row>
    <row r="270" spans="5:8" s="654" customFormat="1" ht="18" customHeight="1">
      <c r="E270" s="433"/>
      <c r="F270" s="433"/>
      <c r="G270" s="433"/>
      <c r="H270" s="433"/>
    </row>
    <row r="271" spans="5:8" s="654" customFormat="1" ht="18" customHeight="1">
      <c r="E271" s="433"/>
      <c r="F271" s="433"/>
      <c r="G271" s="433"/>
      <c r="H271" s="433"/>
    </row>
    <row r="272" spans="5:8" s="654" customFormat="1" ht="18" customHeight="1">
      <c r="E272" s="433"/>
      <c r="F272" s="433"/>
      <c r="G272" s="433"/>
      <c r="H272" s="433"/>
    </row>
    <row r="273" spans="5:8" s="654" customFormat="1" ht="18" customHeight="1">
      <c r="E273" s="433"/>
      <c r="F273" s="433"/>
      <c r="G273" s="433"/>
      <c r="H273" s="433"/>
    </row>
    <row r="274" spans="5:8" s="654" customFormat="1" ht="18" customHeight="1">
      <c r="E274" s="433"/>
      <c r="F274" s="433"/>
      <c r="G274" s="433"/>
      <c r="H274" s="433"/>
    </row>
    <row r="275" spans="5:8" s="654" customFormat="1" ht="18" customHeight="1">
      <c r="E275" s="433"/>
      <c r="F275" s="433"/>
      <c r="G275" s="433"/>
      <c r="H275" s="433"/>
    </row>
    <row r="276" spans="5:8" s="654" customFormat="1" ht="18" customHeight="1">
      <c r="E276" s="433"/>
      <c r="F276" s="433"/>
      <c r="G276" s="433"/>
      <c r="H276" s="433"/>
    </row>
    <row r="277" spans="5:8" s="654" customFormat="1" ht="18" customHeight="1">
      <c r="E277" s="433"/>
      <c r="F277" s="433"/>
      <c r="G277" s="433"/>
      <c r="H277" s="433"/>
    </row>
    <row r="278" spans="5:8" s="654" customFormat="1" ht="18" customHeight="1">
      <c r="E278" s="433"/>
      <c r="F278" s="433"/>
      <c r="G278" s="433"/>
      <c r="H278" s="433"/>
    </row>
    <row r="279" spans="5:8" s="654" customFormat="1" ht="18" customHeight="1">
      <c r="E279" s="433"/>
      <c r="F279" s="433"/>
      <c r="G279" s="433"/>
      <c r="H279" s="433"/>
    </row>
    <row r="280" spans="5:8" s="654" customFormat="1" ht="18" customHeight="1">
      <c r="E280" s="433"/>
      <c r="F280" s="433"/>
      <c r="G280" s="433"/>
      <c r="H280" s="433"/>
    </row>
    <row r="281" spans="5:8" s="654" customFormat="1" ht="18" customHeight="1">
      <c r="E281" s="433"/>
      <c r="F281" s="433"/>
      <c r="G281" s="433"/>
      <c r="H281" s="433"/>
    </row>
    <row r="282" spans="5:8" s="654" customFormat="1" ht="18" customHeight="1">
      <c r="E282" s="433"/>
      <c r="F282" s="433"/>
      <c r="G282" s="433"/>
      <c r="H282" s="433"/>
    </row>
    <row r="283" spans="5:8" s="654" customFormat="1" ht="18" customHeight="1">
      <c r="E283" s="433"/>
      <c r="F283" s="433"/>
      <c r="G283" s="433"/>
      <c r="H283" s="433"/>
    </row>
    <row r="284" spans="5:8" s="654" customFormat="1" ht="18" customHeight="1">
      <c r="E284" s="433"/>
      <c r="F284" s="433"/>
      <c r="G284" s="433"/>
      <c r="H284" s="433"/>
    </row>
    <row r="285" spans="5:8" s="654" customFormat="1" ht="18" customHeight="1">
      <c r="E285" s="433"/>
      <c r="F285" s="433"/>
      <c r="G285" s="433"/>
      <c r="H285" s="433"/>
    </row>
    <row r="286" spans="5:8" s="654" customFormat="1" ht="18" customHeight="1">
      <c r="E286" s="433"/>
      <c r="F286" s="433"/>
      <c r="G286" s="433"/>
      <c r="H286" s="433"/>
    </row>
    <row r="287" spans="5:8" s="654" customFormat="1" ht="18" customHeight="1">
      <c r="E287" s="433"/>
      <c r="F287" s="433"/>
      <c r="G287" s="433"/>
      <c r="H287" s="433"/>
    </row>
    <row r="288" spans="5:8" s="654" customFormat="1" ht="18" customHeight="1">
      <c r="E288" s="433"/>
      <c r="F288" s="433"/>
      <c r="G288" s="433"/>
      <c r="H288" s="433"/>
    </row>
    <row r="289" spans="5:8" s="654" customFormat="1" ht="18" customHeight="1">
      <c r="E289" s="433"/>
      <c r="F289" s="433"/>
      <c r="G289" s="433"/>
      <c r="H289" s="433"/>
    </row>
    <row r="290" spans="5:8" s="654" customFormat="1" ht="18" customHeight="1">
      <c r="E290" s="433"/>
      <c r="F290" s="433"/>
      <c r="G290" s="433"/>
      <c r="H290" s="433"/>
    </row>
    <row r="291" spans="5:8" s="654" customFormat="1" ht="18" customHeight="1">
      <c r="E291" s="433"/>
      <c r="F291" s="433"/>
      <c r="G291" s="433"/>
      <c r="H291" s="433"/>
    </row>
    <row r="292" spans="5:8" s="654" customFormat="1" ht="18" customHeight="1">
      <c r="E292" s="433"/>
      <c r="F292" s="433"/>
      <c r="G292" s="433"/>
      <c r="H292" s="433"/>
    </row>
    <row r="293" spans="5:8" s="654" customFormat="1" ht="18" customHeight="1">
      <c r="E293" s="433"/>
      <c r="F293" s="433"/>
      <c r="G293" s="433"/>
      <c r="H293" s="433"/>
    </row>
    <row r="294" spans="5:8" s="654" customFormat="1" ht="18" customHeight="1">
      <c r="E294" s="433"/>
      <c r="F294" s="433"/>
      <c r="G294" s="433"/>
      <c r="H294" s="433"/>
    </row>
    <row r="295" spans="5:8" s="654" customFormat="1" ht="18" customHeight="1">
      <c r="E295" s="433"/>
      <c r="F295" s="433"/>
      <c r="G295" s="433"/>
      <c r="H295" s="433"/>
    </row>
    <row r="296" spans="5:8" s="654" customFormat="1" ht="18" customHeight="1">
      <c r="E296" s="433"/>
      <c r="F296" s="433"/>
      <c r="G296" s="433"/>
      <c r="H296" s="433"/>
    </row>
    <row r="297" spans="5:8" s="654" customFormat="1" ht="18" customHeight="1">
      <c r="E297" s="433"/>
      <c r="F297" s="433"/>
      <c r="G297" s="433"/>
      <c r="H297" s="433"/>
    </row>
    <row r="298" spans="5:8" s="654" customFormat="1" ht="18" customHeight="1">
      <c r="E298" s="433"/>
      <c r="F298" s="433"/>
      <c r="G298" s="433"/>
      <c r="H298" s="433"/>
    </row>
    <row r="299" spans="5:8" s="654" customFormat="1" ht="18" customHeight="1">
      <c r="E299" s="433"/>
      <c r="F299" s="433"/>
      <c r="G299" s="433"/>
      <c r="H299" s="433"/>
    </row>
    <row r="300" spans="5:8" s="654" customFormat="1" ht="18" customHeight="1">
      <c r="E300" s="433"/>
      <c r="F300" s="433"/>
      <c r="G300" s="433"/>
      <c r="H300" s="433"/>
    </row>
    <row r="301" spans="5:8" s="654" customFormat="1" ht="18" customHeight="1">
      <c r="E301" s="433"/>
      <c r="F301" s="433"/>
      <c r="G301" s="433"/>
      <c r="H301" s="433"/>
    </row>
    <row r="302" spans="5:8" s="654" customFormat="1" ht="18" customHeight="1">
      <c r="E302" s="433"/>
      <c r="F302" s="433"/>
      <c r="G302" s="433"/>
      <c r="H302" s="433"/>
    </row>
    <row r="303" spans="5:8" s="654" customFormat="1" ht="18" customHeight="1">
      <c r="E303" s="433"/>
      <c r="F303" s="433"/>
      <c r="G303" s="433"/>
      <c r="H303" s="433"/>
    </row>
    <row r="304" spans="5:8" s="654" customFormat="1" ht="18" customHeight="1">
      <c r="E304" s="433"/>
      <c r="F304" s="433"/>
      <c r="G304" s="433"/>
      <c r="H304" s="433"/>
    </row>
    <row r="305" spans="5:8" s="654" customFormat="1" ht="18" customHeight="1">
      <c r="E305" s="433"/>
      <c r="F305" s="433"/>
      <c r="G305" s="433"/>
      <c r="H305" s="433"/>
    </row>
    <row r="306" spans="5:8" s="654" customFormat="1" ht="18" customHeight="1">
      <c r="E306" s="433"/>
      <c r="F306" s="433"/>
      <c r="G306" s="433"/>
      <c r="H306" s="433"/>
    </row>
    <row r="307" spans="5:8" s="654" customFormat="1" ht="18" customHeight="1">
      <c r="E307" s="433"/>
      <c r="F307" s="433"/>
      <c r="G307" s="433"/>
      <c r="H307" s="433"/>
    </row>
    <row r="308" spans="5:8" s="654" customFormat="1" ht="18" customHeight="1">
      <c r="E308" s="433"/>
      <c r="F308" s="433"/>
      <c r="G308" s="433"/>
      <c r="H308" s="433"/>
    </row>
    <row r="309" spans="5:8" s="654" customFormat="1" ht="18" customHeight="1">
      <c r="E309" s="433"/>
      <c r="F309" s="433"/>
      <c r="G309" s="433"/>
      <c r="H309" s="433"/>
    </row>
    <row r="310" spans="5:8" s="654" customFormat="1" ht="18" customHeight="1">
      <c r="E310" s="433"/>
      <c r="F310" s="433"/>
      <c r="G310" s="433"/>
      <c r="H310" s="433"/>
    </row>
    <row r="311" spans="5:8" s="654" customFormat="1" ht="18" customHeight="1">
      <c r="E311" s="433"/>
      <c r="F311" s="433"/>
      <c r="G311" s="433"/>
      <c r="H311" s="433"/>
    </row>
    <row r="312" spans="5:8" s="654" customFormat="1" ht="18" customHeight="1">
      <c r="E312" s="433"/>
      <c r="F312" s="433"/>
      <c r="G312" s="433"/>
      <c r="H312" s="433"/>
    </row>
    <row r="313" spans="5:8" s="654" customFormat="1" ht="18" customHeight="1">
      <c r="E313" s="433"/>
      <c r="F313" s="433"/>
      <c r="G313" s="433"/>
      <c r="H313" s="433"/>
    </row>
    <row r="314" spans="5:8" s="654" customFormat="1" ht="18" customHeight="1">
      <c r="E314" s="433"/>
      <c r="F314" s="433"/>
      <c r="G314" s="433"/>
      <c r="H314" s="433"/>
    </row>
    <row r="315" spans="5:8" s="654" customFormat="1" ht="18" customHeight="1">
      <c r="E315" s="433"/>
      <c r="F315" s="433"/>
      <c r="G315" s="433"/>
      <c r="H315" s="433"/>
    </row>
    <row r="316" spans="5:8" s="654" customFormat="1" ht="18" customHeight="1">
      <c r="E316" s="433"/>
      <c r="F316" s="433"/>
      <c r="G316" s="433"/>
      <c r="H316" s="433"/>
    </row>
    <row r="317" spans="5:8" s="654" customFormat="1" ht="18" customHeight="1">
      <c r="E317" s="433"/>
      <c r="F317" s="433"/>
      <c r="G317" s="433"/>
      <c r="H317" s="433"/>
    </row>
    <row r="318" spans="5:8" s="654" customFormat="1" ht="18" customHeight="1">
      <c r="E318" s="433"/>
      <c r="F318" s="433"/>
      <c r="G318" s="433"/>
      <c r="H318" s="433"/>
    </row>
    <row r="319" spans="5:8" s="654" customFormat="1" ht="18" customHeight="1">
      <c r="E319" s="433"/>
      <c r="F319" s="433"/>
      <c r="G319" s="433"/>
      <c r="H319" s="433"/>
    </row>
    <row r="320" spans="5:8" s="654" customFormat="1" ht="18" customHeight="1">
      <c r="E320" s="433"/>
      <c r="F320" s="433"/>
      <c r="G320" s="433"/>
      <c r="H320" s="433"/>
    </row>
    <row r="321" spans="5:8" s="654" customFormat="1" ht="18" customHeight="1">
      <c r="E321" s="433"/>
      <c r="F321" s="433"/>
      <c r="G321" s="433"/>
      <c r="H321" s="433"/>
    </row>
    <row r="322" spans="5:8" s="654" customFormat="1" ht="18" customHeight="1">
      <c r="E322" s="433"/>
      <c r="F322" s="433"/>
      <c r="G322" s="433"/>
      <c r="H322" s="433"/>
    </row>
    <row r="323" spans="5:8" s="654" customFormat="1" ht="18" customHeight="1">
      <c r="E323" s="433"/>
      <c r="F323" s="433"/>
      <c r="G323" s="433"/>
      <c r="H323" s="433"/>
    </row>
    <row r="324" spans="5:8" s="654" customFormat="1" ht="18" customHeight="1">
      <c r="E324" s="433"/>
      <c r="F324" s="433"/>
      <c r="G324" s="433"/>
      <c r="H324" s="433"/>
    </row>
    <row r="325" spans="5:8" s="654" customFormat="1" ht="18" customHeight="1">
      <c r="E325" s="433"/>
      <c r="F325" s="433"/>
      <c r="G325" s="433"/>
      <c r="H325" s="433"/>
    </row>
    <row r="326" spans="5:8" s="654" customFormat="1" ht="18" customHeight="1">
      <c r="E326" s="433"/>
      <c r="F326" s="433"/>
      <c r="G326" s="433"/>
      <c r="H326" s="433"/>
    </row>
    <row r="327" spans="5:8" s="654" customFormat="1" ht="18" customHeight="1">
      <c r="E327" s="433"/>
      <c r="F327" s="433"/>
      <c r="G327" s="433"/>
      <c r="H327" s="433"/>
    </row>
    <row r="328" spans="5:8" s="654" customFormat="1" ht="18" customHeight="1">
      <c r="E328" s="433"/>
      <c r="F328" s="433"/>
      <c r="G328" s="433"/>
      <c r="H328" s="433"/>
    </row>
    <row r="329" spans="5:8" s="654" customFormat="1" ht="18" customHeight="1">
      <c r="E329" s="433"/>
      <c r="F329" s="433"/>
      <c r="G329" s="433"/>
      <c r="H329" s="433"/>
    </row>
    <row r="330" spans="5:8" s="654" customFormat="1" ht="18" customHeight="1">
      <c r="E330" s="433"/>
      <c r="F330" s="433"/>
      <c r="G330" s="433"/>
      <c r="H330" s="433"/>
    </row>
    <row r="331" spans="5:8" s="654" customFormat="1" ht="18" customHeight="1">
      <c r="E331" s="433"/>
      <c r="F331" s="433"/>
      <c r="G331" s="433"/>
      <c r="H331" s="433"/>
    </row>
    <row r="332" spans="5:8" s="654" customFormat="1" ht="18" customHeight="1">
      <c r="E332" s="433"/>
      <c r="F332" s="433"/>
      <c r="G332" s="433"/>
      <c r="H332" s="433"/>
    </row>
    <row r="333" spans="5:8" s="654" customFormat="1" ht="18" customHeight="1">
      <c r="E333" s="433"/>
      <c r="F333" s="433"/>
      <c r="G333" s="433"/>
      <c r="H333" s="433"/>
    </row>
    <row r="334" spans="5:8" s="654" customFormat="1" ht="18" customHeight="1">
      <c r="E334" s="433"/>
      <c r="F334" s="433"/>
      <c r="G334" s="433"/>
      <c r="H334" s="433"/>
    </row>
    <row r="335" spans="5:8" s="654" customFormat="1" ht="18" customHeight="1">
      <c r="E335" s="433"/>
      <c r="F335" s="433"/>
      <c r="G335" s="433"/>
      <c r="H335" s="433"/>
    </row>
    <row r="336" spans="5:8" s="654" customFormat="1" ht="18" customHeight="1">
      <c r="E336" s="433"/>
      <c r="F336" s="433"/>
      <c r="G336" s="433"/>
      <c r="H336" s="433"/>
    </row>
    <row r="337" spans="5:8" s="654" customFormat="1" ht="18" customHeight="1">
      <c r="E337" s="433"/>
      <c r="F337" s="433"/>
      <c r="G337" s="433"/>
      <c r="H337" s="433"/>
    </row>
    <row r="338" spans="5:8" s="654" customFormat="1" ht="18" customHeight="1">
      <c r="E338" s="433"/>
      <c r="F338" s="433"/>
      <c r="G338" s="433"/>
      <c r="H338" s="433"/>
    </row>
    <row r="339" spans="5:8" s="654" customFormat="1" ht="18" customHeight="1">
      <c r="E339" s="433"/>
      <c r="F339" s="433"/>
      <c r="G339" s="433"/>
      <c r="H339" s="433"/>
    </row>
    <row r="340" spans="5:8" s="654" customFormat="1" ht="18" customHeight="1">
      <c r="E340" s="433"/>
      <c r="F340" s="433"/>
      <c r="G340" s="433"/>
      <c r="H340" s="433"/>
    </row>
    <row r="341" spans="5:8" s="654" customFormat="1" ht="18" customHeight="1">
      <c r="E341" s="433"/>
      <c r="F341" s="433"/>
      <c r="G341" s="433"/>
      <c r="H341" s="433"/>
    </row>
    <row r="342" spans="5:8" s="654" customFormat="1" ht="18" customHeight="1">
      <c r="E342" s="433"/>
      <c r="F342" s="433"/>
      <c r="G342" s="433"/>
      <c r="H342" s="433"/>
    </row>
    <row r="343" spans="5:8" s="654" customFormat="1" ht="18" customHeight="1">
      <c r="E343" s="433"/>
      <c r="F343" s="433"/>
      <c r="G343" s="433"/>
      <c r="H343" s="433"/>
    </row>
    <row r="344" spans="5:8" s="654" customFormat="1" ht="18" customHeight="1">
      <c r="E344" s="433"/>
      <c r="F344" s="433"/>
      <c r="G344" s="433"/>
      <c r="H344" s="433"/>
    </row>
    <row r="345" spans="5:8" s="654" customFormat="1" ht="18" customHeight="1">
      <c r="E345" s="433"/>
      <c r="F345" s="433"/>
      <c r="G345" s="433"/>
      <c r="H345" s="433"/>
    </row>
    <row r="346" spans="5:8" s="654" customFormat="1" ht="18" customHeight="1">
      <c r="E346" s="433"/>
      <c r="F346" s="433"/>
      <c r="G346" s="433"/>
      <c r="H346" s="433"/>
    </row>
    <row r="347" spans="5:8" s="654" customFormat="1" ht="18" customHeight="1">
      <c r="E347" s="433"/>
      <c r="F347" s="433"/>
      <c r="G347" s="433"/>
      <c r="H347" s="433"/>
    </row>
    <row r="348" spans="5:8" s="654" customFormat="1" ht="18" customHeight="1">
      <c r="E348" s="433"/>
      <c r="F348" s="433"/>
      <c r="G348" s="433"/>
      <c r="H348" s="433"/>
    </row>
    <row r="349" spans="5:8" s="654" customFormat="1" ht="18" customHeight="1">
      <c r="E349" s="433"/>
      <c r="F349" s="433"/>
      <c r="G349" s="433"/>
      <c r="H349" s="433"/>
    </row>
    <row r="350" spans="5:8" s="654" customFormat="1" ht="18" customHeight="1">
      <c r="E350" s="433"/>
      <c r="F350" s="433"/>
      <c r="G350" s="433"/>
      <c r="H350" s="433"/>
    </row>
    <row r="351" spans="5:8" s="654" customFormat="1" ht="18" customHeight="1">
      <c r="E351" s="433"/>
      <c r="F351" s="433"/>
      <c r="G351" s="433"/>
      <c r="H351" s="433"/>
    </row>
    <row r="352" spans="5:8" s="654" customFormat="1" ht="18" customHeight="1">
      <c r="E352" s="433"/>
      <c r="F352" s="433"/>
      <c r="G352" s="433"/>
      <c r="H352" s="433"/>
    </row>
    <row r="353" spans="5:8" s="654" customFormat="1" ht="18" customHeight="1">
      <c r="E353" s="433"/>
      <c r="F353" s="433"/>
      <c r="G353" s="433"/>
      <c r="H353" s="433"/>
    </row>
    <row r="354" spans="5:8" s="654" customFormat="1" ht="18" customHeight="1">
      <c r="E354" s="433"/>
      <c r="F354" s="433"/>
      <c r="G354" s="433"/>
      <c r="H354" s="433"/>
    </row>
    <row r="355" spans="5:8" s="654" customFormat="1" ht="18" customHeight="1">
      <c r="E355" s="433"/>
      <c r="F355" s="433"/>
      <c r="G355" s="433"/>
      <c r="H355" s="433"/>
    </row>
    <row r="356" spans="5:8" s="654" customFormat="1" ht="18" customHeight="1">
      <c r="E356" s="433"/>
      <c r="F356" s="433"/>
      <c r="G356" s="433"/>
      <c r="H356" s="433"/>
    </row>
    <row r="357" spans="5:8" s="654" customFormat="1" ht="18" customHeight="1">
      <c r="E357" s="433"/>
      <c r="F357" s="433"/>
      <c r="G357" s="433"/>
      <c r="H357" s="433"/>
    </row>
    <row r="358" spans="5:8" s="654" customFormat="1" ht="18" customHeight="1">
      <c r="E358" s="433"/>
      <c r="F358" s="433"/>
      <c r="G358" s="433"/>
      <c r="H358" s="433"/>
    </row>
    <row r="359" spans="5:8" s="654" customFormat="1" ht="18" customHeight="1">
      <c r="E359" s="433"/>
      <c r="F359" s="433"/>
      <c r="G359" s="433"/>
      <c r="H359" s="433"/>
    </row>
    <row r="360" spans="5:8" s="654" customFormat="1" ht="18" customHeight="1">
      <c r="E360" s="433"/>
      <c r="F360" s="433"/>
      <c r="G360" s="433"/>
      <c r="H360" s="433"/>
    </row>
    <row r="361" spans="5:8" s="654" customFormat="1" ht="18" customHeight="1">
      <c r="E361" s="433"/>
      <c r="F361" s="433"/>
      <c r="G361" s="433"/>
      <c r="H361" s="433"/>
    </row>
    <row r="362" spans="5:8" s="654" customFormat="1" ht="18" customHeight="1">
      <c r="E362" s="433"/>
      <c r="F362" s="433"/>
      <c r="G362" s="433"/>
      <c r="H362" s="433"/>
    </row>
    <row r="363" spans="5:8" s="654" customFormat="1" ht="18" customHeight="1">
      <c r="E363" s="433"/>
      <c r="F363" s="433"/>
      <c r="G363" s="433"/>
      <c r="H363" s="433"/>
    </row>
    <row r="364" spans="5:8" s="654" customFormat="1" ht="18" customHeight="1">
      <c r="E364" s="433"/>
      <c r="F364" s="433"/>
      <c r="G364" s="433"/>
      <c r="H364" s="433"/>
    </row>
    <row r="365" spans="5:8" s="654" customFormat="1" ht="18" customHeight="1">
      <c r="E365" s="433"/>
      <c r="F365" s="433"/>
      <c r="G365" s="433"/>
      <c r="H365" s="433"/>
    </row>
    <row r="366" spans="5:8" s="654" customFormat="1" ht="18" customHeight="1">
      <c r="E366" s="433"/>
      <c r="F366" s="433"/>
      <c r="G366" s="433"/>
      <c r="H366" s="433"/>
    </row>
    <row r="367" spans="5:8" s="654" customFormat="1" ht="18" customHeight="1">
      <c r="E367" s="433"/>
      <c r="F367" s="433"/>
      <c r="G367" s="433"/>
      <c r="H367" s="433"/>
    </row>
    <row r="368" spans="5:8" s="654" customFormat="1" ht="18" customHeight="1">
      <c r="E368" s="433"/>
      <c r="F368" s="433"/>
      <c r="G368" s="433"/>
      <c r="H368" s="433"/>
    </row>
    <row r="369" spans="5:8" s="654" customFormat="1" ht="18" customHeight="1">
      <c r="E369" s="433"/>
      <c r="F369" s="433"/>
      <c r="G369" s="433"/>
      <c r="H369" s="433"/>
    </row>
    <row r="370" spans="5:8" s="654" customFormat="1" ht="18" customHeight="1">
      <c r="E370" s="433"/>
      <c r="F370" s="433"/>
      <c r="G370" s="433"/>
      <c r="H370" s="433"/>
    </row>
    <row r="371" spans="5:8" s="654" customFormat="1" ht="18" customHeight="1">
      <c r="E371" s="433"/>
      <c r="F371" s="433"/>
      <c r="G371" s="433"/>
      <c r="H371" s="433"/>
    </row>
    <row r="372" spans="5:8" s="654" customFormat="1" ht="18" customHeight="1">
      <c r="E372" s="433"/>
      <c r="F372" s="433"/>
      <c r="G372" s="433"/>
      <c r="H372" s="433"/>
    </row>
    <row r="373" spans="5:8" s="654" customFormat="1" ht="18" customHeight="1">
      <c r="E373" s="433"/>
      <c r="F373" s="433"/>
      <c r="G373" s="433"/>
      <c r="H373" s="433"/>
    </row>
    <row r="374" spans="5:8" s="654" customFormat="1" ht="18" customHeight="1">
      <c r="E374" s="433"/>
      <c r="F374" s="433"/>
      <c r="G374" s="433"/>
      <c r="H374" s="433"/>
    </row>
    <row r="375" spans="5:8" s="654" customFormat="1" ht="18" customHeight="1">
      <c r="E375" s="433"/>
      <c r="F375" s="433"/>
      <c r="G375" s="433"/>
      <c r="H375" s="433"/>
    </row>
    <row r="376" spans="5:8" s="654" customFormat="1" ht="18" customHeight="1">
      <c r="E376" s="433"/>
      <c r="F376" s="433"/>
      <c r="G376" s="433"/>
      <c r="H376" s="433"/>
    </row>
    <row r="377" spans="5:8" s="654" customFormat="1" ht="18" customHeight="1">
      <c r="E377" s="433"/>
      <c r="F377" s="433"/>
      <c r="G377" s="433"/>
      <c r="H377" s="433"/>
    </row>
    <row r="378" spans="5:8" s="654" customFormat="1" ht="18" customHeight="1">
      <c r="E378" s="433"/>
      <c r="F378" s="433"/>
      <c r="G378" s="433"/>
      <c r="H378" s="433"/>
    </row>
    <row r="379" spans="5:8" s="654" customFormat="1" ht="18" customHeight="1">
      <c r="E379" s="433"/>
      <c r="F379" s="433"/>
      <c r="G379" s="433"/>
      <c r="H379" s="433"/>
    </row>
    <row r="380" spans="5:8" s="654" customFormat="1" ht="18" customHeight="1">
      <c r="E380" s="433"/>
      <c r="F380" s="433"/>
      <c r="G380" s="433"/>
      <c r="H380" s="433"/>
    </row>
    <row r="381" spans="5:8" s="654" customFormat="1" ht="18" customHeight="1">
      <c r="E381" s="433"/>
      <c r="F381" s="433"/>
      <c r="G381" s="433"/>
      <c r="H381" s="433"/>
    </row>
    <row r="382" spans="5:8" s="654" customFormat="1" ht="18" customHeight="1">
      <c r="E382" s="433"/>
      <c r="F382" s="433"/>
      <c r="G382" s="433"/>
      <c r="H382" s="433"/>
    </row>
    <row r="383" spans="5:8" s="654" customFormat="1" ht="18" customHeight="1">
      <c r="E383" s="433"/>
      <c r="F383" s="433"/>
      <c r="G383" s="433"/>
      <c r="H383" s="433"/>
    </row>
    <row r="384" spans="5:8" s="654" customFormat="1" ht="18" customHeight="1">
      <c r="E384" s="433"/>
      <c r="F384" s="433"/>
      <c r="G384" s="433"/>
      <c r="H384" s="433"/>
    </row>
    <row r="385" spans="5:8" s="654" customFormat="1" ht="18" customHeight="1">
      <c r="E385" s="433"/>
      <c r="F385" s="433"/>
      <c r="G385" s="433"/>
      <c r="H385" s="433"/>
    </row>
    <row r="386" spans="5:8" s="654" customFormat="1" ht="18" customHeight="1">
      <c r="E386" s="433"/>
      <c r="F386" s="433"/>
      <c r="G386" s="433"/>
      <c r="H386" s="433"/>
    </row>
    <row r="387" spans="5:8" s="654" customFormat="1" ht="18" customHeight="1">
      <c r="E387" s="433"/>
      <c r="F387" s="433"/>
      <c r="G387" s="433"/>
      <c r="H387" s="433"/>
    </row>
    <row r="388" spans="5:8" s="654" customFormat="1" ht="18" customHeight="1">
      <c r="E388" s="433"/>
      <c r="F388" s="433"/>
      <c r="G388" s="433"/>
      <c r="H388" s="433"/>
    </row>
    <row r="389" spans="5:8" s="654" customFormat="1" ht="18" customHeight="1">
      <c r="E389" s="433"/>
      <c r="F389" s="433"/>
      <c r="G389" s="433"/>
      <c r="H389" s="433"/>
    </row>
    <row r="390" spans="5:8" s="654" customFormat="1" ht="18" customHeight="1">
      <c r="E390" s="433"/>
      <c r="F390" s="433"/>
      <c r="G390" s="433"/>
      <c r="H390" s="433"/>
    </row>
    <row r="391" spans="5:8" s="654" customFormat="1" ht="18" customHeight="1">
      <c r="E391" s="433"/>
      <c r="F391" s="433"/>
      <c r="G391" s="433"/>
      <c r="H391" s="433"/>
    </row>
    <row r="392" spans="5:8" s="654" customFormat="1" ht="18" customHeight="1">
      <c r="E392" s="433"/>
      <c r="F392" s="433"/>
      <c r="G392" s="433"/>
      <c r="H392" s="433"/>
    </row>
    <row r="393" spans="5:8" s="654" customFormat="1" ht="18" customHeight="1">
      <c r="E393" s="433"/>
      <c r="F393" s="433"/>
      <c r="G393" s="433"/>
      <c r="H393" s="433"/>
    </row>
    <row r="394" spans="5:8" s="654" customFormat="1" ht="18" customHeight="1">
      <c r="E394" s="433"/>
      <c r="F394" s="433"/>
      <c r="G394" s="433"/>
      <c r="H394" s="433"/>
    </row>
    <row r="395" spans="5:8" s="654" customFormat="1" ht="18" customHeight="1">
      <c r="E395" s="433"/>
      <c r="F395" s="433"/>
      <c r="G395" s="433"/>
      <c r="H395" s="433"/>
    </row>
    <row r="396" spans="5:8" s="654" customFormat="1" ht="18" customHeight="1">
      <c r="E396" s="433"/>
      <c r="F396" s="433"/>
      <c r="G396" s="433"/>
      <c r="H396" s="433"/>
    </row>
    <row r="397" spans="5:8" s="654" customFormat="1" ht="18" customHeight="1">
      <c r="E397" s="433"/>
      <c r="F397" s="433"/>
      <c r="G397" s="433"/>
      <c r="H397" s="433"/>
    </row>
    <row r="398" spans="5:8" s="654" customFormat="1" ht="18" customHeight="1">
      <c r="E398" s="433"/>
      <c r="F398" s="433"/>
      <c r="G398" s="433"/>
      <c r="H398" s="433"/>
    </row>
  </sheetData>
  <mergeCells count="3">
    <mergeCell ref="B2:C2"/>
    <mergeCell ref="D2:D3"/>
    <mergeCell ref="E2:H2"/>
  </mergeCells>
  <phoneticPr fontId="2" type="noConversion"/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zoomScale="90" zoomScaleNormal="90" workbookViewId="0">
      <selection activeCell="O33" sqref="O33"/>
    </sheetView>
  </sheetViews>
  <sheetFormatPr defaultRowHeight="13.5"/>
  <cols>
    <col min="1" max="1" width="10.875" style="722" bestFit="1" customWidth="1"/>
    <col min="2" max="2" width="4.75" style="722" bestFit="1" customWidth="1"/>
    <col min="3" max="5" width="14.625" style="796" customWidth="1"/>
    <col min="6" max="6" width="14.625" style="722" customWidth="1"/>
    <col min="7" max="7" width="1.625" style="722" customWidth="1"/>
    <col min="8" max="8" width="14.625" style="796" customWidth="1"/>
    <col min="9" max="10" width="14.625" style="722" customWidth="1"/>
    <col min="11" max="11" width="1.625" style="722" customWidth="1"/>
    <col min="12" max="12" width="18.25" style="796" customWidth="1"/>
    <col min="13" max="13" width="2.875" style="722" customWidth="1"/>
    <col min="14" max="14" width="15.625" style="722" bestFit="1" customWidth="1"/>
    <col min="15" max="15" width="15.75" style="722" bestFit="1" customWidth="1"/>
    <col min="16" max="16" width="15.625" style="722" bestFit="1" customWidth="1"/>
    <col min="17" max="17" width="15.75" style="722" bestFit="1" customWidth="1"/>
    <col min="18" max="18" width="16.125" style="722" customWidth="1"/>
    <col min="19" max="256" width="9" style="722"/>
    <col min="257" max="257" width="10.875" style="722" bestFit="1" customWidth="1"/>
    <col min="258" max="258" width="4.75" style="722" bestFit="1" customWidth="1"/>
    <col min="259" max="262" width="14.625" style="722" customWidth="1"/>
    <col min="263" max="263" width="1.625" style="722" customWidth="1"/>
    <col min="264" max="266" width="14.625" style="722" customWidth="1"/>
    <col min="267" max="267" width="1.625" style="722" customWidth="1"/>
    <col min="268" max="268" width="18.25" style="722" customWidth="1"/>
    <col min="269" max="269" width="2.875" style="722" customWidth="1"/>
    <col min="270" max="270" width="15.625" style="722" bestFit="1" customWidth="1"/>
    <col min="271" max="271" width="15.75" style="722" bestFit="1" customWidth="1"/>
    <col min="272" max="272" width="15.625" style="722" bestFit="1" customWidth="1"/>
    <col min="273" max="273" width="15.75" style="722" bestFit="1" customWidth="1"/>
    <col min="274" max="274" width="16.125" style="722" customWidth="1"/>
    <col min="275" max="512" width="9" style="722"/>
    <col min="513" max="513" width="10.875" style="722" bestFit="1" customWidth="1"/>
    <col min="514" max="514" width="4.75" style="722" bestFit="1" customWidth="1"/>
    <col min="515" max="518" width="14.625" style="722" customWidth="1"/>
    <col min="519" max="519" width="1.625" style="722" customWidth="1"/>
    <col min="520" max="522" width="14.625" style="722" customWidth="1"/>
    <col min="523" max="523" width="1.625" style="722" customWidth="1"/>
    <col min="524" max="524" width="18.25" style="722" customWidth="1"/>
    <col min="525" max="525" width="2.875" style="722" customWidth="1"/>
    <col min="526" max="526" width="15.625" style="722" bestFit="1" customWidth="1"/>
    <col min="527" max="527" width="15.75" style="722" bestFit="1" customWidth="1"/>
    <col min="528" max="528" width="15.625" style="722" bestFit="1" customWidth="1"/>
    <col min="529" max="529" width="15.75" style="722" bestFit="1" customWidth="1"/>
    <col min="530" max="530" width="16.125" style="722" customWidth="1"/>
    <col min="531" max="768" width="9" style="722"/>
    <col min="769" max="769" width="10.875" style="722" bestFit="1" customWidth="1"/>
    <col min="770" max="770" width="4.75" style="722" bestFit="1" customWidth="1"/>
    <col min="771" max="774" width="14.625" style="722" customWidth="1"/>
    <col min="775" max="775" width="1.625" style="722" customWidth="1"/>
    <col min="776" max="778" width="14.625" style="722" customWidth="1"/>
    <col min="779" max="779" width="1.625" style="722" customWidth="1"/>
    <col min="780" max="780" width="18.25" style="722" customWidth="1"/>
    <col min="781" max="781" width="2.875" style="722" customWidth="1"/>
    <col min="782" max="782" width="15.625" style="722" bestFit="1" customWidth="1"/>
    <col min="783" max="783" width="15.75" style="722" bestFit="1" customWidth="1"/>
    <col min="784" max="784" width="15.625" style="722" bestFit="1" customWidth="1"/>
    <col min="785" max="785" width="15.75" style="722" bestFit="1" customWidth="1"/>
    <col min="786" max="786" width="16.125" style="722" customWidth="1"/>
    <col min="787" max="1024" width="9" style="722"/>
    <col min="1025" max="1025" width="10.875" style="722" bestFit="1" customWidth="1"/>
    <col min="1026" max="1026" width="4.75" style="722" bestFit="1" customWidth="1"/>
    <col min="1027" max="1030" width="14.625" style="722" customWidth="1"/>
    <col min="1031" max="1031" width="1.625" style="722" customWidth="1"/>
    <col min="1032" max="1034" width="14.625" style="722" customWidth="1"/>
    <col min="1035" max="1035" width="1.625" style="722" customWidth="1"/>
    <col min="1036" max="1036" width="18.25" style="722" customWidth="1"/>
    <col min="1037" max="1037" width="2.875" style="722" customWidth="1"/>
    <col min="1038" max="1038" width="15.625" style="722" bestFit="1" customWidth="1"/>
    <col min="1039" max="1039" width="15.75" style="722" bestFit="1" customWidth="1"/>
    <col min="1040" max="1040" width="15.625" style="722" bestFit="1" customWidth="1"/>
    <col min="1041" max="1041" width="15.75" style="722" bestFit="1" customWidth="1"/>
    <col min="1042" max="1042" width="16.125" style="722" customWidth="1"/>
    <col min="1043" max="1280" width="9" style="722"/>
    <col min="1281" max="1281" width="10.875" style="722" bestFit="1" customWidth="1"/>
    <col min="1282" max="1282" width="4.75" style="722" bestFit="1" customWidth="1"/>
    <col min="1283" max="1286" width="14.625" style="722" customWidth="1"/>
    <col min="1287" max="1287" width="1.625" style="722" customWidth="1"/>
    <col min="1288" max="1290" width="14.625" style="722" customWidth="1"/>
    <col min="1291" max="1291" width="1.625" style="722" customWidth="1"/>
    <col min="1292" max="1292" width="18.25" style="722" customWidth="1"/>
    <col min="1293" max="1293" width="2.875" style="722" customWidth="1"/>
    <col min="1294" max="1294" width="15.625" style="722" bestFit="1" customWidth="1"/>
    <col min="1295" max="1295" width="15.75" style="722" bestFit="1" customWidth="1"/>
    <col min="1296" max="1296" width="15.625" style="722" bestFit="1" customWidth="1"/>
    <col min="1297" max="1297" width="15.75" style="722" bestFit="1" customWidth="1"/>
    <col min="1298" max="1298" width="16.125" style="722" customWidth="1"/>
    <col min="1299" max="1536" width="9" style="722"/>
    <col min="1537" max="1537" width="10.875" style="722" bestFit="1" customWidth="1"/>
    <col min="1538" max="1538" width="4.75" style="722" bestFit="1" customWidth="1"/>
    <col min="1539" max="1542" width="14.625" style="722" customWidth="1"/>
    <col min="1543" max="1543" width="1.625" style="722" customWidth="1"/>
    <col min="1544" max="1546" width="14.625" style="722" customWidth="1"/>
    <col min="1547" max="1547" width="1.625" style="722" customWidth="1"/>
    <col min="1548" max="1548" width="18.25" style="722" customWidth="1"/>
    <col min="1549" max="1549" width="2.875" style="722" customWidth="1"/>
    <col min="1550" max="1550" width="15.625" style="722" bestFit="1" customWidth="1"/>
    <col min="1551" max="1551" width="15.75" style="722" bestFit="1" customWidth="1"/>
    <col min="1552" max="1552" width="15.625" style="722" bestFit="1" customWidth="1"/>
    <col min="1553" max="1553" width="15.75" style="722" bestFit="1" customWidth="1"/>
    <col min="1554" max="1554" width="16.125" style="722" customWidth="1"/>
    <col min="1555" max="1792" width="9" style="722"/>
    <col min="1793" max="1793" width="10.875" style="722" bestFit="1" customWidth="1"/>
    <col min="1794" max="1794" width="4.75" style="722" bestFit="1" customWidth="1"/>
    <col min="1795" max="1798" width="14.625" style="722" customWidth="1"/>
    <col min="1799" max="1799" width="1.625" style="722" customWidth="1"/>
    <col min="1800" max="1802" width="14.625" style="722" customWidth="1"/>
    <col min="1803" max="1803" width="1.625" style="722" customWidth="1"/>
    <col min="1804" max="1804" width="18.25" style="722" customWidth="1"/>
    <col min="1805" max="1805" width="2.875" style="722" customWidth="1"/>
    <col min="1806" max="1806" width="15.625" style="722" bestFit="1" customWidth="1"/>
    <col min="1807" max="1807" width="15.75" style="722" bestFit="1" customWidth="1"/>
    <col min="1808" max="1808" width="15.625" style="722" bestFit="1" customWidth="1"/>
    <col min="1809" max="1809" width="15.75" style="722" bestFit="1" customWidth="1"/>
    <col min="1810" max="1810" width="16.125" style="722" customWidth="1"/>
    <col min="1811" max="2048" width="9" style="722"/>
    <col min="2049" max="2049" width="10.875" style="722" bestFit="1" customWidth="1"/>
    <col min="2050" max="2050" width="4.75" style="722" bestFit="1" customWidth="1"/>
    <col min="2051" max="2054" width="14.625" style="722" customWidth="1"/>
    <col min="2055" max="2055" width="1.625" style="722" customWidth="1"/>
    <col min="2056" max="2058" width="14.625" style="722" customWidth="1"/>
    <col min="2059" max="2059" width="1.625" style="722" customWidth="1"/>
    <col min="2060" max="2060" width="18.25" style="722" customWidth="1"/>
    <col min="2061" max="2061" width="2.875" style="722" customWidth="1"/>
    <col min="2062" max="2062" width="15.625" style="722" bestFit="1" customWidth="1"/>
    <col min="2063" max="2063" width="15.75" style="722" bestFit="1" customWidth="1"/>
    <col min="2064" max="2064" width="15.625" style="722" bestFit="1" customWidth="1"/>
    <col min="2065" max="2065" width="15.75" style="722" bestFit="1" customWidth="1"/>
    <col min="2066" max="2066" width="16.125" style="722" customWidth="1"/>
    <col min="2067" max="2304" width="9" style="722"/>
    <col min="2305" max="2305" width="10.875" style="722" bestFit="1" customWidth="1"/>
    <col min="2306" max="2306" width="4.75" style="722" bestFit="1" customWidth="1"/>
    <col min="2307" max="2310" width="14.625" style="722" customWidth="1"/>
    <col min="2311" max="2311" width="1.625" style="722" customWidth="1"/>
    <col min="2312" max="2314" width="14.625" style="722" customWidth="1"/>
    <col min="2315" max="2315" width="1.625" style="722" customWidth="1"/>
    <col min="2316" max="2316" width="18.25" style="722" customWidth="1"/>
    <col min="2317" max="2317" width="2.875" style="722" customWidth="1"/>
    <col min="2318" max="2318" width="15.625" style="722" bestFit="1" customWidth="1"/>
    <col min="2319" max="2319" width="15.75" style="722" bestFit="1" customWidth="1"/>
    <col min="2320" max="2320" width="15.625" style="722" bestFit="1" customWidth="1"/>
    <col min="2321" max="2321" width="15.75" style="722" bestFit="1" customWidth="1"/>
    <col min="2322" max="2322" width="16.125" style="722" customWidth="1"/>
    <col min="2323" max="2560" width="9" style="722"/>
    <col min="2561" max="2561" width="10.875" style="722" bestFit="1" customWidth="1"/>
    <col min="2562" max="2562" width="4.75" style="722" bestFit="1" customWidth="1"/>
    <col min="2563" max="2566" width="14.625" style="722" customWidth="1"/>
    <col min="2567" max="2567" width="1.625" style="722" customWidth="1"/>
    <col min="2568" max="2570" width="14.625" style="722" customWidth="1"/>
    <col min="2571" max="2571" width="1.625" style="722" customWidth="1"/>
    <col min="2572" max="2572" width="18.25" style="722" customWidth="1"/>
    <col min="2573" max="2573" width="2.875" style="722" customWidth="1"/>
    <col min="2574" max="2574" width="15.625" style="722" bestFit="1" customWidth="1"/>
    <col min="2575" max="2575" width="15.75" style="722" bestFit="1" customWidth="1"/>
    <col min="2576" max="2576" width="15.625" style="722" bestFit="1" customWidth="1"/>
    <col min="2577" max="2577" width="15.75" style="722" bestFit="1" customWidth="1"/>
    <col min="2578" max="2578" width="16.125" style="722" customWidth="1"/>
    <col min="2579" max="2816" width="9" style="722"/>
    <col min="2817" max="2817" width="10.875" style="722" bestFit="1" customWidth="1"/>
    <col min="2818" max="2818" width="4.75" style="722" bestFit="1" customWidth="1"/>
    <col min="2819" max="2822" width="14.625" style="722" customWidth="1"/>
    <col min="2823" max="2823" width="1.625" style="722" customWidth="1"/>
    <col min="2824" max="2826" width="14.625" style="722" customWidth="1"/>
    <col min="2827" max="2827" width="1.625" style="722" customWidth="1"/>
    <col min="2828" max="2828" width="18.25" style="722" customWidth="1"/>
    <col min="2829" max="2829" width="2.875" style="722" customWidth="1"/>
    <col min="2830" max="2830" width="15.625" style="722" bestFit="1" customWidth="1"/>
    <col min="2831" max="2831" width="15.75" style="722" bestFit="1" customWidth="1"/>
    <col min="2832" max="2832" width="15.625" style="722" bestFit="1" customWidth="1"/>
    <col min="2833" max="2833" width="15.75" style="722" bestFit="1" customWidth="1"/>
    <col min="2834" max="2834" width="16.125" style="722" customWidth="1"/>
    <col min="2835" max="3072" width="9" style="722"/>
    <col min="3073" max="3073" width="10.875" style="722" bestFit="1" customWidth="1"/>
    <col min="3074" max="3074" width="4.75" style="722" bestFit="1" customWidth="1"/>
    <col min="3075" max="3078" width="14.625" style="722" customWidth="1"/>
    <col min="3079" max="3079" width="1.625" style="722" customWidth="1"/>
    <col min="3080" max="3082" width="14.625" style="722" customWidth="1"/>
    <col min="3083" max="3083" width="1.625" style="722" customWidth="1"/>
    <col min="3084" max="3084" width="18.25" style="722" customWidth="1"/>
    <col min="3085" max="3085" width="2.875" style="722" customWidth="1"/>
    <col min="3086" max="3086" width="15.625" style="722" bestFit="1" customWidth="1"/>
    <col min="3087" max="3087" width="15.75" style="722" bestFit="1" customWidth="1"/>
    <col min="3088" max="3088" width="15.625" style="722" bestFit="1" customWidth="1"/>
    <col min="3089" max="3089" width="15.75" style="722" bestFit="1" customWidth="1"/>
    <col min="3090" max="3090" width="16.125" style="722" customWidth="1"/>
    <col min="3091" max="3328" width="9" style="722"/>
    <col min="3329" max="3329" width="10.875" style="722" bestFit="1" customWidth="1"/>
    <col min="3330" max="3330" width="4.75" style="722" bestFit="1" customWidth="1"/>
    <col min="3331" max="3334" width="14.625" style="722" customWidth="1"/>
    <col min="3335" max="3335" width="1.625" style="722" customWidth="1"/>
    <col min="3336" max="3338" width="14.625" style="722" customWidth="1"/>
    <col min="3339" max="3339" width="1.625" style="722" customWidth="1"/>
    <col min="3340" max="3340" width="18.25" style="722" customWidth="1"/>
    <col min="3341" max="3341" width="2.875" style="722" customWidth="1"/>
    <col min="3342" max="3342" width="15.625" style="722" bestFit="1" customWidth="1"/>
    <col min="3343" max="3343" width="15.75" style="722" bestFit="1" customWidth="1"/>
    <col min="3344" max="3344" width="15.625" style="722" bestFit="1" customWidth="1"/>
    <col min="3345" max="3345" width="15.75" style="722" bestFit="1" customWidth="1"/>
    <col min="3346" max="3346" width="16.125" style="722" customWidth="1"/>
    <col min="3347" max="3584" width="9" style="722"/>
    <col min="3585" max="3585" width="10.875" style="722" bestFit="1" customWidth="1"/>
    <col min="3586" max="3586" width="4.75" style="722" bestFit="1" customWidth="1"/>
    <col min="3587" max="3590" width="14.625" style="722" customWidth="1"/>
    <col min="3591" max="3591" width="1.625" style="722" customWidth="1"/>
    <col min="3592" max="3594" width="14.625" style="722" customWidth="1"/>
    <col min="3595" max="3595" width="1.625" style="722" customWidth="1"/>
    <col min="3596" max="3596" width="18.25" style="722" customWidth="1"/>
    <col min="3597" max="3597" width="2.875" style="722" customWidth="1"/>
    <col min="3598" max="3598" width="15.625" style="722" bestFit="1" customWidth="1"/>
    <col min="3599" max="3599" width="15.75" style="722" bestFit="1" customWidth="1"/>
    <col min="3600" max="3600" width="15.625" style="722" bestFit="1" customWidth="1"/>
    <col min="3601" max="3601" width="15.75" style="722" bestFit="1" customWidth="1"/>
    <col min="3602" max="3602" width="16.125" style="722" customWidth="1"/>
    <col min="3603" max="3840" width="9" style="722"/>
    <col min="3841" max="3841" width="10.875" style="722" bestFit="1" customWidth="1"/>
    <col min="3842" max="3842" width="4.75" style="722" bestFit="1" customWidth="1"/>
    <col min="3843" max="3846" width="14.625" style="722" customWidth="1"/>
    <col min="3847" max="3847" width="1.625" style="722" customWidth="1"/>
    <col min="3848" max="3850" width="14.625" style="722" customWidth="1"/>
    <col min="3851" max="3851" width="1.625" style="722" customWidth="1"/>
    <col min="3852" max="3852" width="18.25" style="722" customWidth="1"/>
    <col min="3853" max="3853" width="2.875" style="722" customWidth="1"/>
    <col min="3854" max="3854" width="15.625" style="722" bestFit="1" customWidth="1"/>
    <col min="3855" max="3855" width="15.75" style="722" bestFit="1" customWidth="1"/>
    <col min="3856" max="3856" width="15.625" style="722" bestFit="1" customWidth="1"/>
    <col min="3857" max="3857" width="15.75" style="722" bestFit="1" customWidth="1"/>
    <col min="3858" max="3858" width="16.125" style="722" customWidth="1"/>
    <col min="3859" max="4096" width="9" style="722"/>
    <col min="4097" max="4097" width="10.875" style="722" bestFit="1" customWidth="1"/>
    <col min="4098" max="4098" width="4.75" style="722" bestFit="1" customWidth="1"/>
    <col min="4099" max="4102" width="14.625" style="722" customWidth="1"/>
    <col min="4103" max="4103" width="1.625" style="722" customWidth="1"/>
    <col min="4104" max="4106" width="14.625" style="722" customWidth="1"/>
    <col min="4107" max="4107" width="1.625" style="722" customWidth="1"/>
    <col min="4108" max="4108" width="18.25" style="722" customWidth="1"/>
    <col min="4109" max="4109" width="2.875" style="722" customWidth="1"/>
    <col min="4110" max="4110" width="15.625" style="722" bestFit="1" customWidth="1"/>
    <col min="4111" max="4111" width="15.75" style="722" bestFit="1" customWidth="1"/>
    <col min="4112" max="4112" width="15.625" style="722" bestFit="1" customWidth="1"/>
    <col min="4113" max="4113" width="15.75" style="722" bestFit="1" customWidth="1"/>
    <col min="4114" max="4114" width="16.125" style="722" customWidth="1"/>
    <col min="4115" max="4352" width="9" style="722"/>
    <col min="4353" max="4353" width="10.875" style="722" bestFit="1" customWidth="1"/>
    <col min="4354" max="4354" width="4.75" style="722" bestFit="1" customWidth="1"/>
    <col min="4355" max="4358" width="14.625" style="722" customWidth="1"/>
    <col min="4359" max="4359" width="1.625" style="722" customWidth="1"/>
    <col min="4360" max="4362" width="14.625" style="722" customWidth="1"/>
    <col min="4363" max="4363" width="1.625" style="722" customWidth="1"/>
    <col min="4364" max="4364" width="18.25" style="722" customWidth="1"/>
    <col min="4365" max="4365" width="2.875" style="722" customWidth="1"/>
    <col min="4366" max="4366" width="15.625" style="722" bestFit="1" customWidth="1"/>
    <col min="4367" max="4367" width="15.75" style="722" bestFit="1" customWidth="1"/>
    <col min="4368" max="4368" width="15.625" style="722" bestFit="1" customWidth="1"/>
    <col min="4369" max="4369" width="15.75" style="722" bestFit="1" customWidth="1"/>
    <col min="4370" max="4370" width="16.125" style="722" customWidth="1"/>
    <col min="4371" max="4608" width="9" style="722"/>
    <col min="4609" max="4609" width="10.875" style="722" bestFit="1" customWidth="1"/>
    <col min="4610" max="4610" width="4.75" style="722" bestFit="1" customWidth="1"/>
    <col min="4611" max="4614" width="14.625" style="722" customWidth="1"/>
    <col min="4615" max="4615" width="1.625" style="722" customWidth="1"/>
    <col min="4616" max="4618" width="14.625" style="722" customWidth="1"/>
    <col min="4619" max="4619" width="1.625" style="722" customWidth="1"/>
    <col min="4620" max="4620" width="18.25" style="722" customWidth="1"/>
    <col min="4621" max="4621" width="2.875" style="722" customWidth="1"/>
    <col min="4622" max="4622" width="15.625" style="722" bestFit="1" customWidth="1"/>
    <col min="4623" max="4623" width="15.75" style="722" bestFit="1" customWidth="1"/>
    <col min="4624" max="4624" width="15.625" style="722" bestFit="1" customWidth="1"/>
    <col min="4625" max="4625" width="15.75" style="722" bestFit="1" customWidth="1"/>
    <col min="4626" max="4626" width="16.125" style="722" customWidth="1"/>
    <col min="4627" max="4864" width="9" style="722"/>
    <col min="4865" max="4865" width="10.875" style="722" bestFit="1" customWidth="1"/>
    <col min="4866" max="4866" width="4.75" style="722" bestFit="1" customWidth="1"/>
    <col min="4867" max="4870" width="14.625" style="722" customWidth="1"/>
    <col min="4871" max="4871" width="1.625" style="722" customWidth="1"/>
    <col min="4872" max="4874" width="14.625" style="722" customWidth="1"/>
    <col min="4875" max="4875" width="1.625" style="722" customWidth="1"/>
    <col min="4876" max="4876" width="18.25" style="722" customWidth="1"/>
    <col min="4877" max="4877" width="2.875" style="722" customWidth="1"/>
    <col min="4878" max="4878" width="15.625" style="722" bestFit="1" customWidth="1"/>
    <col min="4879" max="4879" width="15.75" style="722" bestFit="1" customWidth="1"/>
    <col min="4880" max="4880" width="15.625" style="722" bestFit="1" customWidth="1"/>
    <col min="4881" max="4881" width="15.75" style="722" bestFit="1" customWidth="1"/>
    <col min="4882" max="4882" width="16.125" style="722" customWidth="1"/>
    <col min="4883" max="5120" width="9" style="722"/>
    <col min="5121" max="5121" width="10.875" style="722" bestFit="1" customWidth="1"/>
    <col min="5122" max="5122" width="4.75" style="722" bestFit="1" customWidth="1"/>
    <col min="5123" max="5126" width="14.625" style="722" customWidth="1"/>
    <col min="5127" max="5127" width="1.625" style="722" customWidth="1"/>
    <col min="5128" max="5130" width="14.625" style="722" customWidth="1"/>
    <col min="5131" max="5131" width="1.625" style="722" customWidth="1"/>
    <col min="5132" max="5132" width="18.25" style="722" customWidth="1"/>
    <col min="5133" max="5133" width="2.875" style="722" customWidth="1"/>
    <col min="5134" max="5134" width="15.625" style="722" bestFit="1" customWidth="1"/>
    <col min="5135" max="5135" width="15.75" style="722" bestFit="1" customWidth="1"/>
    <col min="5136" max="5136" width="15.625" style="722" bestFit="1" customWidth="1"/>
    <col min="5137" max="5137" width="15.75" style="722" bestFit="1" customWidth="1"/>
    <col min="5138" max="5138" width="16.125" style="722" customWidth="1"/>
    <col min="5139" max="5376" width="9" style="722"/>
    <col min="5377" max="5377" width="10.875" style="722" bestFit="1" customWidth="1"/>
    <col min="5378" max="5378" width="4.75" style="722" bestFit="1" customWidth="1"/>
    <col min="5379" max="5382" width="14.625" style="722" customWidth="1"/>
    <col min="5383" max="5383" width="1.625" style="722" customWidth="1"/>
    <col min="5384" max="5386" width="14.625" style="722" customWidth="1"/>
    <col min="5387" max="5387" width="1.625" style="722" customWidth="1"/>
    <col min="5388" max="5388" width="18.25" style="722" customWidth="1"/>
    <col min="5389" max="5389" width="2.875" style="722" customWidth="1"/>
    <col min="5390" max="5390" width="15.625" style="722" bestFit="1" customWidth="1"/>
    <col min="5391" max="5391" width="15.75" style="722" bestFit="1" customWidth="1"/>
    <col min="5392" max="5392" width="15.625" style="722" bestFit="1" customWidth="1"/>
    <col min="5393" max="5393" width="15.75" style="722" bestFit="1" customWidth="1"/>
    <col min="5394" max="5394" width="16.125" style="722" customWidth="1"/>
    <col min="5395" max="5632" width="9" style="722"/>
    <col min="5633" max="5633" width="10.875" style="722" bestFit="1" customWidth="1"/>
    <col min="5634" max="5634" width="4.75" style="722" bestFit="1" customWidth="1"/>
    <col min="5635" max="5638" width="14.625" style="722" customWidth="1"/>
    <col min="5639" max="5639" width="1.625" style="722" customWidth="1"/>
    <col min="5640" max="5642" width="14.625" style="722" customWidth="1"/>
    <col min="5643" max="5643" width="1.625" style="722" customWidth="1"/>
    <col min="5644" max="5644" width="18.25" style="722" customWidth="1"/>
    <col min="5645" max="5645" width="2.875" style="722" customWidth="1"/>
    <col min="5646" max="5646" width="15.625" style="722" bestFit="1" customWidth="1"/>
    <col min="5647" max="5647" width="15.75" style="722" bestFit="1" customWidth="1"/>
    <col min="5648" max="5648" width="15.625" style="722" bestFit="1" customWidth="1"/>
    <col min="5649" max="5649" width="15.75" style="722" bestFit="1" customWidth="1"/>
    <col min="5650" max="5650" width="16.125" style="722" customWidth="1"/>
    <col min="5651" max="5888" width="9" style="722"/>
    <col min="5889" max="5889" width="10.875" style="722" bestFit="1" customWidth="1"/>
    <col min="5890" max="5890" width="4.75" style="722" bestFit="1" customWidth="1"/>
    <col min="5891" max="5894" width="14.625" style="722" customWidth="1"/>
    <col min="5895" max="5895" width="1.625" style="722" customWidth="1"/>
    <col min="5896" max="5898" width="14.625" style="722" customWidth="1"/>
    <col min="5899" max="5899" width="1.625" style="722" customWidth="1"/>
    <col min="5900" max="5900" width="18.25" style="722" customWidth="1"/>
    <col min="5901" max="5901" width="2.875" style="722" customWidth="1"/>
    <col min="5902" max="5902" width="15.625" style="722" bestFit="1" customWidth="1"/>
    <col min="5903" max="5903" width="15.75" style="722" bestFit="1" customWidth="1"/>
    <col min="5904" max="5904" width="15.625" style="722" bestFit="1" customWidth="1"/>
    <col min="5905" max="5905" width="15.75" style="722" bestFit="1" customWidth="1"/>
    <col min="5906" max="5906" width="16.125" style="722" customWidth="1"/>
    <col min="5907" max="6144" width="9" style="722"/>
    <col min="6145" max="6145" width="10.875" style="722" bestFit="1" customWidth="1"/>
    <col min="6146" max="6146" width="4.75" style="722" bestFit="1" customWidth="1"/>
    <col min="6147" max="6150" width="14.625" style="722" customWidth="1"/>
    <col min="6151" max="6151" width="1.625" style="722" customWidth="1"/>
    <col min="6152" max="6154" width="14.625" style="722" customWidth="1"/>
    <col min="6155" max="6155" width="1.625" style="722" customWidth="1"/>
    <col min="6156" max="6156" width="18.25" style="722" customWidth="1"/>
    <col min="6157" max="6157" width="2.875" style="722" customWidth="1"/>
    <col min="6158" max="6158" width="15.625" style="722" bestFit="1" customWidth="1"/>
    <col min="6159" max="6159" width="15.75" style="722" bestFit="1" customWidth="1"/>
    <col min="6160" max="6160" width="15.625" style="722" bestFit="1" customWidth="1"/>
    <col min="6161" max="6161" width="15.75" style="722" bestFit="1" customWidth="1"/>
    <col min="6162" max="6162" width="16.125" style="722" customWidth="1"/>
    <col min="6163" max="6400" width="9" style="722"/>
    <col min="6401" max="6401" width="10.875" style="722" bestFit="1" customWidth="1"/>
    <col min="6402" max="6402" width="4.75" style="722" bestFit="1" customWidth="1"/>
    <col min="6403" max="6406" width="14.625" style="722" customWidth="1"/>
    <col min="6407" max="6407" width="1.625" style="722" customWidth="1"/>
    <col min="6408" max="6410" width="14.625" style="722" customWidth="1"/>
    <col min="6411" max="6411" width="1.625" style="722" customWidth="1"/>
    <col min="6412" max="6412" width="18.25" style="722" customWidth="1"/>
    <col min="6413" max="6413" width="2.875" style="722" customWidth="1"/>
    <col min="6414" max="6414" width="15.625" style="722" bestFit="1" customWidth="1"/>
    <col min="6415" max="6415" width="15.75" style="722" bestFit="1" customWidth="1"/>
    <col min="6416" max="6416" width="15.625" style="722" bestFit="1" customWidth="1"/>
    <col min="6417" max="6417" width="15.75" style="722" bestFit="1" customWidth="1"/>
    <col min="6418" max="6418" width="16.125" style="722" customWidth="1"/>
    <col min="6419" max="6656" width="9" style="722"/>
    <col min="6657" max="6657" width="10.875" style="722" bestFit="1" customWidth="1"/>
    <col min="6658" max="6658" width="4.75" style="722" bestFit="1" customWidth="1"/>
    <col min="6659" max="6662" width="14.625" style="722" customWidth="1"/>
    <col min="6663" max="6663" width="1.625" style="722" customWidth="1"/>
    <col min="6664" max="6666" width="14.625" style="722" customWidth="1"/>
    <col min="6667" max="6667" width="1.625" style="722" customWidth="1"/>
    <col min="6668" max="6668" width="18.25" style="722" customWidth="1"/>
    <col min="6669" max="6669" width="2.875" style="722" customWidth="1"/>
    <col min="6670" max="6670" width="15.625" style="722" bestFit="1" customWidth="1"/>
    <col min="6671" max="6671" width="15.75" style="722" bestFit="1" customWidth="1"/>
    <col min="6672" max="6672" width="15.625" style="722" bestFit="1" customWidth="1"/>
    <col min="6673" max="6673" width="15.75" style="722" bestFit="1" customWidth="1"/>
    <col min="6674" max="6674" width="16.125" style="722" customWidth="1"/>
    <col min="6675" max="6912" width="9" style="722"/>
    <col min="6913" max="6913" width="10.875" style="722" bestFit="1" customWidth="1"/>
    <col min="6914" max="6914" width="4.75" style="722" bestFit="1" customWidth="1"/>
    <col min="6915" max="6918" width="14.625" style="722" customWidth="1"/>
    <col min="6919" max="6919" width="1.625" style="722" customWidth="1"/>
    <col min="6920" max="6922" width="14.625" style="722" customWidth="1"/>
    <col min="6923" max="6923" width="1.625" style="722" customWidth="1"/>
    <col min="6924" max="6924" width="18.25" style="722" customWidth="1"/>
    <col min="6925" max="6925" width="2.875" style="722" customWidth="1"/>
    <col min="6926" max="6926" width="15.625" style="722" bestFit="1" customWidth="1"/>
    <col min="6927" max="6927" width="15.75" style="722" bestFit="1" customWidth="1"/>
    <col min="6928" max="6928" width="15.625" style="722" bestFit="1" customWidth="1"/>
    <col min="6929" max="6929" width="15.75" style="722" bestFit="1" customWidth="1"/>
    <col min="6930" max="6930" width="16.125" style="722" customWidth="1"/>
    <col min="6931" max="7168" width="9" style="722"/>
    <col min="7169" max="7169" width="10.875" style="722" bestFit="1" customWidth="1"/>
    <col min="7170" max="7170" width="4.75" style="722" bestFit="1" customWidth="1"/>
    <col min="7171" max="7174" width="14.625" style="722" customWidth="1"/>
    <col min="7175" max="7175" width="1.625" style="722" customWidth="1"/>
    <col min="7176" max="7178" width="14.625" style="722" customWidth="1"/>
    <col min="7179" max="7179" width="1.625" style="722" customWidth="1"/>
    <col min="7180" max="7180" width="18.25" style="722" customWidth="1"/>
    <col min="7181" max="7181" width="2.875" style="722" customWidth="1"/>
    <col min="7182" max="7182" width="15.625" style="722" bestFit="1" customWidth="1"/>
    <col min="7183" max="7183" width="15.75" style="722" bestFit="1" customWidth="1"/>
    <col min="7184" max="7184" width="15.625" style="722" bestFit="1" customWidth="1"/>
    <col min="7185" max="7185" width="15.75" style="722" bestFit="1" customWidth="1"/>
    <col min="7186" max="7186" width="16.125" style="722" customWidth="1"/>
    <col min="7187" max="7424" width="9" style="722"/>
    <col min="7425" max="7425" width="10.875" style="722" bestFit="1" customWidth="1"/>
    <col min="7426" max="7426" width="4.75" style="722" bestFit="1" customWidth="1"/>
    <col min="7427" max="7430" width="14.625" style="722" customWidth="1"/>
    <col min="7431" max="7431" width="1.625" style="722" customWidth="1"/>
    <col min="7432" max="7434" width="14.625" style="722" customWidth="1"/>
    <col min="7435" max="7435" width="1.625" style="722" customWidth="1"/>
    <col min="7436" max="7436" width="18.25" style="722" customWidth="1"/>
    <col min="7437" max="7437" width="2.875" style="722" customWidth="1"/>
    <col min="7438" max="7438" width="15.625" style="722" bestFit="1" customWidth="1"/>
    <col min="7439" max="7439" width="15.75" style="722" bestFit="1" customWidth="1"/>
    <col min="7440" max="7440" width="15.625" style="722" bestFit="1" customWidth="1"/>
    <col min="7441" max="7441" width="15.75" style="722" bestFit="1" customWidth="1"/>
    <col min="7442" max="7442" width="16.125" style="722" customWidth="1"/>
    <col min="7443" max="7680" width="9" style="722"/>
    <col min="7681" max="7681" width="10.875" style="722" bestFit="1" customWidth="1"/>
    <col min="7682" max="7682" width="4.75" style="722" bestFit="1" customWidth="1"/>
    <col min="7683" max="7686" width="14.625" style="722" customWidth="1"/>
    <col min="7687" max="7687" width="1.625" style="722" customWidth="1"/>
    <col min="7688" max="7690" width="14.625" style="722" customWidth="1"/>
    <col min="7691" max="7691" width="1.625" style="722" customWidth="1"/>
    <col min="7692" max="7692" width="18.25" style="722" customWidth="1"/>
    <col min="7693" max="7693" width="2.875" style="722" customWidth="1"/>
    <col min="7694" max="7694" width="15.625" style="722" bestFit="1" customWidth="1"/>
    <col min="7695" max="7695" width="15.75" style="722" bestFit="1" customWidth="1"/>
    <col min="7696" max="7696" width="15.625" style="722" bestFit="1" customWidth="1"/>
    <col min="7697" max="7697" width="15.75" style="722" bestFit="1" customWidth="1"/>
    <col min="7698" max="7698" width="16.125" style="722" customWidth="1"/>
    <col min="7699" max="7936" width="9" style="722"/>
    <col min="7937" max="7937" width="10.875" style="722" bestFit="1" customWidth="1"/>
    <col min="7938" max="7938" width="4.75" style="722" bestFit="1" customWidth="1"/>
    <col min="7939" max="7942" width="14.625" style="722" customWidth="1"/>
    <col min="7943" max="7943" width="1.625" style="722" customWidth="1"/>
    <col min="7944" max="7946" width="14.625" style="722" customWidth="1"/>
    <col min="7947" max="7947" width="1.625" style="722" customWidth="1"/>
    <col min="7948" max="7948" width="18.25" style="722" customWidth="1"/>
    <col min="7949" max="7949" width="2.875" style="722" customWidth="1"/>
    <col min="7950" max="7950" width="15.625" style="722" bestFit="1" customWidth="1"/>
    <col min="7951" max="7951" width="15.75" style="722" bestFit="1" customWidth="1"/>
    <col min="7952" max="7952" width="15.625" style="722" bestFit="1" customWidth="1"/>
    <col min="7953" max="7953" width="15.75" style="722" bestFit="1" customWidth="1"/>
    <col min="7954" max="7954" width="16.125" style="722" customWidth="1"/>
    <col min="7955" max="8192" width="9" style="722"/>
    <col min="8193" max="8193" width="10.875" style="722" bestFit="1" customWidth="1"/>
    <col min="8194" max="8194" width="4.75" style="722" bestFit="1" customWidth="1"/>
    <col min="8195" max="8198" width="14.625" style="722" customWidth="1"/>
    <col min="8199" max="8199" width="1.625" style="722" customWidth="1"/>
    <col min="8200" max="8202" width="14.625" style="722" customWidth="1"/>
    <col min="8203" max="8203" width="1.625" style="722" customWidth="1"/>
    <col min="8204" max="8204" width="18.25" style="722" customWidth="1"/>
    <col min="8205" max="8205" width="2.875" style="722" customWidth="1"/>
    <col min="8206" max="8206" width="15.625" style="722" bestFit="1" customWidth="1"/>
    <col min="8207" max="8207" width="15.75" style="722" bestFit="1" customWidth="1"/>
    <col min="8208" max="8208" width="15.625" style="722" bestFit="1" customWidth="1"/>
    <col min="8209" max="8209" width="15.75" style="722" bestFit="1" customWidth="1"/>
    <col min="8210" max="8210" width="16.125" style="722" customWidth="1"/>
    <col min="8211" max="8448" width="9" style="722"/>
    <col min="8449" max="8449" width="10.875" style="722" bestFit="1" customWidth="1"/>
    <col min="8450" max="8450" width="4.75" style="722" bestFit="1" customWidth="1"/>
    <col min="8451" max="8454" width="14.625" style="722" customWidth="1"/>
    <col min="8455" max="8455" width="1.625" style="722" customWidth="1"/>
    <col min="8456" max="8458" width="14.625" style="722" customWidth="1"/>
    <col min="8459" max="8459" width="1.625" style="722" customWidth="1"/>
    <col min="8460" max="8460" width="18.25" style="722" customWidth="1"/>
    <col min="8461" max="8461" width="2.875" style="722" customWidth="1"/>
    <col min="8462" max="8462" width="15.625" style="722" bestFit="1" customWidth="1"/>
    <col min="8463" max="8463" width="15.75" style="722" bestFit="1" customWidth="1"/>
    <col min="8464" max="8464" width="15.625" style="722" bestFit="1" customWidth="1"/>
    <col min="8465" max="8465" width="15.75" style="722" bestFit="1" customWidth="1"/>
    <col min="8466" max="8466" width="16.125" style="722" customWidth="1"/>
    <col min="8467" max="8704" width="9" style="722"/>
    <col min="8705" max="8705" width="10.875" style="722" bestFit="1" customWidth="1"/>
    <col min="8706" max="8706" width="4.75" style="722" bestFit="1" customWidth="1"/>
    <col min="8707" max="8710" width="14.625" style="722" customWidth="1"/>
    <col min="8711" max="8711" width="1.625" style="722" customWidth="1"/>
    <col min="8712" max="8714" width="14.625" style="722" customWidth="1"/>
    <col min="8715" max="8715" width="1.625" style="722" customWidth="1"/>
    <col min="8716" max="8716" width="18.25" style="722" customWidth="1"/>
    <col min="8717" max="8717" width="2.875" style="722" customWidth="1"/>
    <col min="8718" max="8718" width="15.625" style="722" bestFit="1" customWidth="1"/>
    <col min="8719" max="8719" width="15.75" style="722" bestFit="1" customWidth="1"/>
    <col min="8720" max="8720" width="15.625" style="722" bestFit="1" customWidth="1"/>
    <col min="8721" max="8721" width="15.75" style="722" bestFit="1" customWidth="1"/>
    <col min="8722" max="8722" width="16.125" style="722" customWidth="1"/>
    <col min="8723" max="8960" width="9" style="722"/>
    <col min="8961" max="8961" width="10.875" style="722" bestFit="1" customWidth="1"/>
    <col min="8962" max="8962" width="4.75" style="722" bestFit="1" customWidth="1"/>
    <col min="8963" max="8966" width="14.625" style="722" customWidth="1"/>
    <col min="8967" max="8967" width="1.625" style="722" customWidth="1"/>
    <col min="8968" max="8970" width="14.625" style="722" customWidth="1"/>
    <col min="8971" max="8971" width="1.625" style="722" customWidth="1"/>
    <col min="8972" max="8972" width="18.25" style="722" customWidth="1"/>
    <col min="8973" max="8973" width="2.875" style="722" customWidth="1"/>
    <col min="8974" max="8974" width="15.625" style="722" bestFit="1" customWidth="1"/>
    <col min="8975" max="8975" width="15.75" style="722" bestFit="1" customWidth="1"/>
    <col min="8976" max="8976" width="15.625" style="722" bestFit="1" customWidth="1"/>
    <col min="8977" max="8977" width="15.75" style="722" bestFit="1" customWidth="1"/>
    <col min="8978" max="8978" width="16.125" style="722" customWidth="1"/>
    <col min="8979" max="9216" width="9" style="722"/>
    <col min="9217" max="9217" width="10.875" style="722" bestFit="1" customWidth="1"/>
    <col min="9218" max="9218" width="4.75" style="722" bestFit="1" customWidth="1"/>
    <col min="9219" max="9222" width="14.625" style="722" customWidth="1"/>
    <col min="9223" max="9223" width="1.625" style="722" customWidth="1"/>
    <col min="9224" max="9226" width="14.625" style="722" customWidth="1"/>
    <col min="9227" max="9227" width="1.625" style="722" customWidth="1"/>
    <col min="9228" max="9228" width="18.25" style="722" customWidth="1"/>
    <col min="9229" max="9229" width="2.875" style="722" customWidth="1"/>
    <col min="9230" max="9230" width="15.625" style="722" bestFit="1" customWidth="1"/>
    <col min="9231" max="9231" width="15.75" style="722" bestFit="1" customWidth="1"/>
    <col min="9232" max="9232" width="15.625" style="722" bestFit="1" customWidth="1"/>
    <col min="9233" max="9233" width="15.75" style="722" bestFit="1" customWidth="1"/>
    <col min="9234" max="9234" width="16.125" style="722" customWidth="1"/>
    <col min="9235" max="9472" width="9" style="722"/>
    <col min="9473" max="9473" width="10.875" style="722" bestFit="1" customWidth="1"/>
    <col min="9474" max="9474" width="4.75" style="722" bestFit="1" customWidth="1"/>
    <col min="9475" max="9478" width="14.625" style="722" customWidth="1"/>
    <col min="9479" max="9479" width="1.625" style="722" customWidth="1"/>
    <col min="9480" max="9482" width="14.625" style="722" customWidth="1"/>
    <col min="9483" max="9483" width="1.625" style="722" customWidth="1"/>
    <col min="9484" max="9484" width="18.25" style="722" customWidth="1"/>
    <col min="9485" max="9485" width="2.875" style="722" customWidth="1"/>
    <col min="9486" max="9486" width="15.625" style="722" bestFit="1" customWidth="1"/>
    <col min="9487" max="9487" width="15.75" style="722" bestFit="1" customWidth="1"/>
    <col min="9488" max="9488" width="15.625" style="722" bestFit="1" customWidth="1"/>
    <col min="9489" max="9489" width="15.75" style="722" bestFit="1" customWidth="1"/>
    <col min="9490" max="9490" width="16.125" style="722" customWidth="1"/>
    <col min="9491" max="9728" width="9" style="722"/>
    <col min="9729" max="9729" width="10.875" style="722" bestFit="1" customWidth="1"/>
    <col min="9730" max="9730" width="4.75" style="722" bestFit="1" customWidth="1"/>
    <col min="9731" max="9734" width="14.625" style="722" customWidth="1"/>
    <col min="9735" max="9735" width="1.625" style="722" customWidth="1"/>
    <col min="9736" max="9738" width="14.625" style="722" customWidth="1"/>
    <col min="9739" max="9739" width="1.625" style="722" customWidth="1"/>
    <col min="9740" max="9740" width="18.25" style="722" customWidth="1"/>
    <col min="9741" max="9741" width="2.875" style="722" customWidth="1"/>
    <col min="9742" max="9742" width="15.625" style="722" bestFit="1" customWidth="1"/>
    <col min="9743" max="9743" width="15.75" style="722" bestFit="1" customWidth="1"/>
    <col min="9744" max="9744" width="15.625" style="722" bestFit="1" customWidth="1"/>
    <col min="9745" max="9745" width="15.75" style="722" bestFit="1" customWidth="1"/>
    <col min="9746" max="9746" width="16.125" style="722" customWidth="1"/>
    <col min="9747" max="9984" width="9" style="722"/>
    <col min="9985" max="9985" width="10.875" style="722" bestFit="1" customWidth="1"/>
    <col min="9986" max="9986" width="4.75" style="722" bestFit="1" customWidth="1"/>
    <col min="9987" max="9990" width="14.625" style="722" customWidth="1"/>
    <col min="9991" max="9991" width="1.625" style="722" customWidth="1"/>
    <col min="9992" max="9994" width="14.625" style="722" customWidth="1"/>
    <col min="9995" max="9995" width="1.625" style="722" customWidth="1"/>
    <col min="9996" max="9996" width="18.25" style="722" customWidth="1"/>
    <col min="9997" max="9997" width="2.875" style="722" customWidth="1"/>
    <col min="9998" max="9998" width="15.625" style="722" bestFit="1" customWidth="1"/>
    <col min="9999" max="9999" width="15.75" style="722" bestFit="1" customWidth="1"/>
    <col min="10000" max="10000" width="15.625" style="722" bestFit="1" customWidth="1"/>
    <col min="10001" max="10001" width="15.75" style="722" bestFit="1" customWidth="1"/>
    <col min="10002" max="10002" width="16.125" style="722" customWidth="1"/>
    <col min="10003" max="10240" width="9" style="722"/>
    <col min="10241" max="10241" width="10.875" style="722" bestFit="1" customWidth="1"/>
    <col min="10242" max="10242" width="4.75" style="722" bestFit="1" customWidth="1"/>
    <col min="10243" max="10246" width="14.625" style="722" customWidth="1"/>
    <col min="10247" max="10247" width="1.625" style="722" customWidth="1"/>
    <col min="10248" max="10250" width="14.625" style="722" customWidth="1"/>
    <col min="10251" max="10251" width="1.625" style="722" customWidth="1"/>
    <col min="10252" max="10252" width="18.25" style="722" customWidth="1"/>
    <col min="10253" max="10253" width="2.875" style="722" customWidth="1"/>
    <col min="10254" max="10254" width="15.625" style="722" bestFit="1" customWidth="1"/>
    <col min="10255" max="10255" width="15.75" style="722" bestFit="1" customWidth="1"/>
    <col min="10256" max="10256" width="15.625" style="722" bestFit="1" customWidth="1"/>
    <col min="10257" max="10257" width="15.75" style="722" bestFit="1" customWidth="1"/>
    <col min="10258" max="10258" width="16.125" style="722" customWidth="1"/>
    <col min="10259" max="10496" width="9" style="722"/>
    <col min="10497" max="10497" width="10.875" style="722" bestFit="1" customWidth="1"/>
    <col min="10498" max="10498" width="4.75" style="722" bestFit="1" customWidth="1"/>
    <col min="10499" max="10502" width="14.625" style="722" customWidth="1"/>
    <col min="10503" max="10503" width="1.625" style="722" customWidth="1"/>
    <col min="10504" max="10506" width="14.625" style="722" customWidth="1"/>
    <col min="10507" max="10507" width="1.625" style="722" customWidth="1"/>
    <col min="10508" max="10508" width="18.25" style="722" customWidth="1"/>
    <col min="10509" max="10509" width="2.875" style="722" customWidth="1"/>
    <col min="10510" max="10510" width="15.625" style="722" bestFit="1" customWidth="1"/>
    <col min="10511" max="10511" width="15.75" style="722" bestFit="1" customWidth="1"/>
    <col min="10512" max="10512" width="15.625" style="722" bestFit="1" customWidth="1"/>
    <col min="10513" max="10513" width="15.75" style="722" bestFit="1" customWidth="1"/>
    <col min="10514" max="10514" width="16.125" style="722" customWidth="1"/>
    <col min="10515" max="10752" width="9" style="722"/>
    <col min="10753" max="10753" width="10.875" style="722" bestFit="1" customWidth="1"/>
    <col min="10754" max="10754" width="4.75" style="722" bestFit="1" customWidth="1"/>
    <col min="10755" max="10758" width="14.625" style="722" customWidth="1"/>
    <col min="10759" max="10759" width="1.625" style="722" customWidth="1"/>
    <col min="10760" max="10762" width="14.625" style="722" customWidth="1"/>
    <col min="10763" max="10763" width="1.625" style="722" customWidth="1"/>
    <col min="10764" max="10764" width="18.25" style="722" customWidth="1"/>
    <col min="10765" max="10765" width="2.875" style="722" customWidth="1"/>
    <col min="10766" max="10766" width="15.625" style="722" bestFit="1" customWidth="1"/>
    <col min="10767" max="10767" width="15.75" style="722" bestFit="1" customWidth="1"/>
    <col min="10768" max="10768" width="15.625" style="722" bestFit="1" customWidth="1"/>
    <col min="10769" max="10769" width="15.75" style="722" bestFit="1" customWidth="1"/>
    <col min="10770" max="10770" width="16.125" style="722" customWidth="1"/>
    <col min="10771" max="11008" width="9" style="722"/>
    <col min="11009" max="11009" width="10.875" style="722" bestFit="1" customWidth="1"/>
    <col min="11010" max="11010" width="4.75" style="722" bestFit="1" customWidth="1"/>
    <col min="11011" max="11014" width="14.625" style="722" customWidth="1"/>
    <col min="11015" max="11015" width="1.625" style="722" customWidth="1"/>
    <col min="11016" max="11018" width="14.625" style="722" customWidth="1"/>
    <col min="11019" max="11019" width="1.625" style="722" customWidth="1"/>
    <col min="11020" max="11020" width="18.25" style="722" customWidth="1"/>
    <col min="11021" max="11021" width="2.875" style="722" customWidth="1"/>
    <col min="11022" max="11022" width="15.625" style="722" bestFit="1" customWidth="1"/>
    <col min="11023" max="11023" width="15.75" style="722" bestFit="1" customWidth="1"/>
    <col min="11024" max="11024" width="15.625" style="722" bestFit="1" customWidth="1"/>
    <col min="11025" max="11025" width="15.75" style="722" bestFit="1" customWidth="1"/>
    <col min="11026" max="11026" width="16.125" style="722" customWidth="1"/>
    <col min="11027" max="11264" width="9" style="722"/>
    <col min="11265" max="11265" width="10.875" style="722" bestFit="1" customWidth="1"/>
    <col min="11266" max="11266" width="4.75" style="722" bestFit="1" customWidth="1"/>
    <col min="11267" max="11270" width="14.625" style="722" customWidth="1"/>
    <col min="11271" max="11271" width="1.625" style="722" customWidth="1"/>
    <col min="11272" max="11274" width="14.625" style="722" customWidth="1"/>
    <col min="11275" max="11275" width="1.625" style="722" customWidth="1"/>
    <col min="11276" max="11276" width="18.25" style="722" customWidth="1"/>
    <col min="11277" max="11277" width="2.875" style="722" customWidth="1"/>
    <col min="11278" max="11278" width="15.625" style="722" bestFit="1" customWidth="1"/>
    <col min="11279" max="11279" width="15.75" style="722" bestFit="1" customWidth="1"/>
    <col min="11280" max="11280" width="15.625" style="722" bestFit="1" customWidth="1"/>
    <col min="11281" max="11281" width="15.75" style="722" bestFit="1" customWidth="1"/>
    <col min="11282" max="11282" width="16.125" style="722" customWidth="1"/>
    <col min="11283" max="11520" width="9" style="722"/>
    <col min="11521" max="11521" width="10.875" style="722" bestFit="1" customWidth="1"/>
    <col min="11522" max="11522" width="4.75" style="722" bestFit="1" customWidth="1"/>
    <col min="11523" max="11526" width="14.625" style="722" customWidth="1"/>
    <col min="11527" max="11527" width="1.625" style="722" customWidth="1"/>
    <col min="11528" max="11530" width="14.625" style="722" customWidth="1"/>
    <col min="11531" max="11531" width="1.625" style="722" customWidth="1"/>
    <col min="11532" max="11532" width="18.25" style="722" customWidth="1"/>
    <col min="11533" max="11533" width="2.875" style="722" customWidth="1"/>
    <col min="11534" max="11534" width="15.625" style="722" bestFit="1" customWidth="1"/>
    <col min="11535" max="11535" width="15.75" style="722" bestFit="1" customWidth="1"/>
    <col min="11536" max="11536" width="15.625" style="722" bestFit="1" customWidth="1"/>
    <col min="11537" max="11537" width="15.75" style="722" bestFit="1" customWidth="1"/>
    <col min="11538" max="11538" width="16.125" style="722" customWidth="1"/>
    <col min="11539" max="11776" width="9" style="722"/>
    <col min="11777" max="11777" width="10.875" style="722" bestFit="1" customWidth="1"/>
    <col min="11778" max="11778" width="4.75" style="722" bestFit="1" customWidth="1"/>
    <col min="11779" max="11782" width="14.625" style="722" customWidth="1"/>
    <col min="11783" max="11783" width="1.625" style="722" customWidth="1"/>
    <col min="11784" max="11786" width="14.625" style="722" customWidth="1"/>
    <col min="11787" max="11787" width="1.625" style="722" customWidth="1"/>
    <col min="11788" max="11788" width="18.25" style="722" customWidth="1"/>
    <col min="11789" max="11789" width="2.875" style="722" customWidth="1"/>
    <col min="11790" max="11790" width="15.625" style="722" bestFit="1" customWidth="1"/>
    <col min="11791" max="11791" width="15.75" style="722" bestFit="1" customWidth="1"/>
    <col min="11792" max="11792" width="15.625" style="722" bestFit="1" customWidth="1"/>
    <col min="11793" max="11793" width="15.75" style="722" bestFit="1" customWidth="1"/>
    <col min="11794" max="11794" width="16.125" style="722" customWidth="1"/>
    <col min="11795" max="12032" width="9" style="722"/>
    <col min="12033" max="12033" width="10.875" style="722" bestFit="1" customWidth="1"/>
    <col min="12034" max="12034" width="4.75" style="722" bestFit="1" customWidth="1"/>
    <col min="12035" max="12038" width="14.625" style="722" customWidth="1"/>
    <col min="12039" max="12039" width="1.625" style="722" customWidth="1"/>
    <col min="12040" max="12042" width="14.625" style="722" customWidth="1"/>
    <col min="12043" max="12043" width="1.625" style="722" customWidth="1"/>
    <col min="12044" max="12044" width="18.25" style="722" customWidth="1"/>
    <col min="12045" max="12045" width="2.875" style="722" customWidth="1"/>
    <col min="12046" max="12046" width="15.625" style="722" bestFit="1" customWidth="1"/>
    <col min="12047" max="12047" width="15.75" style="722" bestFit="1" customWidth="1"/>
    <col min="12048" max="12048" width="15.625" style="722" bestFit="1" customWidth="1"/>
    <col min="12049" max="12049" width="15.75" style="722" bestFit="1" customWidth="1"/>
    <col min="12050" max="12050" width="16.125" style="722" customWidth="1"/>
    <col min="12051" max="12288" width="9" style="722"/>
    <col min="12289" max="12289" width="10.875" style="722" bestFit="1" customWidth="1"/>
    <col min="12290" max="12290" width="4.75" style="722" bestFit="1" customWidth="1"/>
    <col min="12291" max="12294" width="14.625" style="722" customWidth="1"/>
    <col min="12295" max="12295" width="1.625" style="722" customWidth="1"/>
    <col min="12296" max="12298" width="14.625" style="722" customWidth="1"/>
    <col min="12299" max="12299" width="1.625" style="722" customWidth="1"/>
    <col min="12300" max="12300" width="18.25" style="722" customWidth="1"/>
    <col min="12301" max="12301" width="2.875" style="722" customWidth="1"/>
    <col min="12302" max="12302" width="15.625" style="722" bestFit="1" customWidth="1"/>
    <col min="12303" max="12303" width="15.75" style="722" bestFit="1" customWidth="1"/>
    <col min="12304" max="12304" width="15.625" style="722" bestFit="1" customWidth="1"/>
    <col min="12305" max="12305" width="15.75" style="722" bestFit="1" customWidth="1"/>
    <col min="12306" max="12306" width="16.125" style="722" customWidth="1"/>
    <col min="12307" max="12544" width="9" style="722"/>
    <col min="12545" max="12545" width="10.875" style="722" bestFit="1" customWidth="1"/>
    <col min="12546" max="12546" width="4.75" style="722" bestFit="1" customWidth="1"/>
    <col min="12547" max="12550" width="14.625" style="722" customWidth="1"/>
    <col min="12551" max="12551" width="1.625" style="722" customWidth="1"/>
    <col min="12552" max="12554" width="14.625" style="722" customWidth="1"/>
    <col min="12555" max="12555" width="1.625" style="722" customWidth="1"/>
    <col min="12556" max="12556" width="18.25" style="722" customWidth="1"/>
    <col min="12557" max="12557" width="2.875" style="722" customWidth="1"/>
    <col min="12558" max="12558" width="15.625" style="722" bestFit="1" customWidth="1"/>
    <col min="12559" max="12559" width="15.75" style="722" bestFit="1" customWidth="1"/>
    <col min="12560" max="12560" width="15.625" style="722" bestFit="1" customWidth="1"/>
    <col min="12561" max="12561" width="15.75" style="722" bestFit="1" customWidth="1"/>
    <col min="12562" max="12562" width="16.125" style="722" customWidth="1"/>
    <col min="12563" max="12800" width="9" style="722"/>
    <col min="12801" max="12801" width="10.875" style="722" bestFit="1" customWidth="1"/>
    <col min="12802" max="12802" width="4.75" style="722" bestFit="1" customWidth="1"/>
    <col min="12803" max="12806" width="14.625" style="722" customWidth="1"/>
    <col min="12807" max="12807" width="1.625" style="722" customWidth="1"/>
    <col min="12808" max="12810" width="14.625" style="722" customWidth="1"/>
    <col min="12811" max="12811" width="1.625" style="722" customWidth="1"/>
    <col min="12812" max="12812" width="18.25" style="722" customWidth="1"/>
    <col min="12813" max="12813" width="2.875" style="722" customWidth="1"/>
    <col min="12814" max="12814" width="15.625" style="722" bestFit="1" customWidth="1"/>
    <col min="12815" max="12815" width="15.75" style="722" bestFit="1" customWidth="1"/>
    <col min="12816" max="12816" width="15.625" style="722" bestFit="1" customWidth="1"/>
    <col min="12817" max="12817" width="15.75" style="722" bestFit="1" customWidth="1"/>
    <col min="12818" max="12818" width="16.125" style="722" customWidth="1"/>
    <col min="12819" max="13056" width="9" style="722"/>
    <col min="13057" max="13057" width="10.875" style="722" bestFit="1" customWidth="1"/>
    <col min="13058" max="13058" width="4.75" style="722" bestFit="1" customWidth="1"/>
    <col min="13059" max="13062" width="14.625" style="722" customWidth="1"/>
    <col min="13063" max="13063" width="1.625" style="722" customWidth="1"/>
    <col min="13064" max="13066" width="14.625" style="722" customWidth="1"/>
    <col min="13067" max="13067" width="1.625" style="722" customWidth="1"/>
    <col min="13068" max="13068" width="18.25" style="722" customWidth="1"/>
    <col min="13069" max="13069" width="2.875" style="722" customWidth="1"/>
    <col min="13070" max="13070" width="15.625" style="722" bestFit="1" customWidth="1"/>
    <col min="13071" max="13071" width="15.75" style="722" bestFit="1" customWidth="1"/>
    <col min="13072" max="13072" width="15.625" style="722" bestFit="1" customWidth="1"/>
    <col min="13073" max="13073" width="15.75" style="722" bestFit="1" customWidth="1"/>
    <col min="13074" max="13074" width="16.125" style="722" customWidth="1"/>
    <col min="13075" max="13312" width="9" style="722"/>
    <col min="13313" max="13313" width="10.875" style="722" bestFit="1" customWidth="1"/>
    <col min="13314" max="13314" width="4.75" style="722" bestFit="1" customWidth="1"/>
    <col min="13315" max="13318" width="14.625" style="722" customWidth="1"/>
    <col min="13319" max="13319" width="1.625" style="722" customWidth="1"/>
    <col min="13320" max="13322" width="14.625" style="722" customWidth="1"/>
    <col min="13323" max="13323" width="1.625" style="722" customWidth="1"/>
    <col min="13324" max="13324" width="18.25" style="722" customWidth="1"/>
    <col min="13325" max="13325" width="2.875" style="722" customWidth="1"/>
    <col min="13326" max="13326" width="15.625" style="722" bestFit="1" customWidth="1"/>
    <col min="13327" max="13327" width="15.75" style="722" bestFit="1" customWidth="1"/>
    <col min="13328" max="13328" width="15.625" style="722" bestFit="1" customWidth="1"/>
    <col min="13329" max="13329" width="15.75" style="722" bestFit="1" customWidth="1"/>
    <col min="13330" max="13330" width="16.125" style="722" customWidth="1"/>
    <col min="13331" max="13568" width="9" style="722"/>
    <col min="13569" max="13569" width="10.875" style="722" bestFit="1" customWidth="1"/>
    <col min="13570" max="13570" width="4.75" style="722" bestFit="1" customWidth="1"/>
    <col min="13571" max="13574" width="14.625" style="722" customWidth="1"/>
    <col min="13575" max="13575" width="1.625" style="722" customWidth="1"/>
    <col min="13576" max="13578" width="14.625" style="722" customWidth="1"/>
    <col min="13579" max="13579" width="1.625" style="722" customWidth="1"/>
    <col min="13580" max="13580" width="18.25" style="722" customWidth="1"/>
    <col min="13581" max="13581" width="2.875" style="722" customWidth="1"/>
    <col min="13582" max="13582" width="15.625" style="722" bestFit="1" customWidth="1"/>
    <col min="13583" max="13583" width="15.75" style="722" bestFit="1" customWidth="1"/>
    <col min="13584" max="13584" width="15.625" style="722" bestFit="1" customWidth="1"/>
    <col min="13585" max="13585" width="15.75" style="722" bestFit="1" customWidth="1"/>
    <col min="13586" max="13586" width="16.125" style="722" customWidth="1"/>
    <col min="13587" max="13824" width="9" style="722"/>
    <col min="13825" max="13825" width="10.875" style="722" bestFit="1" customWidth="1"/>
    <col min="13826" max="13826" width="4.75" style="722" bestFit="1" customWidth="1"/>
    <col min="13827" max="13830" width="14.625" style="722" customWidth="1"/>
    <col min="13831" max="13831" width="1.625" style="722" customWidth="1"/>
    <col min="13832" max="13834" width="14.625" style="722" customWidth="1"/>
    <col min="13835" max="13835" width="1.625" style="722" customWidth="1"/>
    <col min="13836" max="13836" width="18.25" style="722" customWidth="1"/>
    <col min="13837" max="13837" width="2.875" style="722" customWidth="1"/>
    <col min="13838" max="13838" width="15.625" style="722" bestFit="1" customWidth="1"/>
    <col min="13839" max="13839" width="15.75" style="722" bestFit="1" customWidth="1"/>
    <col min="13840" max="13840" width="15.625" style="722" bestFit="1" customWidth="1"/>
    <col min="13841" max="13841" width="15.75" style="722" bestFit="1" customWidth="1"/>
    <col min="13842" max="13842" width="16.125" style="722" customWidth="1"/>
    <col min="13843" max="14080" width="9" style="722"/>
    <col min="14081" max="14081" width="10.875" style="722" bestFit="1" customWidth="1"/>
    <col min="14082" max="14082" width="4.75" style="722" bestFit="1" customWidth="1"/>
    <col min="14083" max="14086" width="14.625" style="722" customWidth="1"/>
    <col min="14087" max="14087" width="1.625" style="722" customWidth="1"/>
    <col min="14088" max="14090" width="14.625" style="722" customWidth="1"/>
    <col min="14091" max="14091" width="1.625" style="722" customWidth="1"/>
    <col min="14092" max="14092" width="18.25" style="722" customWidth="1"/>
    <col min="14093" max="14093" width="2.875" style="722" customWidth="1"/>
    <col min="14094" max="14094" width="15.625" style="722" bestFit="1" customWidth="1"/>
    <col min="14095" max="14095" width="15.75" style="722" bestFit="1" customWidth="1"/>
    <col min="14096" max="14096" width="15.625" style="722" bestFit="1" customWidth="1"/>
    <col min="14097" max="14097" width="15.75" style="722" bestFit="1" customWidth="1"/>
    <col min="14098" max="14098" width="16.125" style="722" customWidth="1"/>
    <col min="14099" max="14336" width="9" style="722"/>
    <col min="14337" max="14337" width="10.875" style="722" bestFit="1" customWidth="1"/>
    <col min="14338" max="14338" width="4.75" style="722" bestFit="1" customWidth="1"/>
    <col min="14339" max="14342" width="14.625" style="722" customWidth="1"/>
    <col min="14343" max="14343" width="1.625" style="722" customWidth="1"/>
    <col min="14344" max="14346" width="14.625" style="722" customWidth="1"/>
    <col min="14347" max="14347" width="1.625" style="722" customWidth="1"/>
    <col min="14348" max="14348" width="18.25" style="722" customWidth="1"/>
    <col min="14349" max="14349" width="2.875" style="722" customWidth="1"/>
    <col min="14350" max="14350" width="15.625" style="722" bestFit="1" customWidth="1"/>
    <col min="14351" max="14351" width="15.75" style="722" bestFit="1" customWidth="1"/>
    <col min="14352" max="14352" width="15.625" style="722" bestFit="1" customWidth="1"/>
    <col min="14353" max="14353" width="15.75" style="722" bestFit="1" customWidth="1"/>
    <col min="14354" max="14354" width="16.125" style="722" customWidth="1"/>
    <col min="14355" max="14592" width="9" style="722"/>
    <col min="14593" max="14593" width="10.875" style="722" bestFit="1" customWidth="1"/>
    <col min="14594" max="14594" width="4.75" style="722" bestFit="1" customWidth="1"/>
    <col min="14595" max="14598" width="14.625" style="722" customWidth="1"/>
    <col min="14599" max="14599" width="1.625" style="722" customWidth="1"/>
    <col min="14600" max="14602" width="14.625" style="722" customWidth="1"/>
    <col min="14603" max="14603" width="1.625" style="722" customWidth="1"/>
    <col min="14604" max="14604" width="18.25" style="722" customWidth="1"/>
    <col min="14605" max="14605" width="2.875" style="722" customWidth="1"/>
    <col min="14606" max="14606" width="15.625" style="722" bestFit="1" customWidth="1"/>
    <col min="14607" max="14607" width="15.75" style="722" bestFit="1" customWidth="1"/>
    <col min="14608" max="14608" width="15.625" style="722" bestFit="1" customWidth="1"/>
    <col min="14609" max="14609" width="15.75" style="722" bestFit="1" customWidth="1"/>
    <col min="14610" max="14610" width="16.125" style="722" customWidth="1"/>
    <col min="14611" max="14848" width="9" style="722"/>
    <col min="14849" max="14849" width="10.875" style="722" bestFit="1" customWidth="1"/>
    <col min="14850" max="14850" width="4.75" style="722" bestFit="1" customWidth="1"/>
    <col min="14851" max="14854" width="14.625" style="722" customWidth="1"/>
    <col min="14855" max="14855" width="1.625" style="722" customWidth="1"/>
    <col min="14856" max="14858" width="14.625" style="722" customWidth="1"/>
    <col min="14859" max="14859" width="1.625" style="722" customWidth="1"/>
    <col min="14860" max="14860" width="18.25" style="722" customWidth="1"/>
    <col min="14861" max="14861" width="2.875" style="722" customWidth="1"/>
    <col min="14862" max="14862" width="15.625" style="722" bestFit="1" customWidth="1"/>
    <col min="14863" max="14863" width="15.75" style="722" bestFit="1" customWidth="1"/>
    <col min="14864" max="14864" width="15.625" style="722" bestFit="1" customWidth="1"/>
    <col min="14865" max="14865" width="15.75" style="722" bestFit="1" customWidth="1"/>
    <col min="14866" max="14866" width="16.125" style="722" customWidth="1"/>
    <col min="14867" max="15104" width="9" style="722"/>
    <col min="15105" max="15105" width="10.875" style="722" bestFit="1" customWidth="1"/>
    <col min="15106" max="15106" width="4.75" style="722" bestFit="1" customWidth="1"/>
    <col min="15107" max="15110" width="14.625" style="722" customWidth="1"/>
    <col min="15111" max="15111" width="1.625" style="722" customWidth="1"/>
    <col min="15112" max="15114" width="14.625" style="722" customWidth="1"/>
    <col min="15115" max="15115" width="1.625" style="722" customWidth="1"/>
    <col min="15116" max="15116" width="18.25" style="722" customWidth="1"/>
    <col min="15117" max="15117" width="2.875" style="722" customWidth="1"/>
    <col min="15118" max="15118" width="15.625" style="722" bestFit="1" customWidth="1"/>
    <col min="15119" max="15119" width="15.75" style="722" bestFit="1" customWidth="1"/>
    <col min="15120" max="15120" width="15.625" style="722" bestFit="1" customWidth="1"/>
    <col min="15121" max="15121" width="15.75" style="722" bestFit="1" customWidth="1"/>
    <col min="15122" max="15122" width="16.125" style="722" customWidth="1"/>
    <col min="15123" max="15360" width="9" style="722"/>
    <col min="15361" max="15361" width="10.875" style="722" bestFit="1" customWidth="1"/>
    <col min="15362" max="15362" width="4.75" style="722" bestFit="1" customWidth="1"/>
    <col min="15363" max="15366" width="14.625" style="722" customWidth="1"/>
    <col min="15367" max="15367" width="1.625" style="722" customWidth="1"/>
    <col min="15368" max="15370" width="14.625" style="722" customWidth="1"/>
    <col min="15371" max="15371" width="1.625" style="722" customWidth="1"/>
    <col min="15372" max="15372" width="18.25" style="722" customWidth="1"/>
    <col min="15373" max="15373" width="2.875" style="722" customWidth="1"/>
    <col min="15374" max="15374" width="15.625" style="722" bestFit="1" customWidth="1"/>
    <col min="15375" max="15375" width="15.75" style="722" bestFit="1" customWidth="1"/>
    <col min="15376" max="15376" width="15.625" style="722" bestFit="1" customWidth="1"/>
    <col min="15377" max="15377" width="15.75" style="722" bestFit="1" customWidth="1"/>
    <col min="15378" max="15378" width="16.125" style="722" customWidth="1"/>
    <col min="15379" max="15616" width="9" style="722"/>
    <col min="15617" max="15617" width="10.875" style="722" bestFit="1" customWidth="1"/>
    <col min="15618" max="15618" width="4.75" style="722" bestFit="1" customWidth="1"/>
    <col min="15619" max="15622" width="14.625" style="722" customWidth="1"/>
    <col min="15623" max="15623" width="1.625" style="722" customWidth="1"/>
    <col min="15624" max="15626" width="14.625" style="722" customWidth="1"/>
    <col min="15627" max="15627" width="1.625" style="722" customWidth="1"/>
    <col min="15628" max="15628" width="18.25" style="722" customWidth="1"/>
    <col min="15629" max="15629" width="2.875" style="722" customWidth="1"/>
    <col min="15630" max="15630" width="15.625" style="722" bestFit="1" customWidth="1"/>
    <col min="15631" max="15631" width="15.75" style="722" bestFit="1" customWidth="1"/>
    <col min="15632" max="15632" width="15.625" style="722" bestFit="1" customWidth="1"/>
    <col min="15633" max="15633" width="15.75" style="722" bestFit="1" customWidth="1"/>
    <col min="15634" max="15634" width="16.125" style="722" customWidth="1"/>
    <col min="15635" max="15872" width="9" style="722"/>
    <col min="15873" max="15873" width="10.875" style="722" bestFit="1" customWidth="1"/>
    <col min="15874" max="15874" width="4.75" style="722" bestFit="1" customWidth="1"/>
    <col min="15875" max="15878" width="14.625" style="722" customWidth="1"/>
    <col min="15879" max="15879" width="1.625" style="722" customWidth="1"/>
    <col min="15880" max="15882" width="14.625" style="722" customWidth="1"/>
    <col min="15883" max="15883" width="1.625" style="722" customWidth="1"/>
    <col min="15884" max="15884" width="18.25" style="722" customWidth="1"/>
    <col min="15885" max="15885" width="2.875" style="722" customWidth="1"/>
    <col min="15886" max="15886" width="15.625" style="722" bestFit="1" customWidth="1"/>
    <col min="15887" max="15887" width="15.75" style="722" bestFit="1" customWidth="1"/>
    <col min="15888" max="15888" width="15.625" style="722" bestFit="1" customWidth="1"/>
    <col min="15889" max="15889" width="15.75" style="722" bestFit="1" customWidth="1"/>
    <col min="15890" max="15890" width="16.125" style="722" customWidth="1"/>
    <col min="15891" max="16128" width="9" style="722"/>
    <col min="16129" max="16129" width="10.875" style="722" bestFit="1" customWidth="1"/>
    <col min="16130" max="16130" width="4.75" style="722" bestFit="1" customWidth="1"/>
    <col min="16131" max="16134" width="14.625" style="722" customWidth="1"/>
    <col min="16135" max="16135" width="1.625" style="722" customWidth="1"/>
    <col min="16136" max="16138" width="14.625" style="722" customWidth="1"/>
    <col min="16139" max="16139" width="1.625" style="722" customWidth="1"/>
    <col min="16140" max="16140" width="18.25" style="722" customWidth="1"/>
    <col min="16141" max="16141" width="2.875" style="722" customWidth="1"/>
    <col min="16142" max="16142" width="15.625" style="722" bestFit="1" customWidth="1"/>
    <col min="16143" max="16143" width="15.75" style="722" bestFit="1" customWidth="1"/>
    <col min="16144" max="16144" width="15.625" style="722" bestFit="1" customWidth="1"/>
    <col min="16145" max="16145" width="15.75" style="722" bestFit="1" customWidth="1"/>
    <col min="16146" max="16146" width="16.125" style="722" customWidth="1"/>
    <col min="16147" max="16384" width="9" style="722"/>
  </cols>
  <sheetData>
    <row r="1" spans="1:18" ht="32.25" customHeight="1">
      <c r="A1" s="2124" t="s">
        <v>455</v>
      </c>
      <c r="B1" s="2124"/>
      <c r="C1" s="2124"/>
      <c r="D1" s="2124"/>
      <c r="E1" s="2124"/>
      <c r="F1" s="2124"/>
      <c r="G1" s="2124"/>
      <c r="H1" s="2124"/>
      <c r="I1" s="2124"/>
      <c r="J1" s="2124"/>
      <c r="K1" s="2124"/>
      <c r="L1" s="2124"/>
    </row>
    <row r="2" spans="1:18" s="723" customFormat="1" ht="20.100000000000001" customHeight="1">
      <c r="A2" s="2125" t="s">
        <v>456</v>
      </c>
      <c r="B2" s="2126"/>
      <c r="C2" s="2126"/>
      <c r="D2" s="2126"/>
      <c r="E2" s="2126"/>
      <c r="F2" s="2127"/>
      <c r="H2" s="2128" t="s">
        <v>457</v>
      </c>
      <c r="I2" s="2129"/>
      <c r="J2" s="2130"/>
      <c r="L2" s="724" t="s">
        <v>458</v>
      </c>
    </row>
    <row r="3" spans="1:18" ht="20.100000000000001" hidden="1" customHeight="1">
      <c r="A3" s="2131" t="s">
        <v>459</v>
      </c>
      <c r="B3" s="2132"/>
      <c r="C3" s="2133" t="s">
        <v>460</v>
      </c>
      <c r="D3" s="2134"/>
      <c r="E3" s="2135"/>
      <c r="F3" s="2136" t="s">
        <v>461</v>
      </c>
      <c r="H3" s="2133" t="str">
        <f>C3</f>
        <v>대출기관</v>
      </c>
      <c r="I3" s="2135"/>
      <c r="J3" s="2136" t="s">
        <v>461</v>
      </c>
      <c r="L3" s="2138" t="s">
        <v>462</v>
      </c>
    </row>
    <row r="4" spans="1:18" ht="20.100000000000001" customHeight="1">
      <c r="A4" s="725" t="s">
        <v>463</v>
      </c>
      <c r="B4" s="726" t="s">
        <v>464</v>
      </c>
      <c r="C4" s="727" t="s">
        <v>465</v>
      </c>
      <c r="D4" s="728" t="s">
        <v>466</v>
      </c>
      <c r="E4" s="729" t="s">
        <v>467</v>
      </c>
      <c r="F4" s="2137"/>
      <c r="H4" s="730" t="s">
        <v>462</v>
      </c>
      <c r="I4" s="729" t="s">
        <v>467</v>
      </c>
      <c r="J4" s="2137"/>
      <c r="L4" s="2139"/>
    </row>
    <row r="5" spans="1:18" ht="20.100000000000001" customHeight="1">
      <c r="A5" s="731">
        <v>42656</v>
      </c>
      <c r="B5" s="732"/>
      <c r="C5" s="733"/>
      <c r="D5" s="734"/>
      <c r="E5" s="735"/>
      <c r="F5" s="736"/>
      <c r="H5" s="737"/>
      <c r="I5" s="732"/>
      <c r="J5" s="736"/>
      <c r="L5" s="738"/>
    </row>
    <row r="6" spans="1:18" ht="20.100000000000001" customHeight="1">
      <c r="A6" s="739">
        <v>42688</v>
      </c>
      <c r="B6" s="740">
        <f>A6-A5</f>
        <v>32</v>
      </c>
      <c r="C6" s="741">
        <f>$O$7*$O$19*B6/365</f>
        <v>115726027.39726028</v>
      </c>
      <c r="D6" s="742">
        <f t="shared" ref="D6:D31" si="0">$P$7*$P$19*B6/365</f>
        <v>23609863.013698626</v>
      </c>
      <c r="E6" s="743">
        <f t="shared" ref="E6:E31" si="1">$Q$7*$Q$19*B6/365</f>
        <v>12010958.90410959</v>
      </c>
      <c r="F6" s="744">
        <f>SUM(B6:E6)</f>
        <v>151346881.31506851</v>
      </c>
      <c r="H6" s="745"/>
      <c r="I6" s="746"/>
      <c r="J6" s="747"/>
      <c r="L6" s="748"/>
      <c r="N6" s="749" t="s">
        <v>459</v>
      </c>
      <c r="O6" s="749" t="s">
        <v>468</v>
      </c>
      <c r="P6" s="749" t="s">
        <v>469</v>
      </c>
      <c r="Q6" s="749" t="s">
        <v>467</v>
      </c>
      <c r="R6" s="749" t="s">
        <v>470</v>
      </c>
    </row>
    <row r="7" spans="1:18" ht="20.100000000000001" customHeight="1">
      <c r="A7" s="739">
        <v>42717</v>
      </c>
      <c r="B7" s="740">
        <f t="shared" ref="B7:B31" si="2">A7-A6</f>
        <v>29</v>
      </c>
      <c r="C7" s="741">
        <f t="shared" ref="C7:C31" si="3">$O$7*$O$19*B7/365</f>
        <v>104876712.32876712</v>
      </c>
      <c r="D7" s="742">
        <f t="shared" si="0"/>
        <v>21396438.356164377</v>
      </c>
      <c r="E7" s="743">
        <f t="shared" si="1"/>
        <v>10884931.506849315</v>
      </c>
      <c r="F7" s="744">
        <f t="shared" ref="F7:F31" si="4">SUM(B7:E7)</f>
        <v>137158111.19178081</v>
      </c>
      <c r="H7" s="745"/>
      <c r="I7" s="746"/>
      <c r="J7" s="747"/>
      <c r="L7" s="748"/>
      <c r="N7" s="750">
        <v>42656</v>
      </c>
      <c r="O7" s="751">
        <v>50000000000</v>
      </c>
      <c r="P7" s="751">
        <v>10000000000</v>
      </c>
      <c r="Q7" s="751">
        <v>5000000000</v>
      </c>
      <c r="R7" s="749" t="s">
        <v>471</v>
      </c>
    </row>
    <row r="8" spans="1:18" ht="20.100000000000001" customHeight="1">
      <c r="A8" s="752">
        <v>42735</v>
      </c>
      <c r="B8" s="753">
        <f t="shared" si="2"/>
        <v>18</v>
      </c>
      <c r="C8" s="754">
        <f t="shared" si="3"/>
        <v>65095890.410958901</v>
      </c>
      <c r="D8" s="755">
        <f t="shared" si="0"/>
        <v>13280547.945205476</v>
      </c>
      <c r="E8" s="756">
        <f t="shared" si="1"/>
        <v>6756164.3835616438</v>
      </c>
      <c r="F8" s="757">
        <f t="shared" si="4"/>
        <v>85132620.739726022</v>
      </c>
      <c r="H8" s="758"/>
      <c r="I8" s="759"/>
      <c r="J8" s="760"/>
      <c r="L8" s="761"/>
      <c r="N8" s="750">
        <v>42919</v>
      </c>
      <c r="O8" s="751"/>
      <c r="P8" s="751">
        <v>20000000000</v>
      </c>
      <c r="Q8" s="751">
        <v>10000000000</v>
      </c>
      <c r="R8" s="749" t="s">
        <v>472</v>
      </c>
    </row>
    <row r="9" spans="1:18" ht="20.100000000000001" customHeight="1">
      <c r="A9" s="762">
        <v>42748</v>
      </c>
      <c r="B9" s="763">
        <f t="shared" si="2"/>
        <v>13</v>
      </c>
      <c r="C9" s="764">
        <f t="shared" si="3"/>
        <v>47013698.630136989</v>
      </c>
      <c r="D9" s="765">
        <f t="shared" si="0"/>
        <v>9591506.8493150659</v>
      </c>
      <c r="E9" s="766">
        <f t="shared" si="1"/>
        <v>4879452.0547945201</v>
      </c>
      <c r="F9" s="767">
        <f t="shared" si="4"/>
        <v>61484670.534246579</v>
      </c>
      <c r="H9" s="768"/>
      <c r="I9" s="769"/>
      <c r="J9" s="770"/>
      <c r="L9" s="771"/>
      <c r="N9" s="772" t="s">
        <v>461</v>
      </c>
      <c r="O9" s="773">
        <f>SUM(O7:O8)</f>
        <v>50000000000</v>
      </c>
      <c r="P9" s="773">
        <f>SUM(P7:P8)</f>
        <v>30000000000</v>
      </c>
      <c r="Q9" s="773">
        <f>SUM(Q7:Q8)</f>
        <v>15000000000</v>
      </c>
      <c r="R9" s="749"/>
    </row>
    <row r="10" spans="1:18" ht="20.100000000000001" customHeight="1">
      <c r="A10" s="739">
        <v>42779</v>
      </c>
      <c r="B10" s="740">
        <f t="shared" si="2"/>
        <v>31</v>
      </c>
      <c r="C10" s="741">
        <f t="shared" si="3"/>
        <v>112109589.0410959</v>
      </c>
      <c r="D10" s="742">
        <f t="shared" si="0"/>
        <v>22872054.794520542</v>
      </c>
      <c r="E10" s="743">
        <f t="shared" si="1"/>
        <v>11635616.438356165</v>
      </c>
      <c r="F10" s="744">
        <f t="shared" si="4"/>
        <v>146617291.2739726</v>
      </c>
      <c r="H10" s="745"/>
      <c r="I10" s="746"/>
      <c r="J10" s="747"/>
      <c r="L10" s="748"/>
    </row>
    <row r="11" spans="1:18" ht="20.100000000000001" customHeight="1">
      <c r="A11" s="739">
        <v>42807</v>
      </c>
      <c r="B11" s="740">
        <f t="shared" si="2"/>
        <v>28</v>
      </c>
      <c r="C11" s="741">
        <f t="shared" si="3"/>
        <v>101260273.97260274</v>
      </c>
      <c r="D11" s="742">
        <f t="shared" si="0"/>
        <v>20658630.136986297</v>
      </c>
      <c r="E11" s="743">
        <f t="shared" si="1"/>
        <v>10509589.04109589</v>
      </c>
      <c r="F11" s="744">
        <f t="shared" si="4"/>
        <v>132428521.15068492</v>
      </c>
      <c r="H11" s="745"/>
      <c r="I11" s="746"/>
      <c r="J11" s="744"/>
      <c r="L11" s="748"/>
    </row>
    <row r="12" spans="1:18" ht="20.100000000000001" customHeight="1">
      <c r="A12" s="739">
        <v>42838</v>
      </c>
      <c r="B12" s="740">
        <f t="shared" si="2"/>
        <v>31</v>
      </c>
      <c r="C12" s="741">
        <f t="shared" si="3"/>
        <v>112109589.0410959</v>
      </c>
      <c r="D12" s="742">
        <f t="shared" si="0"/>
        <v>22872054.794520542</v>
      </c>
      <c r="E12" s="743">
        <f t="shared" si="1"/>
        <v>11635616.438356165</v>
      </c>
      <c r="F12" s="744">
        <f t="shared" si="4"/>
        <v>146617291.2739726</v>
      </c>
      <c r="H12" s="745"/>
      <c r="I12" s="746"/>
      <c r="J12" s="744"/>
      <c r="L12" s="748"/>
      <c r="N12" s="749" t="s">
        <v>459</v>
      </c>
      <c r="O12" s="749" t="s">
        <v>473</v>
      </c>
      <c r="P12" s="749" t="s">
        <v>466</v>
      </c>
      <c r="Q12" s="749" t="s">
        <v>474</v>
      </c>
      <c r="R12" s="749" t="s">
        <v>475</v>
      </c>
    </row>
    <row r="13" spans="1:18" ht="20.100000000000001" customHeight="1">
      <c r="A13" s="739">
        <v>42870</v>
      </c>
      <c r="B13" s="740">
        <f t="shared" si="2"/>
        <v>32</v>
      </c>
      <c r="C13" s="741">
        <f t="shared" si="3"/>
        <v>115726027.39726028</v>
      </c>
      <c r="D13" s="742">
        <f t="shared" si="0"/>
        <v>23609863.013698626</v>
      </c>
      <c r="E13" s="743">
        <f t="shared" si="1"/>
        <v>12010958.90410959</v>
      </c>
      <c r="F13" s="744">
        <f t="shared" si="4"/>
        <v>151346881.31506851</v>
      </c>
      <c r="H13" s="745"/>
      <c r="I13" s="746"/>
      <c r="J13" s="744"/>
      <c r="L13" s="748"/>
      <c r="N13" s="2142" t="s">
        <v>476</v>
      </c>
      <c r="O13" s="2122" t="s">
        <v>477</v>
      </c>
      <c r="P13" s="2143" t="s">
        <v>478</v>
      </c>
      <c r="Q13" s="2122" t="s">
        <v>479</v>
      </c>
      <c r="R13" s="2119"/>
    </row>
    <row r="14" spans="1:18" ht="20.100000000000001" customHeight="1">
      <c r="A14" s="739">
        <v>42899</v>
      </c>
      <c r="B14" s="740">
        <f t="shared" si="2"/>
        <v>29</v>
      </c>
      <c r="C14" s="741">
        <f t="shared" si="3"/>
        <v>104876712.32876712</v>
      </c>
      <c r="D14" s="742">
        <f t="shared" si="0"/>
        <v>21396438.356164377</v>
      </c>
      <c r="E14" s="743">
        <f t="shared" si="1"/>
        <v>10884931.506849315</v>
      </c>
      <c r="F14" s="744">
        <f t="shared" si="4"/>
        <v>137158111.19178081</v>
      </c>
      <c r="H14" s="745"/>
      <c r="I14" s="746"/>
      <c r="J14" s="744"/>
      <c r="L14" s="748"/>
      <c r="N14" s="2142"/>
      <c r="O14" s="2122"/>
      <c r="P14" s="2143"/>
      <c r="Q14" s="2122"/>
      <c r="R14" s="2120"/>
    </row>
    <row r="15" spans="1:18" ht="20.100000000000001" customHeight="1">
      <c r="A15" s="739">
        <v>42929</v>
      </c>
      <c r="B15" s="740">
        <f t="shared" si="2"/>
        <v>30</v>
      </c>
      <c r="C15" s="741">
        <f t="shared" si="3"/>
        <v>108493150.6849315</v>
      </c>
      <c r="D15" s="742">
        <f t="shared" si="0"/>
        <v>22134246.575342461</v>
      </c>
      <c r="E15" s="743">
        <f t="shared" si="1"/>
        <v>11260273.97260274</v>
      </c>
      <c r="F15" s="744">
        <f t="shared" si="4"/>
        <v>141887701.23287672</v>
      </c>
      <c r="H15" s="745"/>
      <c r="I15" s="746"/>
      <c r="J15" s="744"/>
      <c r="L15" s="748">
        <f>$P$8*0.3%*(A15-A5)/365</f>
        <v>44876712.328767121</v>
      </c>
      <c r="N15" s="2142"/>
      <c r="O15" s="2122"/>
      <c r="P15" s="2143"/>
      <c r="Q15" s="2122"/>
      <c r="R15" s="2121"/>
    </row>
    <row r="16" spans="1:18" ht="20.100000000000001" customHeight="1">
      <c r="A16" s="739">
        <v>42961</v>
      </c>
      <c r="B16" s="740">
        <f t="shared" si="2"/>
        <v>32</v>
      </c>
      <c r="C16" s="741">
        <f t="shared" si="3"/>
        <v>115726027.39726028</v>
      </c>
      <c r="D16" s="742">
        <f t="shared" si="0"/>
        <v>23609863.013698626</v>
      </c>
      <c r="E16" s="743">
        <f t="shared" si="1"/>
        <v>12010958.90410959</v>
      </c>
      <c r="F16" s="744">
        <f t="shared" si="4"/>
        <v>151346881.31506851</v>
      </c>
      <c r="H16" s="745">
        <f t="shared" ref="H16:H31" si="5">$P$8*$P$20*B16/365</f>
        <v>42134794.520547949</v>
      </c>
      <c r="I16" s="740">
        <f t="shared" ref="I16:I31" si="6">$Q$8*$Q$19*B16/365</f>
        <v>24021917.80821918</v>
      </c>
      <c r="J16" s="744">
        <f t="shared" ref="J16:J31" si="7">SUM(H16:I16)</f>
        <v>66156712.328767128</v>
      </c>
      <c r="L16" s="748"/>
      <c r="N16" s="749" t="s">
        <v>480</v>
      </c>
      <c r="O16" s="749"/>
      <c r="P16" s="749" t="s">
        <v>481</v>
      </c>
      <c r="Q16" s="749"/>
      <c r="R16" s="749"/>
    </row>
    <row r="17" spans="1:18" ht="20.100000000000001" customHeight="1">
      <c r="A17" s="739">
        <v>42991</v>
      </c>
      <c r="B17" s="740">
        <f t="shared" si="2"/>
        <v>30</v>
      </c>
      <c r="C17" s="741">
        <f t="shared" si="3"/>
        <v>108493150.6849315</v>
      </c>
      <c r="D17" s="742">
        <f t="shared" si="0"/>
        <v>22134246.575342461</v>
      </c>
      <c r="E17" s="743">
        <f t="shared" si="1"/>
        <v>11260273.97260274</v>
      </c>
      <c r="F17" s="744">
        <f t="shared" si="4"/>
        <v>141887701.23287672</v>
      </c>
      <c r="H17" s="745">
        <f t="shared" si="5"/>
        <v>39501369.8630137</v>
      </c>
      <c r="I17" s="740">
        <f t="shared" si="6"/>
        <v>22520547.94520548</v>
      </c>
      <c r="J17" s="744">
        <f t="shared" si="7"/>
        <v>62021917.80821918</v>
      </c>
      <c r="L17" s="748"/>
    </row>
    <row r="18" spans="1:18" ht="20.100000000000001" customHeight="1">
      <c r="A18" s="739">
        <v>43021</v>
      </c>
      <c r="B18" s="740">
        <f t="shared" si="2"/>
        <v>30</v>
      </c>
      <c r="C18" s="741">
        <f t="shared" si="3"/>
        <v>108493150.6849315</v>
      </c>
      <c r="D18" s="742">
        <f t="shared" si="0"/>
        <v>22134246.575342461</v>
      </c>
      <c r="E18" s="743">
        <f t="shared" si="1"/>
        <v>11260273.97260274</v>
      </c>
      <c r="F18" s="744">
        <f t="shared" si="4"/>
        <v>141887701.23287672</v>
      </c>
      <c r="H18" s="745">
        <f t="shared" si="5"/>
        <v>39501369.8630137</v>
      </c>
      <c r="I18" s="740">
        <f t="shared" si="6"/>
        <v>22520547.94520548</v>
      </c>
      <c r="J18" s="744">
        <f t="shared" si="7"/>
        <v>62021917.80821918</v>
      </c>
      <c r="L18" s="748"/>
      <c r="N18" s="749" t="s">
        <v>459</v>
      </c>
      <c r="O18" s="749" t="s">
        <v>473</v>
      </c>
      <c r="P18" s="749" t="s">
        <v>469</v>
      </c>
      <c r="Q18" s="749" t="s">
        <v>482</v>
      </c>
      <c r="R18" s="749" t="s">
        <v>454</v>
      </c>
    </row>
    <row r="19" spans="1:18" ht="20.100000000000001" customHeight="1">
      <c r="A19" s="739">
        <v>43052</v>
      </c>
      <c r="B19" s="740">
        <f t="shared" si="2"/>
        <v>31</v>
      </c>
      <c r="C19" s="741">
        <f t="shared" si="3"/>
        <v>112109589.0410959</v>
      </c>
      <c r="D19" s="742">
        <f t="shared" si="0"/>
        <v>22872054.794520542</v>
      </c>
      <c r="E19" s="743">
        <f t="shared" si="1"/>
        <v>11635616.438356165</v>
      </c>
      <c r="F19" s="744">
        <f t="shared" si="4"/>
        <v>146617291.2739726</v>
      </c>
      <c r="H19" s="745">
        <f t="shared" si="5"/>
        <v>40818082.19178082</v>
      </c>
      <c r="I19" s="740">
        <f t="shared" si="6"/>
        <v>23271232.87671233</v>
      </c>
      <c r="J19" s="744">
        <f t="shared" si="7"/>
        <v>64089315.06849315</v>
      </c>
      <c r="L19" s="748"/>
      <c r="N19" s="2122" t="s">
        <v>483</v>
      </c>
      <c r="O19" s="2123">
        <v>2.64E-2</v>
      </c>
      <c r="P19" s="774">
        <f>1.42%+1.273%</f>
        <v>2.6929999999999996E-2</v>
      </c>
      <c r="Q19" s="2123">
        <v>2.7400000000000001E-2</v>
      </c>
      <c r="R19" s="749" t="s">
        <v>484</v>
      </c>
    </row>
    <row r="20" spans="1:18" ht="20.100000000000001" customHeight="1">
      <c r="A20" s="739">
        <v>43082</v>
      </c>
      <c r="B20" s="740">
        <f t="shared" si="2"/>
        <v>30</v>
      </c>
      <c r="C20" s="741">
        <f t="shared" si="3"/>
        <v>108493150.6849315</v>
      </c>
      <c r="D20" s="742">
        <f t="shared" si="0"/>
        <v>22134246.575342461</v>
      </c>
      <c r="E20" s="743">
        <f t="shared" si="1"/>
        <v>11260273.97260274</v>
      </c>
      <c r="F20" s="744">
        <f t="shared" si="4"/>
        <v>141887701.23287672</v>
      </c>
      <c r="H20" s="745">
        <f t="shared" si="5"/>
        <v>39501369.8630137</v>
      </c>
      <c r="I20" s="740">
        <f t="shared" si="6"/>
        <v>22520547.94520548</v>
      </c>
      <c r="J20" s="744">
        <f t="shared" si="7"/>
        <v>62021917.80821918</v>
      </c>
      <c r="L20" s="748"/>
      <c r="N20" s="2122"/>
      <c r="O20" s="2123"/>
      <c r="P20" s="774">
        <f>1.42%+0.983%</f>
        <v>2.4029999999999999E-2</v>
      </c>
      <c r="Q20" s="2123"/>
      <c r="R20" s="749" t="s">
        <v>485</v>
      </c>
    </row>
    <row r="21" spans="1:18" ht="20.100000000000001" customHeight="1">
      <c r="A21" s="775">
        <v>43100</v>
      </c>
      <c r="B21" s="776">
        <f t="shared" si="2"/>
        <v>18</v>
      </c>
      <c r="C21" s="777">
        <f t="shared" si="3"/>
        <v>65095890.410958901</v>
      </c>
      <c r="D21" s="778">
        <f t="shared" si="0"/>
        <v>13280547.945205476</v>
      </c>
      <c r="E21" s="779">
        <f t="shared" si="1"/>
        <v>6756164.3835616438</v>
      </c>
      <c r="F21" s="780">
        <f t="shared" si="4"/>
        <v>85132620.739726022</v>
      </c>
      <c r="H21" s="781">
        <f t="shared" si="5"/>
        <v>23700821.91780822</v>
      </c>
      <c r="I21" s="776">
        <f t="shared" si="6"/>
        <v>13512328.767123288</v>
      </c>
      <c r="J21" s="780">
        <f t="shared" si="7"/>
        <v>37213150.684931509</v>
      </c>
      <c r="L21" s="782"/>
      <c r="O21" s="783" t="s">
        <v>486</v>
      </c>
    </row>
    <row r="22" spans="1:18" ht="20.100000000000001" customHeight="1">
      <c r="A22" s="731">
        <v>43115</v>
      </c>
      <c r="B22" s="784">
        <f t="shared" si="2"/>
        <v>15</v>
      </c>
      <c r="C22" s="733">
        <f t="shared" si="3"/>
        <v>54246575.342465751</v>
      </c>
      <c r="D22" s="734">
        <f t="shared" si="0"/>
        <v>11067123.287671231</v>
      </c>
      <c r="E22" s="735">
        <f t="shared" si="1"/>
        <v>5630136.98630137</v>
      </c>
      <c r="F22" s="785">
        <f t="shared" si="4"/>
        <v>70943850.616438359</v>
      </c>
      <c r="H22" s="737">
        <f t="shared" si="5"/>
        <v>19750684.93150685</v>
      </c>
      <c r="I22" s="784">
        <f t="shared" si="6"/>
        <v>11260273.97260274</v>
      </c>
      <c r="J22" s="785">
        <f t="shared" si="7"/>
        <v>31010958.90410959</v>
      </c>
      <c r="L22" s="738"/>
      <c r="N22" s="786"/>
    </row>
    <row r="23" spans="1:18" ht="20.100000000000001" customHeight="1">
      <c r="A23" s="739">
        <v>43144</v>
      </c>
      <c r="B23" s="740">
        <f t="shared" si="2"/>
        <v>29</v>
      </c>
      <c r="C23" s="741">
        <f t="shared" si="3"/>
        <v>104876712.32876712</v>
      </c>
      <c r="D23" s="742">
        <f t="shared" si="0"/>
        <v>21396438.356164377</v>
      </c>
      <c r="E23" s="743">
        <f t="shared" si="1"/>
        <v>10884931.506849315</v>
      </c>
      <c r="F23" s="744">
        <f t="shared" si="4"/>
        <v>137158111.19178081</v>
      </c>
      <c r="H23" s="745">
        <f t="shared" si="5"/>
        <v>38184657.534246579</v>
      </c>
      <c r="I23" s="740">
        <f t="shared" si="6"/>
        <v>21769863.01369863</v>
      </c>
      <c r="J23" s="744">
        <f t="shared" si="7"/>
        <v>59954520.547945209</v>
      </c>
      <c r="L23" s="748"/>
      <c r="N23" s="722" t="s">
        <v>487</v>
      </c>
      <c r="O23" s="787" t="s">
        <v>488</v>
      </c>
    </row>
    <row r="24" spans="1:18" ht="20.100000000000001" customHeight="1">
      <c r="A24" s="739">
        <v>43172</v>
      </c>
      <c r="B24" s="740">
        <f t="shared" si="2"/>
        <v>28</v>
      </c>
      <c r="C24" s="741">
        <f t="shared" si="3"/>
        <v>101260273.97260274</v>
      </c>
      <c r="D24" s="742">
        <f t="shared" si="0"/>
        <v>20658630.136986297</v>
      </c>
      <c r="E24" s="743">
        <f t="shared" si="1"/>
        <v>10509589.04109589</v>
      </c>
      <c r="F24" s="744">
        <f t="shared" si="4"/>
        <v>132428521.15068492</v>
      </c>
      <c r="H24" s="745">
        <f t="shared" si="5"/>
        <v>36867945.205479451</v>
      </c>
      <c r="I24" s="740">
        <f t="shared" si="6"/>
        <v>21019178.08219178</v>
      </c>
      <c r="J24" s="744">
        <f t="shared" si="7"/>
        <v>57887123.287671231</v>
      </c>
      <c r="L24" s="748"/>
      <c r="N24" s="788" t="s">
        <v>489</v>
      </c>
    </row>
    <row r="25" spans="1:18" ht="20.100000000000001" customHeight="1">
      <c r="A25" s="739">
        <v>43203</v>
      </c>
      <c r="B25" s="740">
        <f t="shared" si="2"/>
        <v>31</v>
      </c>
      <c r="C25" s="741">
        <f t="shared" si="3"/>
        <v>112109589.0410959</v>
      </c>
      <c r="D25" s="742">
        <f t="shared" si="0"/>
        <v>22872054.794520542</v>
      </c>
      <c r="E25" s="743">
        <f t="shared" si="1"/>
        <v>11635616.438356165</v>
      </c>
      <c r="F25" s="744">
        <f t="shared" si="4"/>
        <v>146617291.2739726</v>
      </c>
      <c r="H25" s="745">
        <f t="shared" si="5"/>
        <v>40818082.19178082</v>
      </c>
      <c r="I25" s="740">
        <f t="shared" si="6"/>
        <v>23271232.87671233</v>
      </c>
      <c r="J25" s="744">
        <f t="shared" si="7"/>
        <v>64089315.06849315</v>
      </c>
      <c r="L25" s="748"/>
      <c r="N25" s="722" t="s">
        <v>490</v>
      </c>
      <c r="O25" s="787" t="s">
        <v>491</v>
      </c>
    </row>
    <row r="26" spans="1:18" ht="20.100000000000001" customHeight="1">
      <c r="A26" s="739">
        <v>43234</v>
      </c>
      <c r="B26" s="740">
        <f t="shared" si="2"/>
        <v>31</v>
      </c>
      <c r="C26" s="741">
        <f t="shared" si="3"/>
        <v>112109589.0410959</v>
      </c>
      <c r="D26" s="742">
        <f t="shared" si="0"/>
        <v>22872054.794520542</v>
      </c>
      <c r="E26" s="743">
        <f t="shared" si="1"/>
        <v>11635616.438356165</v>
      </c>
      <c r="F26" s="744">
        <f t="shared" si="4"/>
        <v>146617291.2739726</v>
      </c>
      <c r="H26" s="745">
        <f t="shared" si="5"/>
        <v>40818082.19178082</v>
      </c>
      <c r="I26" s="740">
        <f t="shared" si="6"/>
        <v>23271232.87671233</v>
      </c>
      <c r="J26" s="744">
        <f t="shared" si="7"/>
        <v>64089315.06849315</v>
      </c>
      <c r="L26" s="748"/>
      <c r="O26" s="789" t="s">
        <v>492</v>
      </c>
    </row>
    <row r="27" spans="1:18" ht="20.100000000000001" customHeight="1">
      <c r="A27" s="739">
        <v>43264</v>
      </c>
      <c r="B27" s="740">
        <f t="shared" si="2"/>
        <v>30</v>
      </c>
      <c r="C27" s="741">
        <f t="shared" si="3"/>
        <v>108493150.6849315</v>
      </c>
      <c r="D27" s="742">
        <f t="shared" si="0"/>
        <v>22134246.575342461</v>
      </c>
      <c r="E27" s="743">
        <f t="shared" si="1"/>
        <v>11260273.97260274</v>
      </c>
      <c r="F27" s="744">
        <f t="shared" si="4"/>
        <v>141887701.23287672</v>
      </c>
      <c r="H27" s="745">
        <f t="shared" si="5"/>
        <v>39501369.8630137</v>
      </c>
      <c r="I27" s="740">
        <f t="shared" si="6"/>
        <v>22520547.94520548</v>
      </c>
      <c r="J27" s="744">
        <f t="shared" si="7"/>
        <v>62021917.80821918</v>
      </c>
      <c r="L27" s="748"/>
    </row>
    <row r="28" spans="1:18" ht="20.100000000000001" customHeight="1">
      <c r="A28" s="739">
        <v>43294</v>
      </c>
      <c r="B28" s="740">
        <f t="shared" si="2"/>
        <v>30</v>
      </c>
      <c r="C28" s="741">
        <f t="shared" si="3"/>
        <v>108493150.6849315</v>
      </c>
      <c r="D28" s="742">
        <f t="shared" si="0"/>
        <v>22134246.575342461</v>
      </c>
      <c r="E28" s="743">
        <f t="shared" si="1"/>
        <v>11260273.97260274</v>
      </c>
      <c r="F28" s="744">
        <f t="shared" si="4"/>
        <v>141887701.23287672</v>
      </c>
      <c r="H28" s="745">
        <f t="shared" si="5"/>
        <v>39501369.8630137</v>
      </c>
      <c r="I28" s="740">
        <f t="shared" si="6"/>
        <v>22520547.94520548</v>
      </c>
      <c r="J28" s="744">
        <f t="shared" si="7"/>
        <v>62021917.80821918</v>
      </c>
      <c r="L28" s="748"/>
    </row>
    <row r="29" spans="1:18" ht="20.100000000000001" customHeight="1">
      <c r="A29" s="739">
        <v>43325</v>
      </c>
      <c r="B29" s="740">
        <f t="shared" si="2"/>
        <v>31</v>
      </c>
      <c r="C29" s="741">
        <f t="shared" si="3"/>
        <v>112109589.0410959</v>
      </c>
      <c r="D29" s="742">
        <f t="shared" si="0"/>
        <v>22872054.794520542</v>
      </c>
      <c r="E29" s="743">
        <f t="shared" si="1"/>
        <v>11635616.438356165</v>
      </c>
      <c r="F29" s="744">
        <f t="shared" si="4"/>
        <v>146617291.2739726</v>
      </c>
      <c r="H29" s="745">
        <f t="shared" si="5"/>
        <v>40818082.19178082</v>
      </c>
      <c r="I29" s="740">
        <f t="shared" si="6"/>
        <v>23271232.87671233</v>
      </c>
      <c r="J29" s="744">
        <f t="shared" si="7"/>
        <v>64089315.06849315</v>
      </c>
      <c r="L29" s="748"/>
    </row>
    <row r="30" spans="1:18" ht="20.100000000000001" customHeight="1">
      <c r="A30" s="739">
        <v>43356</v>
      </c>
      <c r="B30" s="740">
        <f t="shared" si="2"/>
        <v>31</v>
      </c>
      <c r="C30" s="741">
        <f t="shared" si="3"/>
        <v>112109589.0410959</v>
      </c>
      <c r="D30" s="742">
        <f t="shared" si="0"/>
        <v>22872054.794520542</v>
      </c>
      <c r="E30" s="743">
        <f t="shared" si="1"/>
        <v>11635616.438356165</v>
      </c>
      <c r="F30" s="744">
        <f t="shared" si="4"/>
        <v>146617291.2739726</v>
      </c>
      <c r="H30" s="745">
        <f t="shared" si="5"/>
        <v>40818082.19178082</v>
      </c>
      <c r="I30" s="740">
        <f t="shared" si="6"/>
        <v>23271232.87671233</v>
      </c>
      <c r="J30" s="744">
        <f t="shared" si="7"/>
        <v>64089315.06849315</v>
      </c>
      <c r="L30" s="748"/>
    </row>
    <row r="31" spans="1:18" ht="20.100000000000001" customHeight="1" thickBot="1">
      <c r="A31" s="739">
        <v>43388</v>
      </c>
      <c r="B31" s="740">
        <f t="shared" si="2"/>
        <v>32</v>
      </c>
      <c r="C31" s="741">
        <f t="shared" si="3"/>
        <v>115726027.39726028</v>
      </c>
      <c r="D31" s="742">
        <f t="shared" si="0"/>
        <v>23609863.013698626</v>
      </c>
      <c r="E31" s="743">
        <f t="shared" si="1"/>
        <v>12010958.90410959</v>
      </c>
      <c r="F31" s="744">
        <f t="shared" si="4"/>
        <v>151346881.31506851</v>
      </c>
      <c r="H31" s="745">
        <f t="shared" si="5"/>
        <v>42134794.520547949</v>
      </c>
      <c r="I31" s="740">
        <f t="shared" si="6"/>
        <v>24021917.80821918</v>
      </c>
      <c r="J31" s="744">
        <f t="shared" si="7"/>
        <v>66156712.328767128</v>
      </c>
      <c r="L31" s="748"/>
    </row>
    <row r="32" spans="1:18" s="723" customFormat="1" ht="20.100000000000001" customHeight="1" thickTop="1">
      <c r="A32" s="2140" t="s">
        <v>493</v>
      </c>
      <c r="B32" s="2141"/>
      <c r="C32" s="790">
        <f>SUM(C6:C31)</f>
        <v>2647232876.7123284</v>
      </c>
      <c r="D32" s="791">
        <f>SUM(D6:D31)</f>
        <v>540075616.43835616</v>
      </c>
      <c r="E32" s="792">
        <f>SUM(E6:E31)</f>
        <v>274750684.93150681</v>
      </c>
      <c r="F32" s="793">
        <f>SUM(F6:F31)</f>
        <v>3462059910.0821915</v>
      </c>
      <c r="H32" s="794">
        <f>SUM(H6:H31)</f>
        <v>604370958.9041096</v>
      </c>
      <c r="I32" s="795">
        <f>SUM(I6:I31)</f>
        <v>344564383.56164384</v>
      </c>
      <c r="J32" s="793">
        <f>SUM(J6:J31)</f>
        <v>948935342.46575344</v>
      </c>
      <c r="L32" s="793">
        <f>SUM(L6:L31)</f>
        <v>44876712.328767121</v>
      </c>
    </row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</sheetData>
  <mergeCells count="18">
    <mergeCell ref="A32:B32"/>
    <mergeCell ref="N13:N15"/>
    <mergeCell ref="O13:O15"/>
    <mergeCell ref="P13:P15"/>
    <mergeCell ref="Q13:Q15"/>
    <mergeCell ref="R13:R15"/>
    <mergeCell ref="N19:N20"/>
    <mergeCell ref="O19:O20"/>
    <mergeCell ref="Q19:Q20"/>
    <mergeCell ref="A1:L1"/>
    <mergeCell ref="A2:F2"/>
    <mergeCell ref="H2:J2"/>
    <mergeCell ref="A3:B3"/>
    <mergeCell ref="C3:E3"/>
    <mergeCell ref="F3:F4"/>
    <mergeCell ref="H3:I3"/>
    <mergeCell ref="J3:J4"/>
    <mergeCell ref="L3:L4"/>
  </mergeCells>
  <phoneticPr fontId="2" type="noConversion"/>
  <hyperlinks>
    <hyperlink ref="O23" r:id="rId1"/>
    <hyperlink ref="O25" r:id="rId2"/>
  </hyperlinks>
  <pageMargins left="0.7" right="0.7" top="0.75" bottom="0.75" header="0.3" footer="0.3"/>
  <pageSetup paperSize="9" scale="71" orientation="landscape" r:id="rId3"/>
  <colBreaks count="1" manualBreakCount="1">
    <brk id="12" max="31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zoomScaleSheetLayoutView="115" workbookViewId="0"/>
  </sheetViews>
  <sheetFormatPr defaultColWidth="12.625" defaultRowHeight="20.100000000000001" customHeight="1"/>
  <cols>
    <col min="1" max="1" width="19.875" style="29" customWidth="1"/>
    <col min="2" max="2" width="27.5" style="29" customWidth="1"/>
    <col min="3" max="3" width="25.875" style="29" customWidth="1"/>
    <col min="4" max="4" width="21.75" style="29" customWidth="1"/>
    <col min="5" max="5" width="23" style="29" customWidth="1"/>
    <col min="6" max="255" width="12.625" style="29"/>
    <col min="256" max="256" width="15.625" style="29" customWidth="1"/>
    <col min="257" max="258" width="22.875" style="29" customWidth="1"/>
    <col min="259" max="259" width="18.625" style="29" customWidth="1"/>
    <col min="260" max="260" width="15.625" style="29" customWidth="1"/>
    <col min="261" max="261" width="20.25" style="29" customWidth="1"/>
    <col min="262" max="511" width="12.625" style="29"/>
    <col min="512" max="512" width="15.625" style="29" customWidth="1"/>
    <col min="513" max="514" width="22.875" style="29" customWidth="1"/>
    <col min="515" max="515" width="18.625" style="29" customWidth="1"/>
    <col min="516" max="516" width="15.625" style="29" customWidth="1"/>
    <col min="517" max="517" width="20.25" style="29" customWidth="1"/>
    <col min="518" max="767" width="12.625" style="29"/>
    <col min="768" max="768" width="15.625" style="29" customWidth="1"/>
    <col min="769" max="770" width="22.875" style="29" customWidth="1"/>
    <col min="771" max="771" width="18.625" style="29" customWidth="1"/>
    <col min="772" max="772" width="15.625" style="29" customWidth="1"/>
    <col min="773" max="773" width="20.25" style="29" customWidth="1"/>
    <col min="774" max="1023" width="12.625" style="29"/>
    <col min="1024" max="1024" width="15.625" style="29" customWidth="1"/>
    <col min="1025" max="1026" width="22.875" style="29" customWidth="1"/>
    <col min="1027" max="1027" width="18.625" style="29" customWidth="1"/>
    <col min="1028" max="1028" width="15.625" style="29" customWidth="1"/>
    <col min="1029" max="1029" width="20.25" style="29" customWidth="1"/>
    <col min="1030" max="1279" width="12.625" style="29"/>
    <col min="1280" max="1280" width="15.625" style="29" customWidth="1"/>
    <col min="1281" max="1282" width="22.875" style="29" customWidth="1"/>
    <col min="1283" max="1283" width="18.625" style="29" customWidth="1"/>
    <col min="1284" max="1284" width="15.625" style="29" customWidth="1"/>
    <col min="1285" max="1285" width="20.25" style="29" customWidth="1"/>
    <col min="1286" max="1535" width="12.625" style="29"/>
    <col min="1536" max="1536" width="15.625" style="29" customWidth="1"/>
    <col min="1537" max="1538" width="22.875" style="29" customWidth="1"/>
    <col min="1539" max="1539" width="18.625" style="29" customWidth="1"/>
    <col min="1540" max="1540" width="15.625" style="29" customWidth="1"/>
    <col min="1541" max="1541" width="20.25" style="29" customWidth="1"/>
    <col min="1542" max="1791" width="12.625" style="29"/>
    <col min="1792" max="1792" width="15.625" style="29" customWidth="1"/>
    <col min="1793" max="1794" width="22.875" style="29" customWidth="1"/>
    <col min="1795" max="1795" width="18.625" style="29" customWidth="1"/>
    <col min="1796" max="1796" width="15.625" style="29" customWidth="1"/>
    <col min="1797" max="1797" width="20.25" style="29" customWidth="1"/>
    <col min="1798" max="2047" width="12.625" style="29"/>
    <col min="2048" max="2048" width="15.625" style="29" customWidth="1"/>
    <col min="2049" max="2050" width="22.875" style="29" customWidth="1"/>
    <col min="2051" max="2051" width="18.625" style="29" customWidth="1"/>
    <col min="2052" max="2052" width="15.625" style="29" customWidth="1"/>
    <col min="2053" max="2053" width="20.25" style="29" customWidth="1"/>
    <col min="2054" max="2303" width="12.625" style="29"/>
    <col min="2304" max="2304" width="15.625" style="29" customWidth="1"/>
    <col min="2305" max="2306" width="22.875" style="29" customWidth="1"/>
    <col min="2307" max="2307" width="18.625" style="29" customWidth="1"/>
    <col min="2308" max="2308" width="15.625" style="29" customWidth="1"/>
    <col min="2309" max="2309" width="20.25" style="29" customWidth="1"/>
    <col min="2310" max="2559" width="12.625" style="29"/>
    <col min="2560" max="2560" width="15.625" style="29" customWidth="1"/>
    <col min="2561" max="2562" width="22.875" style="29" customWidth="1"/>
    <col min="2563" max="2563" width="18.625" style="29" customWidth="1"/>
    <col min="2564" max="2564" width="15.625" style="29" customWidth="1"/>
    <col min="2565" max="2565" width="20.25" style="29" customWidth="1"/>
    <col min="2566" max="2815" width="12.625" style="29"/>
    <col min="2816" max="2816" width="15.625" style="29" customWidth="1"/>
    <col min="2817" max="2818" width="22.875" style="29" customWidth="1"/>
    <col min="2819" max="2819" width="18.625" style="29" customWidth="1"/>
    <col min="2820" max="2820" width="15.625" style="29" customWidth="1"/>
    <col min="2821" max="2821" width="20.25" style="29" customWidth="1"/>
    <col min="2822" max="3071" width="12.625" style="29"/>
    <col min="3072" max="3072" width="15.625" style="29" customWidth="1"/>
    <col min="3073" max="3074" width="22.875" style="29" customWidth="1"/>
    <col min="3075" max="3075" width="18.625" style="29" customWidth="1"/>
    <col min="3076" max="3076" width="15.625" style="29" customWidth="1"/>
    <col min="3077" max="3077" width="20.25" style="29" customWidth="1"/>
    <col min="3078" max="3327" width="12.625" style="29"/>
    <col min="3328" max="3328" width="15.625" style="29" customWidth="1"/>
    <col min="3329" max="3330" width="22.875" style="29" customWidth="1"/>
    <col min="3331" max="3331" width="18.625" style="29" customWidth="1"/>
    <col min="3332" max="3332" width="15.625" style="29" customWidth="1"/>
    <col min="3333" max="3333" width="20.25" style="29" customWidth="1"/>
    <col min="3334" max="3583" width="12.625" style="29"/>
    <col min="3584" max="3584" width="15.625" style="29" customWidth="1"/>
    <col min="3585" max="3586" width="22.875" style="29" customWidth="1"/>
    <col min="3587" max="3587" width="18.625" style="29" customWidth="1"/>
    <col min="3588" max="3588" width="15.625" style="29" customWidth="1"/>
    <col min="3589" max="3589" width="20.25" style="29" customWidth="1"/>
    <col min="3590" max="3839" width="12.625" style="29"/>
    <col min="3840" max="3840" width="15.625" style="29" customWidth="1"/>
    <col min="3841" max="3842" width="22.875" style="29" customWidth="1"/>
    <col min="3843" max="3843" width="18.625" style="29" customWidth="1"/>
    <col min="3844" max="3844" width="15.625" style="29" customWidth="1"/>
    <col min="3845" max="3845" width="20.25" style="29" customWidth="1"/>
    <col min="3846" max="4095" width="12.625" style="29"/>
    <col min="4096" max="4096" width="15.625" style="29" customWidth="1"/>
    <col min="4097" max="4098" width="22.875" style="29" customWidth="1"/>
    <col min="4099" max="4099" width="18.625" style="29" customWidth="1"/>
    <col min="4100" max="4100" width="15.625" style="29" customWidth="1"/>
    <col min="4101" max="4101" width="20.25" style="29" customWidth="1"/>
    <col min="4102" max="4351" width="12.625" style="29"/>
    <col min="4352" max="4352" width="15.625" style="29" customWidth="1"/>
    <col min="4353" max="4354" width="22.875" style="29" customWidth="1"/>
    <col min="4355" max="4355" width="18.625" style="29" customWidth="1"/>
    <col min="4356" max="4356" width="15.625" style="29" customWidth="1"/>
    <col min="4357" max="4357" width="20.25" style="29" customWidth="1"/>
    <col min="4358" max="4607" width="12.625" style="29"/>
    <col min="4608" max="4608" width="15.625" style="29" customWidth="1"/>
    <col min="4609" max="4610" width="22.875" style="29" customWidth="1"/>
    <col min="4611" max="4611" width="18.625" style="29" customWidth="1"/>
    <col min="4612" max="4612" width="15.625" style="29" customWidth="1"/>
    <col min="4613" max="4613" width="20.25" style="29" customWidth="1"/>
    <col min="4614" max="4863" width="12.625" style="29"/>
    <col min="4864" max="4864" width="15.625" style="29" customWidth="1"/>
    <col min="4865" max="4866" width="22.875" style="29" customWidth="1"/>
    <col min="4867" max="4867" width="18.625" style="29" customWidth="1"/>
    <col min="4868" max="4868" width="15.625" style="29" customWidth="1"/>
    <col min="4869" max="4869" width="20.25" style="29" customWidth="1"/>
    <col min="4870" max="5119" width="12.625" style="29"/>
    <col min="5120" max="5120" width="15.625" style="29" customWidth="1"/>
    <col min="5121" max="5122" width="22.875" style="29" customWidth="1"/>
    <col min="5123" max="5123" width="18.625" style="29" customWidth="1"/>
    <col min="5124" max="5124" width="15.625" style="29" customWidth="1"/>
    <col min="5125" max="5125" width="20.25" style="29" customWidth="1"/>
    <col min="5126" max="5375" width="12.625" style="29"/>
    <col min="5376" max="5376" width="15.625" style="29" customWidth="1"/>
    <col min="5377" max="5378" width="22.875" style="29" customWidth="1"/>
    <col min="5379" max="5379" width="18.625" style="29" customWidth="1"/>
    <col min="5380" max="5380" width="15.625" style="29" customWidth="1"/>
    <col min="5381" max="5381" width="20.25" style="29" customWidth="1"/>
    <col min="5382" max="5631" width="12.625" style="29"/>
    <col min="5632" max="5632" width="15.625" style="29" customWidth="1"/>
    <col min="5633" max="5634" width="22.875" style="29" customWidth="1"/>
    <col min="5635" max="5635" width="18.625" style="29" customWidth="1"/>
    <col min="5636" max="5636" width="15.625" style="29" customWidth="1"/>
    <col min="5637" max="5637" width="20.25" style="29" customWidth="1"/>
    <col min="5638" max="5887" width="12.625" style="29"/>
    <col min="5888" max="5888" width="15.625" style="29" customWidth="1"/>
    <col min="5889" max="5890" width="22.875" style="29" customWidth="1"/>
    <col min="5891" max="5891" width="18.625" style="29" customWidth="1"/>
    <col min="5892" max="5892" width="15.625" style="29" customWidth="1"/>
    <col min="5893" max="5893" width="20.25" style="29" customWidth="1"/>
    <col min="5894" max="6143" width="12.625" style="29"/>
    <col min="6144" max="6144" width="15.625" style="29" customWidth="1"/>
    <col min="6145" max="6146" width="22.875" style="29" customWidth="1"/>
    <col min="6147" max="6147" width="18.625" style="29" customWidth="1"/>
    <col min="6148" max="6148" width="15.625" style="29" customWidth="1"/>
    <col min="6149" max="6149" width="20.25" style="29" customWidth="1"/>
    <col min="6150" max="6399" width="12.625" style="29"/>
    <col min="6400" max="6400" width="15.625" style="29" customWidth="1"/>
    <col min="6401" max="6402" width="22.875" style="29" customWidth="1"/>
    <col min="6403" max="6403" width="18.625" style="29" customWidth="1"/>
    <col min="6404" max="6404" width="15.625" style="29" customWidth="1"/>
    <col min="6405" max="6405" width="20.25" style="29" customWidth="1"/>
    <col min="6406" max="6655" width="12.625" style="29"/>
    <col min="6656" max="6656" width="15.625" style="29" customWidth="1"/>
    <col min="6657" max="6658" width="22.875" style="29" customWidth="1"/>
    <col min="6659" max="6659" width="18.625" style="29" customWidth="1"/>
    <col min="6660" max="6660" width="15.625" style="29" customWidth="1"/>
    <col min="6661" max="6661" width="20.25" style="29" customWidth="1"/>
    <col min="6662" max="6911" width="12.625" style="29"/>
    <col min="6912" max="6912" width="15.625" style="29" customWidth="1"/>
    <col min="6913" max="6914" width="22.875" style="29" customWidth="1"/>
    <col min="6915" max="6915" width="18.625" style="29" customWidth="1"/>
    <col min="6916" max="6916" width="15.625" style="29" customWidth="1"/>
    <col min="6917" max="6917" width="20.25" style="29" customWidth="1"/>
    <col min="6918" max="7167" width="12.625" style="29"/>
    <col min="7168" max="7168" width="15.625" style="29" customWidth="1"/>
    <col min="7169" max="7170" width="22.875" style="29" customWidth="1"/>
    <col min="7171" max="7171" width="18.625" style="29" customWidth="1"/>
    <col min="7172" max="7172" width="15.625" style="29" customWidth="1"/>
    <col min="7173" max="7173" width="20.25" style="29" customWidth="1"/>
    <col min="7174" max="7423" width="12.625" style="29"/>
    <col min="7424" max="7424" width="15.625" style="29" customWidth="1"/>
    <col min="7425" max="7426" width="22.875" style="29" customWidth="1"/>
    <col min="7427" max="7427" width="18.625" style="29" customWidth="1"/>
    <col min="7428" max="7428" width="15.625" style="29" customWidth="1"/>
    <col min="7429" max="7429" width="20.25" style="29" customWidth="1"/>
    <col min="7430" max="7679" width="12.625" style="29"/>
    <col min="7680" max="7680" width="15.625" style="29" customWidth="1"/>
    <col min="7681" max="7682" width="22.875" style="29" customWidth="1"/>
    <col min="7683" max="7683" width="18.625" style="29" customWidth="1"/>
    <col min="7684" max="7684" width="15.625" style="29" customWidth="1"/>
    <col min="7685" max="7685" width="20.25" style="29" customWidth="1"/>
    <col min="7686" max="7935" width="12.625" style="29"/>
    <col min="7936" max="7936" width="15.625" style="29" customWidth="1"/>
    <col min="7937" max="7938" width="22.875" style="29" customWidth="1"/>
    <col min="7939" max="7939" width="18.625" style="29" customWidth="1"/>
    <col min="7940" max="7940" width="15.625" style="29" customWidth="1"/>
    <col min="7941" max="7941" width="20.25" style="29" customWidth="1"/>
    <col min="7942" max="8191" width="12.625" style="29"/>
    <col min="8192" max="8192" width="15.625" style="29" customWidth="1"/>
    <col min="8193" max="8194" width="22.875" style="29" customWidth="1"/>
    <col min="8195" max="8195" width="18.625" style="29" customWidth="1"/>
    <col min="8196" max="8196" width="15.625" style="29" customWidth="1"/>
    <col min="8197" max="8197" width="20.25" style="29" customWidth="1"/>
    <col min="8198" max="8447" width="12.625" style="29"/>
    <col min="8448" max="8448" width="15.625" style="29" customWidth="1"/>
    <col min="8449" max="8450" width="22.875" style="29" customWidth="1"/>
    <col min="8451" max="8451" width="18.625" style="29" customWidth="1"/>
    <col min="8452" max="8452" width="15.625" style="29" customWidth="1"/>
    <col min="8453" max="8453" width="20.25" style="29" customWidth="1"/>
    <col min="8454" max="8703" width="12.625" style="29"/>
    <col min="8704" max="8704" width="15.625" style="29" customWidth="1"/>
    <col min="8705" max="8706" width="22.875" style="29" customWidth="1"/>
    <col min="8707" max="8707" width="18.625" style="29" customWidth="1"/>
    <col min="8708" max="8708" width="15.625" style="29" customWidth="1"/>
    <col min="8709" max="8709" width="20.25" style="29" customWidth="1"/>
    <col min="8710" max="8959" width="12.625" style="29"/>
    <col min="8960" max="8960" width="15.625" style="29" customWidth="1"/>
    <col min="8961" max="8962" width="22.875" style="29" customWidth="1"/>
    <col min="8963" max="8963" width="18.625" style="29" customWidth="1"/>
    <col min="8964" max="8964" width="15.625" style="29" customWidth="1"/>
    <col min="8965" max="8965" width="20.25" style="29" customWidth="1"/>
    <col min="8966" max="9215" width="12.625" style="29"/>
    <col min="9216" max="9216" width="15.625" style="29" customWidth="1"/>
    <col min="9217" max="9218" width="22.875" style="29" customWidth="1"/>
    <col min="9219" max="9219" width="18.625" style="29" customWidth="1"/>
    <col min="9220" max="9220" width="15.625" style="29" customWidth="1"/>
    <col min="9221" max="9221" width="20.25" style="29" customWidth="1"/>
    <col min="9222" max="9471" width="12.625" style="29"/>
    <col min="9472" max="9472" width="15.625" style="29" customWidth="1"/>
    <col min="9473" max="9474" width="22.875" style="29" customWidth="1"/>
    <col min="9475" max="9475" width="18.625" style="29" customWidth="1"/>
    <col min="9476" max="9476" width="15.625" style="29" customWidth="1"/>
    <col min="9477" max="9477" width="20.25" style="29" customWidth="1"/>
    <col min="9478" max="9727" width="12.625" style="29"/>
    <col min="9728" max="9728" width="15.625" style="29" customWidth="1"/>
    <col min="9729" max="9730" width="22.875" style="29" customWidth="1"/>
    <col min="9731" max="9731" width="18.625" style="29" customWidth="1"/>
    <col min="9732" max="9732" width="15.625" style="29" customWidth="1"/>
    <col min="9733" max="9733" width="20.25" style="29" customWidth="1"/>
    <col min="9734" max="9983" width="12.625" style="29"/>
    <col min="9984" max="9984" width="15.625" style="29" customWidth="1"/>
    <col min="9985" max="9986" width="22.875" style="29" customWidth="1"/>
    <col min="9987" max="9987" width="18.625" style="29" customWidth="1"/>
    <col min="9988" max="9988" width="15.625" style="29" customWidth="1"/>
    <col min="9989" max="9989" width="20.25" style="29" customWidth="1"/>
    <col min="9990" max="10239" width="12.625" style="29"/>
    <col min="10240" max="10240" width="15.625" style="29" customWidth="1"/>
    <col min="10241" max="10242" width="22.875" style="29" customWidth="1"/>
    <col min="10243" max="10243" width="18.625" style="29" customWidth="1"/>
    <col min="10244" max="10244" width="15.625" style="29" customWidth="1"/>
    <col min="10245" max="10245" width="20.25" style="29" customWidth="1"/>
    <col min="10246" max="10495" width="12.625" style="29"/>
    <col min="10496" max="10496" width="15.625" style="29" customWidth="1"/>
    <col min="10497" max="10498" width="22.875" style="29" customWidth="1"/>
    <col min="10499" max="10499" width="18.625" style="29" customWidth="1"/>
    <col min="10500" max="10500" width="15.625" style="29" customWidth="1"/>
    <col min="10501" max="10501" width="20.25" style="29" customWidth="1"/>
    <col min="10502" max="10751" width="12.625" style="29"/>
    <col min="10752" max="10752" width="15.625" style="29" customWidth="1"/>
    <col min="10753" max="10754" width="22.875" style="29" customWidth="1"/>
    <col min="10755" max="10755" width="18.625" style="29" customWidth="1"/>
    <col min="10756" max="10756" width="15.625" style="29" customWidth="1"/>
    <col min="10757" max="10757" width="20.25" style="29" customWidth="1"/>
    <col min="10758" max="11007" width="12.625" style="29"/>
    <col min="11008" max="11008" width="15.625" style="29" customWidth="1"/>
    <col min="11009" max="11010" width="22.875" style="29" customWidth="1"/>
    <col min="11011" max="11011" width="18.625" style="29" customWidth="1"/>
    <col min="11012" max="11012" width="15.625" style="29" customWidth="1"/>
    <col min="11013" max="11013" width="20.25" style="29" customWidth="1"/>
    <col min="11014" max="11263" width="12.625" style="29"/>
    <col min="11264" max="11264" width="15.625" style="29" customWidth="1"/>
    <col min="11265" max="11266" width="22.875" style="29" customWidth="1"/>
    <col min="11267" max="11267" width="18.625" style="29" customWidth="1"/>
    <col min="11268" max="11268" width="15.625" style="29" customWidth="1"/>
    <col min="11269" max="11269" width="20.25" style="29" customWidth="1"/>
    <col min="11270" max="11519" width="12.625" style="29"/>
    <col min="11520" max="11520" width="15.625" style="29" customWidth="1"/>
    <col min="11521" max="11522" width="22.875" style="29" customWidth="1"/>
    <col min="11523" max="11523" width="18.625" style="29" customWidth="1"/>
    <col min="11524" max="11524" width="15.625" style="29" customWidth="1"/>
    <col min="11525" max="11525" width="20.25" style="29" customWidth="1"/>
    <col min="11526" max="11775" width="12.625" style="29"/>
    <col min="11776" max="11776" width="15.625" style="29" customWidth="1"/>
    <col min="11777" max="11778" width="22.875" style="29" customWidth="1"/>
    <col min="11779" max="11779" width="18.625" style="29" customWidth="1"/>
    <col min="11780" max="11780" width="15.625" style="29" customWidth="1"/>
    <col min="11781" max="11781" width="20.25" style="29" customWidth="1"/>
    <col min="11782" max="12031" width="12.625" style="29"/>
    <col min="12032" max="12032" width="15.625" style="29" customWidth="1"/>
    <col min="12033" max="12034" width="22.875" style="29" customWidth="1"/>
    <col min="12035" max="12035" width="18.625" style="29" customWidth="1"/>
    <col min="12036" max="12036" width="15.625" style="29" customWidth="1"/>
    <col min="12037" max="12037" width="20.25" style="29" customWidth="1"/>
    <col min="12038" max="12287" width="12.625" style="29"/>
    <col min="12288" max="12288" width="15.625" style="29" customWidth="1"/>
    <col min="12289" max="12290" width="22.875" style="29" customWidth="1"/>
    <col min="12291" max="12291" width="18.625" style="29" customWidth="1"/>
    <col min="12292" max="12292" width="15.625" style="29" customWidth="1"/>
    <col min="12293" max="12293" width="20.25" style="29" customWidth="1"/>
    <col min="12294" max="12543" width="12.625" style="29"/>
    <col min="12544" max="12544" width="15.625" style="29" customWidth="1"/>
    <col min="12545" max="12546" width="22.875" style="29" customWidth="1"/>
    <col min="12547" max="12547" width="18.625" style="29" customWidth="1"/>
    <col min="12548" max="12548" width="15.625" style="29" customWidth="1"/>
    <col min="12549" max="12549" width="20.25" style="29" customWidth="1"/>
    <col min="12550" max="12799" width="12.625" style="29"/>
    <col min="12800" max="12800" width="15.625" style="29" customWidth="1"/>
    <col min="12801" max="12802" width="22.875" style="29" customWidth="1"/>
    <col min="12803" max="12803" width="18.625" style="29" customWidth="1"/>
    <col min="12804" max="12804" width="15.625" style="29" customWidth="1"/>
    <col min="12805" max="12805" width="20.25" style="29" customWidth="1"/>
    <col min="12806" max="13055" width="12.625" style="29"/>
    <col min="13056" max="13056" width="15.625" style="29" customWidth="1"/>
    <col min="13057" max="13058" width="22.875" style="29" customWidth="1"/>
    <col min="13059" max="13059" width="18.625" style="29" customWidth="1"/>
    <col min="13060" max="13060" width="15.625" style="29" customWidth="1"/>
    <col min="13061" max="13061" width="20.25" style="29" customWidth="1"/>
    <col min="13062" max="13311" width="12.625" style="29"/>
    <col min="13312" max="13312" width="15.625" style="29" customWidth="1"/>
    <col min="13313" max="13314" width="22.875" style="29" customWidth="1"/>
    <col min="13315" max="13315" width="18.625" style="29" customWidth="1"/>
    <col min="13316" max="13316" width="15.625" style="29" customWidth="1"/>
    <col min="13317" max="13317" width="20.25" style="29" customWidth="1"/>
    <col min="13318" max="13567" width="12.625" style="29"/>
    <col min="13568" max="13568" width="15.625" style="29" customWidth="1"/>
    <col min="13569" max="13570" width="22.875" style="29" customWidth="1"/>
    <col min="13571" max="13571" width="18.625" style="29" customWidth="1"/>
    <col min="13572" max="13572" width="15.625" style="29" customWidth="1"/>
    <col min="13573" max="13573" width="20.25" style="29" customWidth="1"/>
    <col min="13574" max="13823" width="12.625" style="29"/>
    <col min="13824" max="13824" width="15.625" style="29" customWidth="1"/>
    <col min="13825" max="13826" width="22.875" style="29" customWidth="1"/>
    <col min="13827" max="13827" width="18.625" style="29" customWidth="1"/>
    <col min="13828" max="13828" width="15.625" style="29" customWidth="1"/>
    <col min="13829" max="13829" width="20.25" style="29" customWidth="1"/>
    <col min="13830" max="14079" width="12.625" style="29"/>
    <col min="14080" max="14080" width="15.625" style="29" customWidth="1"/>
    <col min="14081" max="14082" width="22.875" style="29" customWidth="1"/>
    <col min="14083" max="14083" width="18.625" style="29" customWidth="1"/>
    <col min="14084" max="14084" width="15.625" style="29" customWidth="1"/>
    <col min="14085" max="14085" width="20.25" style="29" customWidth="1"/>
    <col min="14086" max="14335" width="12.625" style="29"/>
    <col min="14336" max="14336" width="15.625" style="29" customWidth="1"/>
    <col min="14337" max="14338" width="22.875" style="29" customWidth="1"/>
    <col min="14339" max="14339" width="18.625" style="29" customWidth="1"/>
    <col min="14340" max="14340" width="15.625" style="29" customWidth="1"/>
    <col min="14341" max="14341" width="20.25" style="29" customWidth="1"/>
    <col min="14342" max="14591" width="12.625" style="29"/>
    <col min="14592" max="14592" width="15.625" style="29" customWidth="1"/>
    <col min="14593" max="14594" width="22.875" style="29" customWidth="1"/>
    <col min="14595" max="14595" width="18.625" style="29" customWidth="1"/>
    <col min="14596" max="14596" width="15.625" style="29" customWidth="1"/>
    <col min="14597" max="14597" width="20.25" style="29" customWidth="1"/>
    <col min="14598" max="14847" width="12.625" style="29"/>
    <col min="14848" max="14848" width="15.625" style="29" customWidth="1"/>
    <col min="14849" max="14850" width="22.875" style="29" customWidth="1"/>
    <col min="14851" max="14851" width="18.625" style="29" customWidth="1"/>
    <col min="14852" max="14852" width="15.625" style="29" customWidth="1"/>
    <col min="14853" max="14853" width="20.25" style="29" customWidth="1"/>
    <col min="14854" max="15103" width="12.625" style="29"/>
    <col min="15104" max="15104" width="15.625" style="29" customWidth="1"/>
    <col min="15105" max="15106" width="22.875" style="29" customWidth="1"/>
    <col min="15107" max="15107" width="18.625" style="29" customWidth="1"/>
    <col min="15108" max="15108" width="15.625" style="29" customWidth="1"/>
    <col min="15109" max="15109" width="20.25" style="29" customWidth="1"/>
    <col min="15110" max="15359" width="12.625" style="29"/>
    <col min="15360" max="15360" width="15.625" style="29" customWidth="1"/>
    <col min="15361" max="15362" width="22.875" style="29" customWidth="1"/>
    <col min="15363" max="15363" width="18.625" style="29" customWidth="1"/>
    <col min="15364" max="15364" width="15.625" style="29" customWidth="1"/>
    <col min="15365" max="15365" width="20.25" style="29" customWidth="1"/>
    <col min="15366" max="15615" width="12.625" style="29"/>
    <col min="15616" max="15616" width="15.625" style="29" customWidth="1"/>
    <col min="15617" max="15618" width="22.875" style="29" customWidth="1"/>
    <col min="15619" max="15619" width="18.625" style="29" customWidth="1"/>
    <col min="15620" max="15620" width="15.625" style="29" customWidth="1"/>
    <col min="15621" max="15621" width="20.25" style="29" customWidth="1"/>
    <col min="15622" max="15871" width="12.625" style="29"/>
    <col min="15872" max="15872" width="15.625" style="29" customWidth="1"/>
    <col min="15873" max="15874" width="22.875" style="29" customWidth="1"/>
    <col min="15875" max="15875" width="18.625" style="29" customWidth="1"/>
    <col min="15876" max="15876" width="15.625" style="29" customWidth="1"/>
    <col min="15877" max="15877" width="20.25" style="29" customWidth="1"/>
    <col min="15878" max="16127" width="12.625" style="29"/>
    <col min="16128" max="16128" width="15.625" style="29" customWidth="1"/>
    <col min="16129" max="16130" width="22.875" style="29" customWidth="1"/>
    <col min="16131" max="16131" width="18.625" style="29" customWidth="1"/>
    <col min="16132" max="16132" width="15.625" style="29" customWidth="1"/>
    <col min="16133" max="16133" width="20.25" style="29" customWidth="1"/>
    <col min="16134" max="16384" width="12.625" style="29"/>
  </cols>
  <sheetData>
    <row r="1" spans="1:5" ht="20.25" customHeight="1">
      <c r="A1" s="27" t="s">
        <v>23</v>
      </c>
    </row>
    <row r="2" spans="1:5" ht="18" customHeight="1">
      <c r="C2" s="50"/>
    </row>
    <row r="3" spans="1:5" ht="14.25" customHeight="1">
      <c r="A3" s="2083">
        <f>'선급비용(보험료,기타)'!A3:B3</f>
        <v>45504</v>
      </c>
      <c r="B3" s="2083"/>
      <c r="E3" s="31" t="s">
        <v>0</v>
      </c>
    </row>
    <row r="4" spans="1:5" s="30" customFormat="1" ht="24.95" customHeight="1">
      <c r="A4" s="76" t="s">
        <v>6</v>
      </c>
      <c r="B4" s="42" t="s">
        <v>1</v>
      </c>
      <c r="C4" s="45" t="s">
        <v>7</v>
      </c>
      <c r="D4" s="52" t="s">
        <v>3</v>
      </c>
      <c r="E4" s="45" t="s">
        <v>4</v>
      </c>
    </row>
    <row r="5" spans="1:5" ht="24.95" customHeight="1">
      <c r="A5" s="172" t="s">
        <v>24</v>
      </c>
      <c r="B5" s="173" t="s">
        <v>54</v>
      </c>
      <c r="C5" s="174" t="s">
        <v>53</v>
      </c>
      <c r="D5" s="75">
        <v>319890</v>
      </c>
      <c r="E5" s="175"/>
    </row>
    <row r="6" spans="1:5" ht="24.95" customHeight="1">
      <c r="A6" s="135" t="s">
        <v>8</v>
      </c>
      <c r="B6" s="2144" t="s">
        <v>29</v>
      </c>
      <c r="C6" s="176" t="s">
        <v>125</v>
      </c>
      <c r="D6" s="177">
        <v>22278378</v>
      </c>
      <c r="E6" s="178" t="s">
        <v>131</v>
      </c>
    </row>
    <row r="7" spans="1:5" ht="24.95" customHeight="1">
      <c r="A7" s="53"/>
      <c r="B7" s="2145"/>
      <c r="C7" s="179" t="s">
        <v>130</v>
      </c>
      <c r="D7" s="180">
        <v>0</v>
      </c>
      <c r="E7" s="35" t="s">
        <v>132</v>
      </c>
    </row>
    <row r="8" spans="1:5" ht="24.95" customHeight="1">
      <c r="A8" s="53"/>
      <c r="B8" s="2145"/>
      <c r="C8" s="179" t="s">
        <v>127</v>
      </c>
      <c r="D8" s="636">
        <v>0</v>
      </c>
      <c r="E8" s="35" t="s">
        <v>133</v>
      </c>
    </row>
    <row r="9" spans="1:5" ht="24.95" customHeight="1">
      <c r="A9" s="144"/>
      <c r="B9" s="2145"/>
      <c r="C9" s="635" t="s">
        <v>406</v>
      </c>
      <c r="D9" s="636">
        <v>0</v>
      </c>
      <c r="E9" s="637" t="s">
        <v>407</v>
      </c>
    </row>
    <row r="10" spans="1:5" ht="24.95" customHeight="1">
      <c r="A10" s="144"/>
      <c r="B10" s="1483"/>
      <c r="C10" s="1487" t="s">
        <v>994</v>
      </c>
      <c r="D10" s="1488">
        <v>0</v>
      </c>
      <c r="E10" s="1489" t="s">
        <v>995</v>
      </c>
    </row>
    <row r="11" spans="1:5" ht="24.95" customHeight="1">
      <c r="A11" s="144"/>
      <c r="B11" s="159" t="s">
        <v>128</v>
      </c>
      <c r="C11" s="181" t="s">
        <v>129</v>
      </c>
      <c r="D11" s="182">
        <v>0</v>
      </c>
      <c r="E11" s="158" t="s">
        <v>134</v>
      </c>
    </row>
    <row r="12" spans="1:5" s="30" customFormat="1" ht="24.95" customHeight="1">
      <c r="A12" s="237"/>
      <c r="B12" s="238" t="s">
        <v>25</v>
      </c>
      <c r="C12" s="239"/>
      <c r="D12" s="183">
        <f>SUM(D6:D11)</f>
        <v>22278378</v>
      </c>
      <c r="E12" s="240"/>
    </row>
    <row r="13" spans="1:5" ht="24.95" customHeight="1">
      <c r="A13" s="53" t="s">
        <v>26</v>
      </c>
      <c r="B13" s="1809" t="s">
        <v>55</v>
      </c>
      <c r="C13" s="184" t="s">
        <v>126</v>
      </c>
      <c r="D13" s="185">
        <v>38600000000</v>
      </c>
      <c r="E13" s="54" t="s">
        <v>30</v>
      </c>
    </row>
    <row r="14" spans="1:5" ht="24.95" customHeight="1">
      <c r="A14" s="144"/>
      <c r="B14" s="1856" t="s">
        <v>1148</v>
      </c>
      <c r="C14" s="1857" t="s">
        <v>420</v>
      </c>
      <c r="D14" s="1858">
        <v>0</v>
      </c>
      <c r="E14" s="1859" t="s">
        <v>419</v>
      </c>
    </row>
    <row r="15" spans="1:5" ht="24.95" customHeight="1">
      <c r="A15" s="1855"/>
      <c r="B15" s="1778" t="s">
        <v>1218</v>
      </c>
      <c r="C15" s="660" t="s">
        <v>1219</v>
      </c>
      <c r="D15" s="661">
        <v>0</v>
      </c>
      <c r="E15" s="662"/>
    </row>
    <row r="16" spans="1:5" s="30" customFormat="1" ht="24.95" customHeight="1">
      <c r="A16" s="237"/>
      <c r="B16" s="238" t="s">
        <v>25</v>
      </c>
      <c r="C16" s="240"/>
      <c r="D16" s="183">
        <f>SUM(D13:D15)</f>
        <v>38600000000</v>
      </c>
      <c r="E16" s="239"/>
    </row>
    <row r="17" spans="1:5" s="30" customFormat="1" ht="24.95" customHeight="1">
      <c r="A17" s="76" t="s">
        <v>5</v>
      </c>
      <c r="B17" s="186"/>
      <c r="C17" s="187"/>
      <c r="D17" s="188">
        <f>D5+D12+D16</f>
        <v>38622598268</v>
      </c>
      <c r="E17" s="187"/>
    </row>
    <row r="18" spans="1:5" ht="24.95" customHeight="1">
      <c r="A18" s="2" t="str">
        <f>'선급비용(보험료,기타)'!A23</f>
        <v>김천에너지서비스㈜</v>
      </c>
      <c r="B18" s="55"/>
      <c r="C18" s="55"/>
      <c r="D18" s="55"/>
      <c r="E18" s="56"/>
    </row>
  </sheetData>
  <mergeCells count="2">
    <mergeCell ref="A3:B3"/>
    <mergeCell ref="B6:B9"/>
  </mergeCells>
  <phoneticPr fontId="2" type="noConversion"/>
  <printOptions horizontalCentered="1"/>
  <pageMargins left="0.39370078740157483" right="0.39370078740157483" top="0.59055118110236227" bottom="0.47244094488188981" header="0.39370078740157483" footer="0.39370078740157483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>
      <selection activeCell="A18" sqref="A18"/>
    </sheetView>
  </sheetViews>
  <sheetFormatPr defaultColWidth="12.625" defaultRowHeight="20.100000000000001" customHeight="1"/>
  <cols>
    <col min="1" max="1" width="24" style="4" customWidth="1"/>
    <col min="2" max="2" width="32.75" style="80" customWidth="1"/>
    <col min="3" max="3" width="18.75" style="80" customWidth="1"/>
    <col min="4" max="4" width="18.75" style="4" customWidth="1"/>
    <col min="5" max="5" width="22.5" style="4" customWidth="1"/>
    <col min="6" max="16384" width="12.625" style="4"/>
  </cols>
  <sheetData>
    <row r="1" spans="1:5" ht="20.100000000000001" customHeight="1">
      <c r="A1" s="3" t="s">
        <v>1002</v>
      </c>
    </row>
    <row r="2" spans="1:5" ht="9.75" customHeight="1">
      <c r="B2" s="7"/>
      <c r="C2" s="7"/>
      <c r="D2" s="8"/>
    </row>
    <row r="3" spans="1:5" ht="20.100000000000001" customHeight="1">
      <c r="A3" s="1">
        <f>매출채권!A3</f>
        <v>45504</v>
      </c>
      <c r="B3" s="10"/>
      <c r="C3" s="10"/>
      <c r="D3" s="11"/>
      <c r="E3" s="12" t="s">
        <v>0</v>
      </c>
    </row>
    <row r="4" spans="1:5" ht="20.100000000000001" customHeight="1">
      <c r="A4" s="13" t="s">
        <v>1</v>
      </c>
      <c r="B4" s="13" t="s">
        <v>2</v>
      </c>
      <c r="C4" s="13" t="s">
        <v>56</v>
      </c>
      <c r="D4" s="14" t="s">
        <v>3</v>
      </c>
      <c r="E4" s="15" t="s">
        <v>4</v>
      </c>
    </row>
    <row r="5" spans="1:5" ht="21.95" customHeight="1">
      <c r="A5" s="18" t="s">
        <v>1000</v>
      </c>
      <c r="B5" s="571" t="s">
        <v>1001</v>
      </c>
      <c r="C5" s="1490" t="s">
        <v>997</v>
      </c>
      <c r="D5" s="19">
        <v>144715200</v>
      </c>
      <c r="E5" s="20"/>
    </row>
    <row r="6" spans="1:5" ht="21.95" customHeight="1">
      <c r="A6" s="170" t="s">
        <v>998</v>
      </c>
      <c r="B6" s="571" t="s">
        <v>999</v>
      </c>
      <c r="C6" s="335" t="str">
        <f>C5</f>
        <v>2013.10</v>
      </c>
      <c r="D6" s="19">
        <v>73584000</v>
      </c>
      <c r="E6" s="1174"/>
    </row>
    <row r="7" spans="1:5" ht="21.95" customHeight="1">
      <c r="A7" s="18"/>
      <c r="B7" s="18"/>
      <c r="C7" s="335"/>
      <c r="D7" s="19"/>
      <c r="E7" s="20"/>
    </row>
    <row r="8" spans="1:5" ht="21.95" customHeight="1">
      <c r="A8" s="18"/>
      <c r="B8" s="18"/>
      <c r="C8" s="335"/>
      <c r="D8" s="19"/>
      <c r="E8" s="21"/>
    </row>
    <row r="9" spans="1:5" ht="21.95" customHeight="1">
      <c r="A9" s="18"/>
      <c r="B9" s="18"/>
      <c r="C9" s="335"/>
      <c r="D9" s="19"/>
      <c r="E9" s="20"/>
    </row>
    <row r="10" spans="1:5" ht="21.95" customHeight="1">
      <c r="A10" s="18"/>
      <c r="B10" s="18"/>
      <c r="C10" s="335"/>
      <c r="D10" s="146"/>
      <c r="E10" s="20"/>
    </row>
    <row r="11" spans="1:5" ht="21.95" customHeight="1">
      <c r="A11" s="18"/>
      <c r="B11" s="18"/>
      <c r="C11" s="335"/>
      <c r="D11" s="19"/>
      <c r="E11" s="20"/>
    </row>
    <row r="12" spans="1:5" ht="21.95" customHeight="1">
      <c r="A12" s="77"/>
      <c r="B12" s="77"/>
      <c r="C12" s="335"/>
      <c r="D12" s="84"/>
      <c r="E12" s="129"/>
    </row>
    <row r="13" spans="1:5" ht="21.95" customHeight="1">
      <c r="A13" s="16"/>
      <c r="B13" s="18"/>
      <c r="C13" s="335"/>
      <c r="D13" s="19"/>
      <c r="E13" s="22"/>
    </row>
    <row r="14" spans="1:5" ht="21.95" customHeight="1">
      <c r="A14" s="16"/>
      <c r="B14" s="18"/>
      <c r="C14" s="335"/>
      <c r="D14" s="19"/>
      <c r="E14" s="20"/>
    </row>
    <row r="15" spans="1:5" ht="21.95" customHeight="1">
      <c r="A15" s="16"/>
      <c r="B15" s="18"/>
      <c r="C15" s="335"/>
      <c r="D15" s="19"/>
      <c r="E15" s="20"/>
    </row>
    <row r="16" spans="1:5" ht="21.95" customHeight="1">
      <c r="A16" s="16"/>
      <c r="B16" s="18"/>
      <c r="C16" s="335"/>
      <c r="D16" s="19"/>
      <c r="E16" s="146"/>
    </row>
    <row r="17" spans="1:5" ht="20.100000000000001" customHeight="1">
      <c r="A17" s="13" t="s">
        <v>5</v>
      </c>
      <c r="B17" s="13"/>
      <c r="C17" s="13"/>
      <c r="D17" s="25">
        <f>SUM(D5:D16)</f>
        <v>218299200</v>
      </c>
      <c r="E17" s="26"/>
    </row>
    <row r="18" spans="1:5" ht="20.100000000000001" customHeight="1">
      <c r="A18" s="2"/>
    </row>
  </sheetData>
  <phoneticPr fontId="2" type="noConversion"/>
  <printOptions horizontalCentered="1"/>
  <pageMargins left="0.47244094488188981" right="0.47244094488188981" top="0.59055118110236227" bottom="0.59055118110236227" header="0.39370078740157483" footer="0.39370078740157483"/>
  <pageSetup paperSize="9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ColWidth="12.625" defaultRowHeight="20.100000000000001" customHeight="1"/>
  <cols>
    <col min="1" max="1" width="14" style="29" customWidth="1"/>
    <col min="2" max="3" width="14.5" style="29" customWidth="1"/>
    <col min="4" max="4" width="25.5" style="29" customWidth="1"/>
    <col min="5" max="5" width="8.875" style="29" customWidth="1"/>
    <col min="6" max="6" width="18.625" style="29" customWidth="1"/>
    <col min="7" max="7" width="18.625" style="29" hidden="1" customWidth="1"/>
    <col min="8" max="8" width="18.625" style="29" customWidth="1"/>
    <col min="9" max="9" width="19.625" style="29" customWidth="1"/>
    <col min="10" max="257" width="12.625" style="29"/>
    <col min="258" max="258" width="12.625" style="29" customWidth="1"/>
    <col min="259" max="259" width="14.625" style="29" customWidth="1"/>
    <col min="260" max="262" width="16.625" style="29" customWidth="1"/>
    <col min="263" max="263" width="19.625" style="29" customWidth="1"/>
    <col min="264" max="264" width="17.875" style="29" customWidth="1"/>
    <col min="265" max="265" width="19.625" style="29" customWidth="1"/>
    <col min="266" max="513" width="12.625" style="29"/>
    <col min="514" max="514" width="12.625" style="29" customWidth="1"/>
    <col min="515" max="515" width="14.625" style="29" customWidth="1"/>
    <col min="516" max="518" width="16.625" style="29" customWidth="1"/>
    <col min="519" max="519" width="19.625" style="29" customWidth="1"/>
    <col min="520" max="520" width="17.875" style="29" customWidth="1"/>
    <col min="521" max="521" width="19.625" style="29" customWidth="1"/>
    <col min="522" max="769" width="12.625" style="29"/>
    <col min="770" max="770" width="12.625" style="29" customWidth="1"/>
    <col min="771" max="771" width="14.625" style="29" customWidth="1"/>
    <col min="772" max="774" width="16.625" style="29" customWidth="1"/>
    <col min="775" max="775" width="19.625" style="29" customWidth="1"/>
    <col min="776" max="776" width="17.875" style="29" customWidth="1"/>
    <col min="777" max="777" width="19.625" style="29" customWidth="1"/>
    <col min="778" max="1025" width="12.625" style="29"/>
    <col min="1026" max="1026" width="12.625" style="29" customWidth="1"/>
    <col min="1027" max="1027" width="14.625" style="29" customWidth="1"/>
    <col min="1028" max="1030" width="16.625" style="29" customWidth="1"/>
    <col min="1031" max="1031" width="19.625" style="29" customWidth="1"/>
    <col min="1032" max="1032" width="17.875" style="29" customWidth="1"/>
    <col min="1033" max="1033" width="19.625" style="29" customWidth="1"/>
    <col min="1034" max="1281" width="12.625" style="29"/>
    <col min="1282" max="1282" width="12.625" style="29" customWidth="1"/>
    <col min="1283" max="1283" width="14.625" style="29" customWidth="1"/>
    <col min="1284" max="1286" width="16.625" style="29" customWidth="1"/>
    <col min="1287" max="1287" width="19.625" style="29" customWidth="1"/>
    <col min="1288" max="1288" width="17.875" style="29" customWidth="1"/>
    <col min="1289" max="1289" width="19.625" style="29" customWidth="1"/>
    <col min="1290" max="1537" width="12.625" style="29"/>
    <col min="1538" max="1538" width="12.625" style="29" customWidth="1"/>
    <col min="1539" max="1539" width="14.625" style="29" customWidth="1"/>
    <col min="1540" max="1542" width="16.625" style="29" customWidth="1"/>
    <col min="1543" max="1543" width="19.625" style="29" customWidth="1"/>
    <col min="1544" max="1544" width="17.875" style="29" customWidth="1"/>
    <col min="1545" max="1545" width="19.625" style="29" customWidth="1"/>
    <col min="1546" max="1793" width="12.625" style="29"/>
    <col min="1794" max="1794" width="12.625" style="29" customWidth="1"/>
    <col min="1795" max="1795" width="14.625" style="29" customWidth="1"/>
    <col min="1796" max="1798" width="16.625" style="29" customWidth="1"/>
    <col min="1799" max="1799" width="19.625" style="29" customWidth="1"/>
    <col min="1800" max="1800" width="17.875" style="29" customWidth="1"/>
    <col min="1801" max="1801" width="19.625" style="29" customWidth="1"/>
    <col min="1802" max="2049" width="12.625" style="29"/>
    <col min="2050" max="2050" width="12.625" style="29" customWidth="1"/>
    <col min="2051" max="2051" width="14.625" style="29" customWidth="1"/>
    <col min="2052" max="2054" width="16.625" style="29" customWidth="1"/>
    <col min="2055" max="2055" width="19.625" style="29" customWidth="1"/>
    <col min="2056" max="2056" width="17.875" style="29" customWidth="1"/>
    <col min="2057" max="2057" width="19.625" style="29" customWidth="1"/>
    <col min="2058" max="2305" width="12.625" style="29"/>
    <col min="2306" max="2306" width="12.625" style="29" customWidth="1"/>
    <col min="2307" max="2307" width="14.625" style="29" customWidth="1"/>
    <col min="2308" max="2310" width="16.625" style="29" customWidth="1"/>
    <col min="2311" max="2311" width="19.625" style="29" customWidth="1"/>
    <col min="2312" max="2312" width="17.875" style="29" customWidth="1"/>
    <col min="2313" max="2313" width="19.625" style="29" customWidth="1"/>
    <col min="2314" max="2561" width="12.625" style="29"/>
    <col min="2562" max="2562" width="12.625" style="29" customWidth="1"/>
    <col min="2563" max="2563" width="14.625" style="29" customWidth="1"/>
    <col min="2564" max="2566" width="16.625" style="29" customWidth="1"/>
    <col min="2567" max="2567" width="19.625" style="29" customWidth="1"/>
    <col min="2568" max="2568" width="17.875" style="29" customWidth="1"/>
    <col min="2569" max="2569" width="19.625" style="29" customWidth="1"/>
    <col min="2570" max="2817" width="12.625" style="29"/>
    <col min="2818" max="2818" width="12.625" style="29" customWidth="1"/>
    <col min="2819" max="2819" width="14.625" style="29" customWidth="1"/>
    <col min="2820" max="2822" width="16.625" style="29" customWidth="1"/>
    <col min="2823" max="2823" width="19.625" style="29" customWidth="1"/>
    <col min="2824" max="2824" width="17.875" style="29" customWidth="1"/>
    <col min="2825" max="2825" width="19.625" style="29" customWidth="1"/>
    <col min="2826" max="3073" width="12.625" style="29"/>
    <col min="3074" max="3074" width="12.625" style="29" customWidth="1"/>
    <col min="3075" max="3075" width="14.625" style="29" customWidth="1"/>
    <col min="3076" max="3078" width="16.625" style="29" customWidth="1"/>
    <col min="3079" max="3079" width="19.625" style="29" customWidth="1"/>
    <col min="3080" max="3080" width="17.875" style="29" customWidth="1"/>
    <col min="3081" max="3081" width="19.625" style="29" customWidth="1"/>
    <col min="3082" max="3329" width="12.625" style="29"/>
    <col min="3330" max="3330" width="12.625" style="29" customWidth="1"/>
    <col min="3331" max="3331" width="14.625" style="29" customWidth="1"/>
    <col min="3332" max="3334" width="16.625" style="29" customWidth="1"/>
    <col min="3335" max="3335" width="19.625" style="29" customWidth="1"/>
    <col min="3336" max="3336" width="17.875" style="29" customWidth="1"/>
    <col min="3337" max="3337" width="19.625" style="29" customWidth="1"/>
    <col min="3338" max="3585" width="12.625" style="29"/>
    <col min="3586" max="3586" width="12.625" style="29" customWidth="1"/>
    <col min="3587" max="3587" width="14.625" style="29" customWidth="1"/>
    <col min="3588" max="3590" width="16.625" style="29" customWidth="1"/>
    <col min="3591" max="3591" width="19.625" style="29" customWidth="1"/>
    <col min="3592" max="3592" width="17.875" style="29" customWidth="1"/>
    <col min="3593" max="3593" width="19.625" style="29" customWidth="1"/>
    <col min="3594" max="3841" width="12.625" style="29"/>
    <col min="3842" max="3842" width="12.625" style="29" customWidth="1"/>
    <col min="3843" max="3843" width="14.625" style="29" customWidth="1"/>
    <col min="3844" max="3846" width="16.625" style="29" customWidth="1"/>
    <col min="3847" max="3847" width="19.625" style="29" customWidth="1"/>
    <col min="3848" max="3848" width="17.875" style="29" customWidth="1"/>
    <col min="3849" max="3849" width="19.625" style="29" customWidth="1"/>
    <col min="3850" max="4097" width="12.625" style="29"/>
    <col min="4098" max="4098" width="12.625" style="29" customWidth="1"/>
    <col min="4099" max="4099" width="14.625" style="29" customWidth="1"/>
    <col min="4100" max="4102" width="16.625" style="29" customWidth="1"/>
    <col min="4103" max="4103" width="19.625" style="29" customWidth="1"/>
    <col min="4104" max="4104" width="17.875" style="29" customWidth="1"/>
    <col min="4105" max="4105" width="19.625" style="29" customWidth="1"/>
    <col min="4106" max="4353" width="12.625" style="29"/>
    <col min="4354" max="4354" width="12.625" style="29" customWidth="1"/>
    <col min="4355" max="4355" width="14.625" style="29" customWidth="1"/>
    <col min="4356" max="4358" width="16.625" style="29" customWidth="1"/>
    <col min="4359" max="4359" width="19.625" style="29" customWidth="1"/>
    <col min="4360" max="4360" width="17.875" style="29" customWidth="1"/>
    <col min="4361" max="4361" width="19.625" style="29" customWidth="1"/>
    <col min="4362" max="4609" width="12.625" style="29"/>
    <col min="4610" max="4610" width="12.625" style="29" customWidth="1"/>
    <col min="4611" max="4611" width="14.625" style="29" customWidth="1"/>
    <col min="4612" max="4614" width="16.625" style="29" customWidth="1"/>
    <col min="4615" max="4615" width="19.625" style="29" customWidth="1"/>
    <col min="4616" max="4616" width="17.875" style="29" customWidth="1"/>
    <col min="4617" max="4617" width="19.625" style="29" customWidth="1"/>
    <col min="4618" max="4865" width="12.625" style="29"/>
    <col min="4866" max="4866" width="12.625" style="29" customWidth="1"/>
    <col min="4867" max="4867" width="14.625" style="29" customWidth="1"/>
    <col min="4868" max="4870" width="16.625" style="29" customWidth="1"/>
    <col min="4871" max="4871" width="19.625" style="29" customWidth="1"/>
    <col min="4872" max="4872" width="17.875" style="29" customWidth="1"/>
    <col min="4873" max="4873" width="19.625" style="29" customWidth="1"/>
    <col min="4874" max="5121" width="12.625" style="29"/>
    <col min="5122" max="5122" width="12.625" style="29" customWidth="1"/>
    <col min="5123" max="5123" width="14.625" style="29" customWidth="1"/>
    <col min="5124" max="5126" width="16.625" style="29" customWidth="1"/>
    <col min="5127" max="5127" width="19.625" style="29" customWidth="1"/>
    <col min="5128" max="5128" width="17.875" style="29" customWidth="1"/>
    <col min="5129" max="5129" width="19.625" style="29" customWidth="1"/>
    <col min="5130" max="5377" width="12.625" style="29"/>
    <col min="5378" max="5378" width="12.625" style="29" customWidth="1"/>
    <col min="5379" max="5379" width="14.625" style="29" customWidth="1"/>
    <col min="5380" max="5382" width="16.625" style="29" customWidth="1"/>
    <col min="5383" max="5383" width="19.625" style="29" customWidth="1"/>
    <col min="5384" max="5384" width="17.875" style="29" customWidth="1"/>
    <col min="5385" max="5385" width="19.625" style="29" customWidth="1"/>
    <col min="5386" max="5633" width="12.625" style="29"/>
    <col min="5634" max="5634" width="12.625" style="29" customWidth="1"/>
    <col min="5635" max="5635" width="14.625" style="29" customWidth="1"/>
    <col min="5636" max="5638" width="16.625" style="29" customWidth="1"/>
    <col min="5639" max="5639" width="19.625" style="29" customWidth="1"/>
    <col min="5640" max="5640" width="17.875" style="29" customWidth="1"/>
    <col min="5641" max="5641" width="19.625" style="29" customWidth="1"/>
    <col min="5642" max="5889" width="12.625" style="29"/>
    <col min="5890" max="5890" width="12.625" style="29" customWidth="1"/>
    <col min="5891" max="5891" width="14.625" style="29" customWidth="1"/>
    <col min="5892" max="5894" width="16.625" style="29" customWidth="1"/>
    <col min="5895" max="5895" width="19.625" style="29" customWidth="1"/>
    <col min="5896" max="5896" width="17.875" style="29" customWidth="1"/>
    <col min="5897" max="5897" width="19.625" style="29" customWidth="1"/>
    <col min="5898" max="6145" width="12.625" style="29"/>
    <col min="6146" max="6146" width="12.625" style="29" customWidth="1"/>
    <col min="6147" max="6147" width="14.625" style="29" customWidth="1"/>
    <col min="6148" max="6150" width="16.625" style="29" customWidth="1"/>
    <col min="6151" max="6151" width="19.625" style="29" customWidth="1"/>
    <col min="6152" max="6152" width="17.875" style="29" customWidth="1"/>
    <col min="6153" max="6153" width="19.625" style="29" customWidth="1"/>
    <col min="6154" max="6401" width="12.625" style="29"/>
    <col min="6402" max="6402" width="12.625" style="29" customWidth="1"/>
    <col min="6403" max="6403" width="14.625" style="29" customWidth="1"/>
    <col min="6404" max="6406" width="16.625" style="29" customWidth="1"/>
    <col min="6407" max="6407" width="19.625" style="29" customWidth="1"/>
    <col min="6408" max="6408" width="17.875" style="29" customWidth="1"/>
    <col min="6409" max="6409" width="19.625" style="29" customWidth="1"/>
    <col min="6410" max="6657" width="12.625" style="29"/>
    <col min="6658" max="6658" width="12.625" style="29" customWidth="1"/>
    <col min="6659" max="6659" width="14.625" style="29" customWidth="1"/>
    <col min="6660" max="6662" width="16.625" style="29" customWidth="1"/>
    <col min="6663" max="6663" width="19.625" style="29" customWidth="1"/>
    <col min="6664" max="6664" width="17.875" style="29" customWidth="1"/>
    <col min="6665" max="6665" width="19.625" style="29" customWidth="1"/>
    <col min="6666" max="6913" width="12.625" style="29"/>
    <col min="6914" max="6914" width="12.625" style="29" customWidth="1"/>
    <col min="6915" max="6915" width="14.625" style="29" customWidth="1"/>
    <col min="6916" max="6918" width="16.625" style="29" customWidth="1"/>
    <col min="6919" max="6919" width="19.625" style="29" customWidth="1"/>
    <col min="6920" max="6920" width="17.875" style="29" customWidth="1"/>
    <col min="6921" max="6921" width="19.625" style="29" customWidth="1"/>
    <col min="6922" max="7169" width="12.625" style="29"/>
    <col min="7170" max="7170" width="12.625" style="29" customWidth="1"/>
    <col min="7171" max="7171" width="14.625" style="29" customWidth="1"/>
    <col min="7172" max="7174" width="16.625" style="29" customWidth="1"/>
    <col min="7175" max="7175" width="19.625" style="29" customWidth="1"/>
    <col min="7176" max="7176" width="17.875" style="29" customWidth="1"/>
    <col min="7177" max="7177" width="19.625" style="29" customWidth="1"/>
    <col min="7178" max="7425" width="12.625" style="29"/>
    <col min="7426" max="7426" width="12.625" style="29" customWidth="1"/>
    <col min="7427" max="7427" width="14.625" style="29" customWidth="1"/>
    <col min="7428" max="7430" width="16.625" style="29" customWidth="1"/>
    <col min="7431" max="7431" width="19.625" style="29" customWidth="1"/>
    <col min="7432" max="7432" width="17.875" style="29" customWidth="1"/>
    <col min="7433" max="7433" width="19.625" style="29" customWidth="1"/>
    <col min="7434" max="7681" width="12.625" style="29"/>
    <col min="7682" max="7682" width="12.625" style="29" customWidth="1"/>
    <col min="7683" max="7683" width="14.625" style="29" customWidth="1"/>
    <col min="7684" max="7686" width="16.625" style="29" customWidth="1"/>
    <col min="7687" max="7687" width="19.625" style="29" customWidth="1"/>
    <col min="7688" max="7688" width="17.875" style="29" customWidth="1"/>
    <col min="7689" max="7689" width="19.625" style="29" customWidth="1"/>
    <col min="7690" max="7937" width="12.625" style="29"/>
    <col min="7938" max="7938" width="12.625" style="29" customWidth="1"/>
    <col min="7939" max="7939" width="14.625" style="29" customWidth="1"/>
    <col min="7940" max="7942" width="16.625" style="29" customWidth="1"/>
    <col min="7943" max="7943" width="19.625" style="29" customWidth="1"/>
    <col min="7944" max="7944" width="17.875" style="29" customWidth="1"/>
    <col min="7945" max="7945" width="19.625" style="29" customWidth="1"/>
    <col min="7946" max="8193" width="12.625" style="29"/>
    <col min="8194" max="8194" width="12.625" style="29" customWidth="1"/>
    <col min="8195" max="8195" width="14.625" style="29" customWidth="1"/>
    <col min="8196" max="8198" width="16.625" style="29" customWidth="1"/>
    <col min="8199" max="8199" width="19.625" style="29" customWidth="1"/>
    <col min="8200" max="8200" width="17.875" style="29" customWidth="1"/>
    <col min="8201" max="8201" width="19.625" style="29" customWidth="1"/>
    <col min="8202" max="8449" width="12.625" style="29"/>
    <col min="8450" max="8450" width="12.625" style="29" customWidth="1"/>
    <col min="8451" max="8451" width="14.625" style="29" customWidth="1"/>
    <col min="8452" max="8454" width="16.625" style="29" customWidth="1"/>
    <col min="8455" max="8455" width="19.625" style="29" customWidth="1"/>
    <col min="8456" max="8456" width="17.875" style="29" customWidth="1"/>
    <col min="8457" max="8457" width="19.625" style="29" customWidth="1"/>
    <col min="8458" max="8705" width="12.625" style="29"/>
    <col min="8706" max="8706" width="12.625" style="29" customWidth="1"/>
    <col min="8707" max="8707" width="14.625" style="29" customWidth="1"/>
    <col min="8708" max="8710" width="16.625" style="29" customWidth="1"/>
    <col min="8711" max="8711" width="19.625" style="29" customWidth="1"/>
    <col min="8712" max="8712" width="17.875" style="29" customWidth="1"/>
    <col min="8713" max="8713" width="19.625" style="29" customWidth="1"/>
    <col min="8714" max="8961" width="12.625" style="29"/>
    <col min="8962" max="8962" width="12.625" style="29" customWidth="1"/>
    <col min="8963" max="8963" width="14.625" style="29" customWidth="1"/>
    <col min="8964" max="8966" width="16.625" style="29" customWidth="1"/>
    <col min="8967" max="8967" width="19.625" style="29" customWidth="1"/>
    <col min="8968" max="8968" width="17.875" style="29" customWidth="1"/>
    <col min="8969" max="8969" width="19.625" style="29" customWidth="1"/>
    <col min="8970" max="9217" width="12.625" style="29"/>
    <col min="9218" max="9218" width="12.625" style="29" customWidth="1"/>
    <col min="9219" max="9219" width="14.625" style="29" customWidth="1"/>
    <col min="9220" max="9222" width="16.625" style="29" customWidth="1"/>
    <col min="9223" max="9223" width="19.625" style="29" customWidth="1"/>
    <col min="9224" max="9224" width="17.875" style="29" customWidth="1"/>
    <col min="9225" max="9225" width="19.625" style="29" customWidth="1"/>
    <col min="9226" max="9473" width="12.625" style="29"/>
    <col min="9474" max="9474" width="12.625" style="29" customWidth="1"/>
    <col min="9475" max="9475" width="14.625" style="29" customWidth="1"/>
    <col min="9476" max="9478" width="16.625" style="29" customWidth="1"/>
    <col min="9479" max="9479" width="19.625" style="29" customWidth="1"/>
    <col min="9480" max="9480" width="17.875" style="29" customWidth="1"/>
    <col min="9481" max="9481" width="19.625" style="29" customWidth="1"/>
    <col min="9482" max="9729" width="12.625" style="29"/>
    <col min="9730" max="9730" width="12.625" style="29" customWidth="1"/>
    <col min="9731" max="9731" width="14.625" style="29" customWidth="1"/>
    <col min="9732" max="9734" width="16.625" style="29" customWidth="1"/>
    <col min="9735" max="9735" width="19.625" style="29" customWidth="1"/>
    <col min="9736" max="9736" width="17.875" style="29" customWidth="1"/>
    <col min="9737" max="9737" width="19.625" style="29" customWidth="1"/>
    <col min="9738" max="9985" width="12.625" style="29"/>
    <col min="9986" max="9986" width="12.625" style="29" customWidth="1"/>
    <col min="9987" max="9987" width="14.625" style="29" customWidth="1"/>
    <col min="9988" max="9990" width="16.625" style="29" customWidth="1"/>
    <col min="9991" max="9991" width="19.625" style="29" customWidth="1"/>
    <col min="9992" max="9992" width="17.875" style="29" customWidth="1"/>
    <col min="9993" max="9993" width="19.625" style="29" customWidth="1"/>
    <col min="9994" max="10241" width="12.625" style="29"/>
    <col min="10242" max="10242" width="12.625" style="29" customWidth="1"/>
    <col min="10243" max="10243" width="14.625" style="29" customWidth="1"/>
    <col min="10244" max="10246" width="16.625" style="29" customWidth="1"/>
    <col min="10247" max="10247" width="19.625" style="29" customWidth="1"/>
    <col min="10248" max="10248" width="17.875" style="29" customWidth="1"/>
    <col min="10249" max="10249" width="19.625" style="29" customWidth="1"/>
    <col min="10250" max="10497" width="12.625" style="29"/>
    <col min="10498" max="10498" width="12.625" style="29" customWidth="1"/>
    <col min="10499" max="10499" width="14.625" style="29" customWidth="1"/>
    <col min="10500" max="10502" width="16.625" style="29" customWidth="1"/>
    <col min="10503" max="10503" width="19.625" style="29" customWidth="1"/>
    <col min="10504" max="10504" width="17.875" style="29" customWidth="1"/>
    <col min="10505" max="10505" width="19.625" style="29" customWidth="1"/>
    <col min="10506" max="10753" width="12.625" style="29"/>
    <col min="10754" max="10754" width="12.625" style="29" customWidth="1"/>
    <col min="10755" max="10755" width="14.625" style="29" customWidth="1"/>
    <col min="10756" max="10758" width="16.625" style="29" customWidth="1"/>
    <col min="10759" max="10759" width="19.625" style="29" customWidth="1"/>
    <col min="10760" max="10760" width="17.875" style="29" customWidth="1"/>
    <col min="10761" max="10761" width="19.625" style="29" customWidth="1"/>
    <col min="10762" max="11009" width="12.625" style="29"/>
    <col min="11010" max="11010" width="12.625" style="29" customWidth="1"/>
    <col min="11011" max="11011" width="14.625" style="29" customWidth="1"/>
    <col min="11012" max="11014" width="16.625" style="29" customWidth="1"/>
    <col min="11015" max="11015" width="19.625" style="29" customWidth="1"/>
    <col min="11016" max="11016" width="17.875" style="29" customWidth="1"/>
    <col min="11017" max="11017" width="19.625" style="29" customWidth="1"/>
    <col min="11018" max="11265" width="12.625" style="29"/>
    <col min="11266" max="11266" width="12.625" style="29" customWidth="1"/>
    <col min="11267" max="11267" width="14.625" style="29" customWidth="1"/>
    <col min="11268" max="11270" width="16.625" style="29" customWidth="1"/>
    <col min="11271" max="11271" width="19.625" style="29" customWidth="1"/>
    <col min="11272" max="11272" width="17.875" style="29" customWidth="1"/>
    <col min="11273" max="11273" width="19.625" style="29" customWidth="1"/>
    <col min="11274" max="11521" width="12.625" style="29"/>
    <col min="11522" max="11522" width="12.625" style="29" customWidth="1"/>
    <col min="11523" max="11523" width="14.625" style="29" customWidth="1"/>
    <col min="11524" max="11526" width="16.625" style="29" customWidth="1"/>
    <col min="11527" max="11527" width="19.625" style="29" customWidth="1"/>
    <col min="11528" max="11528" width="17.875" style="29" customWidth="1"/>
    <col min="11529" max="11529" width="19.625" style="29" customWidth="1"/>
    <col min="11530" max="11777" width="12.625" style="29"/>
    <col min="11778" max="11778" width="12.625" style="29" customWidth="1"/>
    <col min="11779" max="11779" width="14.625" style="29" customWidth="1"/>
    <col min="11780" max="11782" width="16.625" style="29" customWidth="1"/>
    <col min="11783" max="11783" width="19.625" style="29" customWidth="1"/>
    <col min="11784" max="11784" width="17.875" style="29" customWidth="1"/>
    <col min="11785" max="11785" width="19.625" style="29" customWidth="1"/>
    <col min="11786" max="12033" width="12.625" style="29"/>
    <col min="12034" max="12034" width="12.625" style="29" customWidth="1"/>
    <col min="12035" max="12035" width="14.625" style="29" customWidth="1"/>
    <col min="12036" max="12038" width="16.625" style="29" customWidth="1"/>
    <col min="12039" max="12039" width="19.625" style="29" customWidth="1"/>
    <col min="12040" max="12040" width="17.875" style="29" customWidth="1"/>
    <col min="12041" max="12041" width="19.625" style="29" customWidth="1"/>
    <col min="12042" max="12289" width="12.625" style="29"/>
    <col min="12290" max="12290" width="12.625" style="29" customWidth="1"/>
    <col min="12291" max="12291" width="14.625" style="29" customWidth="1"/>
    <col min="12292" max="12294" width="16.625" style="29" customWidth="1"/>
    <col min="12295" max="12295" width="19.625" style="29" customWidth="1"/>
    <col min="12296" max="12296" width="17.875" style="29" customWidth="1"/>
    <col min="12297" max="12297" width="19.625" style="29" customWidth="1"/>
    <col min="12298" max="12545" width="12.625" style="29"/>
    <col min="12546" max="12546" width="12.625" style="29" customWidth="1"/>
    <col min="12547" max="12547" width="14.625" style="29" customWidth="1"/>
    <col min="12548" max="12550" width="16.625" style="29" customWidth="1"/>
    <col min="12551" max="12551" width="19.625" style="29" customWidth="1"/>
    <col min="12552" max="12552" width="17.875" style="29" customWidth="1"/>
    <col min="12553" max="12553" width="19.625" style="29" customWidth="1"/>
    <col min="12554" max="12801" width="12.625" style="29"/>
    <col min="12802" max="12802" width="12.625" style="29" customWidth="1"/>
    <col min="12803" max="12803" width="14.625" style="29" customWidth="1"/>
    <col min="12804" max="12806" width="16.625" style="29" customWidth="1"/>
    <col min="12807" max="12807" width="19.625" style="29" customWidth="1"/>
    <col min="12808" max="12808" width="17.875" style="29" customWidth="1"/>
    <col min="12809" max="12809" width="19.625" style="29" customWidth="1"/>
    <col min="12810" max="13057" width="12.625" style="29"/>
    <col min="13058" max="13058" width="12.625" style="29" customWidth="1"/>
    <col min="13059" max="13059" width="14.625" style="29" customWidth="1"/>
    <col min="13060" max="13062" width="16.625" style="29" customWidth="1"/>
    <col min="13063" max="13063" width="19.625" style="29" customWidth="1"/>
    <col min="13064" max="13064" width="17.875" style="29" customWidth="1"/>
    <col min="13065" max="13065" width="19.625" style="29" customWidth="1"/>
    <col min="13066" max="13313" width="12.625" style="29"/>
    <col min="13314" max="13314" width="12.625" style="29" customWidth="1"/>
    <col min="13315" max="13315" width="14.625" style="29" customWidth="1"/>
    <col min="13316" max="13318" width="16.625" style="29" customWidth="1"/>
    <col min="13319" max="13319" width="19.625" style="29" customWidth="1"/>
    <col min="13320" max="13320" width="17.875" style="29" customWidth="1"/>
    <col min="13321" max="13321" width="19.625" style="29" customWidth="1"/>
    <col min="13322" max="13569" width="12.625" style="29"/>
    <col min="13570" max="13570" width="12.625" style="29" customWidth="1"/>
    <col min="13571" max="13571" width="14.625" style="29" customWidth="1"/>
    <col min="13572" max="13574" width="16.625" style="29" customWidth="1"/>
    <col min="13575" max="13575" width="19.625" style="29" customWidth="1"/>
    <col min="13576" max="13576" width="17.875" style="29" customWidth="1"/>
    <col min="13577" max="13577" width="19.625" style="29" customWidth="1"/>
    <col min="13578" max="13825" width="12.625" style="29"/>
    <col min="13826" max="13826" width="12.625" style="29" customWidth="1"/>
    <col min="13827" max="13827" width="14.625" style="29" customWidth="1"/>
    <col min="13828" max="13830" width="16.625" style="29" customWidth="1"/>
    <col min="13831" max="13831" width="19.625" style="29" customWidth="1"/>
    <col min="13832" max="13832" width="17.875" style="29" customWidth="1"/>
    <col min="13833" max="13833" width="19.625" style="29" customWidth="1"/>
    <col min="13834" max="14081" width="12.625" style="29"/>
    <col min="14082" max="14082" width="12.625" style="29" customWidth="1"/>
    <col min="14083" max="14083" width="14.625" style="29" customWidth="1"/>
    <col min="14084" max="14086" width="16.625" style="29" customWidth="1"/>
    <col min="14087" max="14087" width="19.625" style="29" customWidth="1"/>
    <col min="14088" max="14088" width="17.875" style="29" customWidth="1"/>
    <col min="14089" max="14089" width="19.625" style="29" customWidth="1"/>
    <col min="14090" max="14337" width="12.625" style="29"/>
    <col min="14338" max="14338" width="12.625" style="29" customWidth="1"/>
    <col min="14339" max="14339" width="14.625" style="29" customWidth="1"/>
    <col min="14340" max="14342" width="16.625" style="29" customWidth="1"/>
    <col min="14343" max="14343" width="19.625" style="29" customWidth="1"/>
    <col min="14344" max="14344" width="17.875" style="29" customWidth="1"/>
    <col min="14345" max="14345" width="19.625" style="29" customWidth="1"/>
    <col min="14346" max="14593" width="12.625" style="29"/>
    <col min="14594" max="14594" width="12.625" style="29" customWidth="1"/>
    <col min="14595" max="14595" width="14.625" style="29" customWidth="1"/>
    <col min="14596" max="14598" width="16.625" style="29" customWidth="1"/>
    <col min="14599" max="14599" width="19.625" style="29" customWidth="1"/>
    <col min="14600" max="14600" width="17.875" style="29" customWidth="1"/>
    <col min="14601" max="14601" width="19.625" style="29" customWidth="1"/>
    <col min="14602" max="14849" width="12.625" style="29"/>
    <col min="14850" max="14850" width="12.625" style="29" customWidth="1"/>
    <col min="14851" max="14851" width="14.625" style="29" customWidth="1"/>
    <col min="14852" max="14854" width="16.625" style="29" customWidth="1"/>
    <col min="14855" max="14855" width="19.625" style="29" customWidth="1"/>
    <col min="14856" max="14856" width="17.875" style="29" customWidth="1"/>
    <col min="14857" max="14857" width="19.625" style="29" customWidth="1"/>
    <col min="14858" max="15105" width="12.625" style="29"/>
    <col min="15106" max="15106" width="12.625" style="29" customWidth="1"/>
    <col min="15107" max="15107" width="14.625" style="29" customWidth="1"/>
    <col min="15108" max="15110" width="16.625" style="29" customWidth="1"/>
    <col min="15111" max="15111" width="19.625" style="29" customWidth="1"/>
    <col min="15112" max="15112" width="17.875" style="29" customWidth="1"/>
    <col min="15113" max="15113" width="19.625" style="29" customWidth="1"/>
    <col min="15114" max="15361" width="12.625" style="29"/>
    <col min="15362" max="15362" width="12.625" style="29" customWidth="1"/>
    <col min="15363" max="15363" width="14.625" style="29" customWidth="1"/>
    <col min="15364" max="15366" width="16.625" style="29" customWidth="1"/>
    <col min="15367" max="15367" width="19.625" style="29" customWidth="1"/>
    <col min="15368" max="15368" width="17.875" style="29" customWidth="1"/>
    <col min="15369" max="15369" width="19.625" style="29" customWidth="1"/>
    <col min="15370" max="15617" width="12.625" style="29"/>
    <col min="15618" max="15618" width="12.625" style="29" customWidth="1"/>
    <col min="15619" max="15619" width="14.625" style="29" customWidth="1"/>
    <col min="15620" max="15622" width="16.625" style="29" customWidth="1"/>
    <col min="15623" max="15623" width="19.625" style="29" customWidth="1"/>
    <col min="15624" max="15624" width="17.875" style="29" customWidth="1"/>
    <col min="15625" max="15625" width="19.625" style="29" customWidth="1"/>
    <col min="15626" max="15873" width="12.625" style="29"/>
    <col min="15874" max="15874" width="12.625" style="29" customWidth="1"/>
    <col min="15875" max="15875" width="14.625" style="29" customWidth="1"/>
    <col min="15876" max="15878" width="16.625" style="29" customWidth="1"/>
    <col min="15879" max="15879" width="19.625" style="29" customWidth="1"/>
    <col min="15880" max="15880" width="17.875" style="29" customWidth="1"/>
    <col min="15881" max="15881" width="19.625" style="29" customWidth="1"/>
    <col min="15882" max="16129" width="12.625" style="29"/>
    <col min="16130" max="16130" width="12.625" style="29" customWidth="1"/>
    <col min="16131" max="16131" width="14.625" style="29" customWidth="1"/>
    <col min="16132" max="16134" width="16.625" style="29" customWidth="1"/>
    <col min="16135" max="16135" width="19.625" style="29" customWidth="1"/>
    <col min="16136" max="16136" width="17.875" style="29" customWidth="1"/>
    <col min="16137" max="16137" width="19.625" style="29" customWidth="1"/>
    <col min="16138" max="16384" width="12.625" style="29"/>
  </cols>
  <sheetData>
    <row r="1" spans="1:8" ht="24" customHeight="1">
      <c r="A1" s="27" t="s">
        <v>1113</v>
      </c>
      <c r="B1" s="27"/>
      <c r="C1" s="27"/>
    </row>
    <row r="2" spans="1:8" ht="13.5" customHeight="1"/>
    <row r="3" spans="1:8" s="30" customFormat="1" ht="20.100000000000001" customHeight="1">
      <c r="A3" s="2157">
        <f>현금예금!A3</f>
        <v>45504</v>
      </c>
      <c r="B3" s="2157"/>
      <c r="C3" s="2157"/>
      <c r="D3" s="2157"/>
      <c r="H3" s="31" t="s">
        <v>15</v>
      </c>
    </row>
    <row r="4" spans="1:8" s="30" customFormat="1" ht="20.100000000000001" customHeight="1">
      <c r="A4" s="1618" t="s">
        <v>1</v>
      </c>
      <c r="B4" s="1619" t="s">
        <v>1034</v>
      </c>
      <c r="C4" s="1620" t="s">
        <v>1035</v>
      </c>
      <c r="D4" s="1621" t="s">
        <v>16</v>
      </c>
      <c r="E4" s="1622" t="s">
        <v>17</v>
      </c>
      <c r="F4" s="1623" t="s">
        <v>569</v>
      </c>
      <c r="G4" s="1624" t="s">
        <v>570</v>
      </c>
      <c r="H4" s="1786" t="s">
        <v>124</v>
      </c>
    </row>
    <row r="5" spans="1:8" ht="21.95" customHeight="1">
      <c r="A5" s="2148" t="s">
        <v>641</v>
      </c>
      <c r="B5" s="2158" t="s">
        <v>1129</v>
      </c>
      <c r="C5" s="2162" t="s">
        <v>1321</v>
      </c>
      <c r="D5" s="2160" t="s">
        <v>1037</v>
      </c>
      <c r="E5" s="2164">
        <v>4.6199999999999998E-2</v>
      </c>
      <c r="F5" s="1625">
        <v>50000000000</v>
      </c>
      <c r="G5" s="2146"/>
      <c r="H5" s="1787"/>
    </row>
    <row r="6" spans="1:8" ht="21.95" customHeight="1">
      <c r="A6" s="2149"/>
      <c r="B6" s="2159"/>
      <c r="C6" s="2163"/>
      <c r="D6" s="2161"/>
      <c r="E6" s="2165"/>
      <c r="F6" s="1617">
        <v>5000000000</v>
      </c>
      <c r="G6" s="2147"/>
      <c r="H6" s="1788"/>
    </row>
    <row r="7" spans="1:8" ht="21.95" customHeight="1">
      <c r="A7" s="1626"/>
      <c r="B7" s="1614"/>
      <c r="C7" s="1614"/>
      <c r="D7" s="1615"/>
      <c r="E7" s="1616"/>
      <c r="F7" s="1053"/>
      <c r="G7" s="1322"/>
      <c r="H7" s="1323"/>
    </row>
    <row r="8" spans="1:8" ht="21.95" customHeight="1">
      <c r="A8" s="1324"/>
      <c r="B8" s="1328"/>
      <c r="C8" s="1613"/>
      <c r="D8" s="1329"/>
      <c r="E8" s="1330"/>
      <c r="F8" s="1325"/>
      <c r="G8" s="1326"/>
      <c r="H8" s="1327"/>
    </row>
    <row r="9" spans="1:8" ht="21.95" customHeight="1">
      <c r="A9" s="1324"/>
      <c r="B9" s="1328"/>
      <c r="C9" s="1613"/>
      <c r="D9" s="1329"/>
      <c r="E9" s="1330"/>
      <c r="F9" s="1325"/>
      <c r="G9" s="1326"/>
      <c r="H9" s="1327"/>
    </row>
    <row r="10" spans="1:8" ht="21.95" customHeight="1">
      <c r="A10" s="1324"/>
      <c r="B10" s="1328"/>
      <c r="C10" s="1613"/>
      <c r="D10" s="1329"/>
      <c r="E10" s="1330"/>
      <c r="F10" s="1325"/>
      <c r="G10" s="1326"/>
      <c r="H10" s="1327"/>
    </row>
    <row r="11" spans="1:8" ht="21.95" customHeight="1">
      <c r="A11" s="1324"/>
      <c r="B11" s="1328"/>
      <c r="C11" s="1613"/>
      <c r="D11" s="1329"/>
      <c r="E11" s="1330"/>
      <c r="F11" s="1325"/>
      <c r="G11" s="1326"/>
      <c r="H11" s="1327"/>
    </row>
    <row r="12" spans="1:8" ht="21.95" customHeight="1">
      <c r="A12" s="1324"/>
      <c r="B12" s="1328"/>
      <c r="C12" s="1613"/>
      <c r="D12" s="1329"/>
      <c r="E12" s="1330"/>
      <c r="F12" s="1325"/>
      <c r="G12" s="1326"/>
      <c r="H12" s="1327"/>
    </row>
    <row r="13" spans="1:8" ht="21.95" customHeight="1">
      <c r="A13" s="1324"/>
      <c r="B13" s="1328"/>
      <c r="C13" s="1613"/>
      <c r="D13" s="1329"/>
      <c r="E13" s="1330"/>
      <c r="F13" s="1325"/>
      <c r="G13" s="1326"/>
      <c r="H13" s="1327"/>
    </row>
    <row r="14" spans="1:8" ht="21.95" customHeight="1">
      <c r="A14" s="1324"/>
      <c r="B14" s="1328"/>
      <c r="C14" s="1613"/>
      <c r="D14" s="1329"/>
      <c r="E14" s="1330"/>
      <c r="F14" s="1325"/>
      <c r="G14" s="1326"/>
      <c r="H14" s="1327"/>
    </row>
    <row r="15" spans="1:8" ht="21.95" customHeight="1">
      <c r="A15" s="1324"/>
      <c r="B15" s="1328"/>
      <c r="C15" s="1613"/>
      <c r="D15" s="1329"/>
      <c r="E15" s="1330"/>
      <c r="F15" s="1325"/>
      <c r="G15" s="1326"/>
      <c r="H15" s="1327"/>
    </row>
    <row r="16" spans="1:8" ht="21.95" customHeight="1">
      <c r="A16" s="797"/>
      <c r="B16" s="2150" t="s">
        <v>1114</v>
      </c>
      <c r="C16" s="2151"/>
      <c r="D16" s="2151"/>
      <c r="E16" s="2152"/>
      <c r="F16" s="1047">
        <f>SUM(F5:F6)</f>
        <v>55000000000</v>
      </c>
      <c r="G16" s="1047"/>
      <c r="H16" s="1048"/>
    </row>
    <row r="17" spans="1:8" s="30" customFormat="1" ht="21.95" customHeight="1">
      <c r="A17" s="2153" t="s">
        <v>5</v>
      </c>
      <c r="B17" s="2154"/>
      <c r="C17" s="2155"/>
      <c r="D17" s="2154"/>
      <c r="E17" s="2156"/>
      <c r="F17" s="1049">
        <f>F16</f>
        <v>55000000000</v>
      </c>
      <c r="G17" s="1050"/>
      <c r="H17" s="1627"/>
    </row>
    <row r="18" spans="1:8" ht="20.100000000000001" customHeight="1">
      <c r="A18" s="2" t="s">
        <v>894</v>
      </c>
      <c r="B18" s="30"/>
      <c r="C18" s="30"/>
    </row>
  </sheetData>
  <mergeCells count="9">
    <mergeCell ref="G5:G6"/>
    <mergeCell ref="A5:A6"/>
    <mergeCell ref="B16:E16"/>
    <mergeCell ref="A17:E17"/>
    <mergeCell ref="A3:D3"/>
    <mergeCell ref="B5:B6"/>
    <mergeCell ref="D5:D6"/>
    <mergeCell ref="C5:C6"/>
    <mergeCell ref="E5:E6"/>
  </mergeCells>
  <phoneticPr fontId="2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showGridLines="0" zoomScaleSheetLayoutView="100" workbookViewId="0">
      <pane ySplit="4" topLeftCell="A121" activePane="bottomLeft" state="frozen"/>
      <selection pane="bottomLeft"/>
    </sheetView>
  </sheetViews>
  <sheetFormatPr defaultColWidth="12.625" defaultRowHeight="20.100000000000001" customHeight="1"/>
  <cols>
    <col min="1" max="1" width="18.75" style="29" customWidth="1"/>
    <col min="2" max="2" width="40.5" style="29" customWidth="1"/>
    <col min="3" max="3" width="25.125" style="29" customWidth="1"/>
    <col min="4" max="4" width="28" style="29" customWidth="1"/>
    <col min="5" max="250" width="12.625" style="29"/>
    <col min="251" max="251" width="20.625" style="29" customWidth="1"/>
    <col min="252" max="252" width="38.125" style="29" customWidth="1"/>
    <col min="253" max="253" width="17.25" style="29" customWidth="1"/>
    <col min="254" max="254" width="18.75" style="29" customWidth="1"/>
    <col min="255" max="255" width="19.625" style="29" customWidth="1"/>
    <col min="256" max="506" width="12.625" style="29"/>
    <col min="507" max="507" width="20.625" style="29" customWidth="1"/>
    <col min="508" max="508" width="38.125" style="29" customWidth="1"/>
    <col min="509" max="509" width="17.25" style="29" customWidth="1"/>
    <col min="510" max="510" width="18.75" style="29" customWidth="1"/>
    <col min="511" max="511" width="19.625" style="29" customWidth="1"/>
    <col min="512" max="762" width="12.625" style="29"/>
    <col min="763" max="763" width="20.625" style="29" customWidth="1"/>
    <col min="764" max="764" width="38.125" style="29" customWidth="1"/>
    <col min="765" max="765" width="17.25" style="29" customWidth="1"/>
    <col min="766" max="766" width="18.75" style="29" customWidth="1"/>
    <col min="767" max="767" width="19.625" style="29" customWidth="1"/>
    <col min="768" max="1018" width="12.625" style="29"/>
    <col min="1019" max="1019" width="20.625" style="29" customWidth="1"/>
    <col min="1020" max="1020" width="38.125" style="29" customWidth="1"/>
    <col min="1021" max="1021" width="17.25" style="29" customWidth="1"/>
    <col min="1022" max="1022" width="18.75" style="29" customWidth="1"/>
    <col min="1023" max="1023" width="19.625" style="29" customWidth="1"/>
    <col min="1024" max="1274" width="12.625" style="29"/>
    <col min="1275" max="1275" width="20.625" style="29" customWidth="1"/>
    <col min="1276" max="1276" width="38.125" style="29" customWidth="1"/>
    <col min="1277" max="1277" width="17.25" style="29" customWidth="1"/>
    <col min="1278" max="1278" width="18.75" style="29" customWidth="1"/>
    <col min="1279" max="1279" width="19.625" style="29" customWidth="1"/>
    <col min="1280" max="1530" width="12.625" style="29"/>
    <col min="1531" max="1531" width="20.625" style="29" customWidth="1"/>
    <col min="1532" max="1532" width="38.125" style="29" customWidth="1"/>
    <col min="1533" max="1533" width="17.25" style="29" customWidth="1"/>
    <col min="1534" max="1534" width="18.75" style="29" customWidth="1"/>
    <col min="1535" max="1535" width="19.625" style="29" customWidth="1"/>
    <col min="1536" max="1786" width="12.625" style="29"/>
    <col min="1787" max="1787" width="20.625" style="29" customWidth="1"/>
    <col min="1788" max="1788" width="38.125" style="29" customWidth="1"/>
    <col min="1789" max="1789" width="17.25" style="29" customWidth="1"/>
    <col min="1790" max="1790" width="18.75" style="29" customWidth="1"/>
    <col min="1791" max="1791" width="19.625" style="29" customWidth="1"/>
    <col min="1792" max="2042" width="12.625" style="29"/>
    <col min="2043" max="2043" width="20.625" style="29" customWidth="1"/>
    <col min="2044" max="2044" width="38.125" style="29" customWidth="1"/>
    <col min="2045" max="2045" width="17.25" style="29" customWidth="1"/>
    <col min="2046" max="2046" width="18.75" style="29" customWidth="1"/>
    <col min="2047" max="2047" width="19.625" style="29" customWidth="1"/>
    <col min="2048" max="2298" width="12.625" style="29"/>
    <col min="2299" max="2299" width="20.625" style="29" customWidth="1"/>
    <col min="2300" max="2300" width="38.125" style="29" customWidth="1"/>
    <col min="2301" max="2301" width="17.25" style="29" customWidth="1"/>
    <col min="2302" max="2302" width="18.75" style="29" customWidth="1"/>
    <col min="2303" max="2303" width="19.625" style="29" customWidth="1"/>
    <col min="2304" max="2554" width="12.625" style="29"/>
    <col min="2555" max="2555" width="20.625" style="29" customWidth="1"/>
    <col min="2556" max="2556" width="38.125" style="29" customWidth="1"/>
    <col min="2557" max="2557" width="17.25" style="29" customWidth="1"/>
    <col min="2558" max="2558" width="18.75" style="29" customWidth="1"/>
    <col min="2559" max="2559" width="19.625" style="29" customWidth="1"/>
    <col min="2560" max="2810" width="12.625" style="29"/>
    <col min="2811" max="2811" width="20.625" style="29" customWidth="1"/>
    <col min="2812" max="2812" width="38.125" style="29" customWidth="1"/>
    <col min="2813" max="2813" width="17.25" style="29" customWidth="1"/>
    <col min="2814" max="2814" width="18.75" style="29" customWidth="1"/>
    <col min="2815" max="2815" width="19.625" style="29" customWidth="1"/>
    <col min="2816" max="3066" width="12.625" style="29"/>
    <col min="3067" max="3067" width="20.625" style="29" customWidth="1"/>
    <col min="3068" max="3068" width="38.125" style="29" customWidth="1"/>
    <col min="3069" max="3069" width="17.25" style="29" customWidth="1"/>
    <col min="3070" max="3070" width="18.75" style="29" customWidth="1"/>
    <col min="3071" max="3071" width="19.625" style="29" customWidth="1"/>
    <col min="3072" max="3322" width="12.625" style="29"/>
    <col min="3323" max="3323" width="20.625" style="29" customWidth="1"/>
    <col min="3324" max="3324" width="38.125" style="29" customWidth="1"/>
    <col min="3325" max="3325" width="17.25" style="29" customWidth="1"/>
    <col min="3326" max="3326" width="18.75" style="29" customWidth="1"/>
    <col min="3327" max="3327" width="19.625" style="29" customWidth="1"/>
    <col min="3328" max="3578" width="12.625" style="29"/>
    <col min="3579" max="3579" width="20.625" style="29" customWidth="1"/>
    <col min="3580" max="3580" width="38.125" style="29" customWidth="1"/>
    <col min="3581" max="3581" width="17.25" style="29" customWidth="1"/>
    <col min="3582" max="3582" width="18.75" style="29" customWidth="1"/>
    <col min="3583" max="3583" width="19.625" style="29" customWidth="1"/>
    <col min="3584" max="3834" width="12.625" style="29"/>
    <col min="3835" max="3835" width="20.625" style="29" customWidth="1"/>
    <col min="3836" max="3836" width="38.125" style="29" customWidth="1"/>
    <col min="3837" max="3837" width="17.25" style="29" customWidth="1"/>
    <col min="3838" max="3838" width="18.75" style="29" customWidth="1"/>
    <col min="3839" max="3839" width="19.625" style="29" customWidth="1"/>
    <col min="3840" max="4090" width="12.625" style="29"/>
    <col min="4091" max="4091" width="20.625" style="29" customWidth="1"/>
    <col min="4092" max="4092" width="38.125" style="29" customWidth="1"/>
    <col min="4093" max="4093" width="17.25" style="29" customWidth="1"/>
    <col min="4094" max="4094" width="18.75" style="29" customWidth="1"/>
    <col min="4095" max="4095" width="19.625" style="29" customWidth="1"/>
    <col min="4096" max="4346" width="12.625" style="29"/>
    <col min="4347" max="4347" width="20.625" style="29" customWidth="1"/>
    <col min="4348" max="4348" width="38.125" style="29" customWidth="1"/>
    <col min="4349" max="4349" width="17.25" style="29" customWidth="1"/>
    <col min="4350" max="4350" width="18.75" style="29" customWidth="1"/>
    <col min="4351" max="4351" width="19.625" style="29" customWidth="1"/>
    <col min="4352" max="4602" width="12.625" style="29"/>
    <col min="4603" max="4603" width="20.625" style="29" customWidth="1"/>
    <col min="4604" max="4604" width="38.125" style="29" customWidth="1"/>
    <col min="4605" max="4605" width="17.25" style="29" customWidth="1"/>
    <col min="4606" max="4606" width="18.75" style="29" customWidth="1"/>
    <col min="4607" max="4607" width="19.625" style="29" customWidth="1"/>
    <col min="4608" max="4858" width="12.625" style="29"/>
    <col min="4859" max="4859" width="20.625" style="29" customWidth="1"/>
    <col min="4860" max="4860" width="38.125" style="29" customWidth="1"/>
    <col min="4861" max="4861" width="17.25" style="29" customWidth="1"/>
    <col min="4862" max="4862" width="18.75" style="29" customWidth="1"/>
    <col min="4863" max="4863" width="19.625" style="29" customWidth="1"/>
    <col min="4864" max="5114" width="12.625" style="29"/>
    <col min="5115" max="5115" width="20.625" style="29" customWidth="1"/>
    <col min="5116" max="5116" width="38.125" style="29" customWidth="1"/>
    <col min="5117" max="5117" width="17.25" style="29" customWidth="1"/>
    <col min="5118" max="5118" width="18.75" style="29" customWidth="1"/>
    <col min="5119" max="5119" width="19.625" style="29" customWidth="1"/>
    <col min="5120" max="5370" width="12.625" style="29"/>
    <col min="5371" max="5371" width="20.625" style="29" customWidth="1"/>
    <col min="5372" max="5372" width="38.125" style="29" customWidth="1"/>
    <col min="5373" max="5373" width="17.25" style="29" customWidth="1"/>
    <col min="5374" max="5374" width="18.75" style="29" customWidth="1"/>
    <col min="5375" max="5375" width="19.625" style="29" customWidth="1"/>
    <col min="5376" max="5626" width="12.625" style="29"/>
    <col min="5627" max="5627" width="20.625" style="29" customWidth="1"/>
    <col min="5628" max="5628" width="38.125" style="29" customWidth="1"/>
    <col min="5629" max="5629" width="17.25" style="29" customWidth="1"/>
    <col min="5630" max="5630" width="18.75" style="29" customWidth="1"/>
    <col min="5631" max="5631" width="19.625" style="29" customWidth="1"/>
    <col min="5632" max="5882" width="12.625" style="29"/>
    <col min="5883" max="5883" width="20.625" style="29" customWidth="1"/>
    <col min="5884" max="5884" width="38.125" style="29" customWidth="1"/>
    <col min="5885" max="5885" width="17.25" style="29" customWidth="1"/>
    <col min="5886" max="5886" width="18.75" style="29" customWidth="1"/>
    <col min="5887" max="5887" width="19.625" style="29" customWidth="1"/>
    <col min="5888" max="6138" width="12.625" style="29"/>
    <col min="6139" max="6139" width="20.625" style="29" customWidth="1"/>
    <col min="6140" max="6140" width="38.125" style="29" customWidth="1"/>
    <col min="6141" max="6141" width="17.25" style="29" customWidth="1"/>
    <col min="6142" max="6142" width="18.75" style="29" customWidth="1"/>
    <col min="6143" max="6143" width="19.625" style="29" customWidth="1"/>
    <col min="6144" max="6394" width="12.625" style="29"/>
    <col min="6395" max="6395" width="20.625" style="29" customWidth="1"/>
    <col min="6396" max="6396" width="38.125" style="29" customWidth="1"/>
    <col min="6397" max="6397" width="17.25" style="29" customWidth="1"/>
    <col min="6398" max="6398" width="18.75" style="29" customWidth="1"/>
    <col min="6399" max="6399" width="19.625" style="29" customWidth="1"/>
    <col min="6400" max="6650" width="12.625" style="29"/>
    <col min="6651" max="6651" width="20.625" style="29" customWidth="1"/>
    <col min="6652" max="6652" width="38.125" style="29" customWidth="1"/>
    <col min="6653" max="6653" width="17.25" style="29" customWidth="1"/>
    <col min="6654" max="6654" width="18.75" style="29" customWidth="1"/>
    <col min="6655" max="6655" width="19.625" style="29" customWidth="1"/>
    <col min="6656" max="6906" width="12.625" style="29"/>
    <col min="6907" max="6907" width="20.625" style="29" customWidth="1"/>
    <col min="6908" max="6908" width="38.125" style="29" customWidth="1"/>
    <col min="6909" max="6909" width="17.25" style="29" customWidth="1"/>
    <col min="6910" max="6910" width="18.75" style="29" customWidth="1"/>
    <col min="6911" max="6911" width="19.625" style="29" customWidth="1"/>
    <col min="6912" max="7162" width="12.625" style="29"/>
    <col min="7163" max="7163" width="20.625" style="29" customWidth="1"/>
    <col min="7164" max="7164" width="38.125" style="29" customWidth="1"/>
    <col min="7165" max="7165" width="17.25" style="29" customWidth="1"/>
    <col min="7166" max="7166" width="18.75" style="29" customWidth="1"/>
    <col min="7167" max="7167" width="19.625" style="29" customWidth="1"/>
    <col min="7168" max="7418" width="12.625" style="29"/>
    <col min="7419" max="7419" width="20.625" style="29" customWidth="1"/>
    <col min="7420" max="7420" width="38.125" style="29" customWidth="1"/>
    <col min="7421" max="7421" width="17.25" style="29" customWidth="1"/>
    <col min="7422" max="7422" width="18.75" style="29" customWidth="1"/>
    <col min="7423" max="7423" width="19.625" style="29" customWidth="1"/>
    <col min="7424" max="7674" width="12.625" style="29"/>
    <col min="7675" max="7675" width="20.625" style="29" customWidth="1"/>
    <col min="7676" max="7676" width="38.125" style="29" customWidth="1"/>
    <col min="7677" max="7677" width="17.25" style="29" customWidth="1"/>
    <col min="7678" max="7678" width="18.75" style="29" customWidth="1"/>
    <col min="7679" max="7679" width="19.625" style="29" customWidth="1"/>
    <col min="7680" max="7930" width="12.625" style="29"/>
    <col min="7931" max="7931" width="20.625" style="29" customWidth="1"/>
    <col min="7932" max="7932" width="38.125" style="29" customWidth="1"/>
    <col min="7933" max="7933" width="17.25" style="29" customWidth="1"/>
    <col min="7934" max="7934" width="18.75" style="29" customWidth="1"/>
    <col min="7935" max="7935" width="19.625" style="29" customWidth="1"/>
    <col min="7936" max="8186" width="12.625" style="29"/>
    <col min="8187" max="8187" width="20.625" style="29" customWidth="1"/>
    <col min="8188" max="8188" width="38.125" style="29" customWidth="1"/>
    <col min="8189" max="8189" width="17.25" style="29" customWidth="1"/>
    <col min="8190" max="8190" width="18.75" style="29" customWidth="1"/>
    <col min="8191" max="8191" width="19.625" style="29" customWidth="1"/>
    <col min="8192" max="8442" width="12.625" style="29"/>
    <col min="8443" max="8443" width="20.625" style="29" customWidth="1"/>
    <col min="8444" max="8444" width="38.125" style="29" customWidth="1"/>
    <col min="8445" max="8445" width="17.25" style="29" customWidth="1"/>
    <col min="8446" max="8446" width="18.75" style="29" customWidth="1"/>
    <col min="8447" max="8447" width="19.625" style="29" customWidth="1"/>
    <col min="8448" max="8698" width="12.625" style="29"/>
    <col min="8699" max="8699" width="20.625" style="29" customWidth="1"/>
    <col min="8700" max="8700" width="38.125" style="29" customWidth="1"/>
    <col min="8701" max="8701" width="17.25" style="29" customWidth="1"/>
    <col min="8702" max="8702" width="18.75" style="29" customWidth="1"/>
    <col min="8703" max="8703" width="19.625" style="29" customWidth="1"/>
    <col min="8704" max="8954" width="12.625" style="29"/>
    <col min="8955" max="8955" width="20.625" style="29" customWidth="1"/>
    <col min="8956" max="8956" width="38.125" style="29" customWidth="1"/>
    <col min="8957" max="8957" width="17.25" style="29" customWidth="1"/>
    <col min="8958" max="8958" width="18.75" style="29" customWidth="1"/>
    <col min="8959" max="8959" width="19.625" style="29" customWidth="1"/>
    <col min="8960" max="9210" width="12.625" style="29"/>
    <col min="9211" max="9211" width="20.625" style="29" customWidth="1"/>
    <col min="9212" max="9212" width="38.125" style="29" customWidth="1"/>
    <col min="9213" max="9213" width="17.25" style="29" customWidth="1"/>
    <col min="9214" max="9214" width="18.75" style="29" customWidth="1"/>
    <col min="9215" max="9215" width="19.625" style="29" customWidth="1"/>
    <col min="9216" max="9466" width="12.625" style="29"/>
    <col min="9467" max="9467" width="20.625" style="29" customWidth="1"/>
    <col min="9468" max="9468" width="38.125" style="29" customWidth="1"/>
    <col min="9469" max="9469" width="17.25" style="29" customWidth="1"/>
    <col min="9470" max="9470" width="18.75" style="29" customWidth="1"/>
    <col min="9471" max="9471" width="19.625" style="29" customWidth="1"/>
    <col min="9472" max="9722" width="12.625" style="29"/>
    <col min="9723" max="9723" width="20.625" style="29" customWidth="1"/>
    <col min="9724" max="9724" width="38.125" style="29" customWidth="1"/>
    <col min="9725" max="9725" width="17.25" style="29" customWidth="1"/>
    <col min="9726" max="9726" width="18.75" style="29" customWidth="1"/>
    <col min="9727" max="9727" width="19.625" style="29" customWidth="1"/>
    <col min="9728" max="9978" width="12.625" style="29"/>
    <col min="9979" max="9979" width="20.625" style="29" customWidth="1"/>
    <col min="9980" max="9980" width="38.125" style="29" customWidth="1"/>
    <col min="9981" max="9981" width="17.25" style="29" customWidth="1"/>
    <col min="9982" max="9982" width="18.75" style="29" customWidth="1"/>
    <col min="9983" max="9983" width="19.625" style="29" customWidth="1"/>
    <col min="9984" max="10234" width="12.625" style="29"/>
    <col min="10235" max="10235" width="20.625" style="29" customWidth="1"/>
    <col min="10236" max="10236" width="38.125" style="29" customWidth="1"/>
    <col min="10237" max="10237" width="17.25" style="29" customWidth="1"/>
    <col min="10238" max="10238" width="18.75" style="29" customWidth="1"/>
    <col min="10239" max="10239" width="19.625" style="29" customWidth="1"/>
    <col min="10240" max="10490" width="12.625" style="29"/>
    <col min="10491" max="10491" width="20.625" style="29" customWidth="1"/>
    <col min="10492" max="10492" width="38.125" style="29" customWidth="1"/>
    <col min="10493" max="10493" width="17.25" style="29" customWidth="1"/>
    <col min="10494" max="10494" width="18.75" style="29" customWidth="1"/>
    <col min="10495" max="10495" width="19.625" style="29" customWidth="1"/>
    <col min="10496" max="10746" width="12.625" style="29"/>
    <col min="10747" max="10747" width="20.625" style="29" customWidth="1"/>
    <col min="10748" max="10748" width="38.125" style="29" customWidth="1"/>
    <col min="10749" max="10749" width="17.25" style="29" customWidth="1"/>
    <col min="10750" max="10750" width="18.75" style="29" customWidth="1"/>
    <col min="10751" max="10751" width="19.625" style="29" customWidth="1"/>
    <col min="10752" max="11002" width="12.625" style="29"/>
    <col min="11003" max="11003" width="20.625" style="29" customWidth="1"/>
    <col min="11004" max="11004" width="38.125" style="29" customWidth="1"/>
    <col min="11005" max="11005" width="17.25" style="29" customWidth="1"/>
    <col min="11006" max="11006" width="18.75" style="29" customWidth="1"/>
    <col min="11007" max="11007" width="19.625" style="29" customWidth="1"/>
    <col min="11008" max="11258" width="12.625" style="29"/>
    <col min="11259" max="11259" width="20.625" style="29" customWidth="1"/>
    <col min="11260" max="11260" width="38.125" style="29" customWidth="1"/>
    <col min="11261" max="11261" width="17.25" style="29" customWidth="1"/>
    <col min="11262" max="11262" width="18.75" style="29" customWidth="1"/>
    <col min="11263" max="11263" width="19.625" style="29" customWidth="1"/>
    <col min="11264" max="11514" width="12.625" style="29"/>
    <col min="11515" max="11515" width="20.625" style="29" customWidth="1"/>
    <col min="11516" max="11516" width="38.125" style="29" customWidth="1"/>
    <col min="11517" max="11517" width="17.25" style="29" customWidth="1"/>
    <col min="11518" max="11518" width="18.75" style="29" customWidth="1"/>
    <col min="11519" max="11519" width="19.625" style="29" customWidth="1"/>
    <col min="11520" max="11770" width="12.625" style="29"/>
    <col min="11771" max="11771" width="20.625" style="29" customWidth="1"/>
    <col min="11772" max="11772" width="38.125" style="29" customWidth="1"/>
    <col min="11773" max="11773" width="17.25" style="29" customWidth="1"/>
    <col min="11774" max="11774" width="18.75" style="29" customWidth="1"/>
    <col min="11775" max="11775" width="19.625" style="29" customWidth="1"/>
    <col min="11776" max="12026" width="12.625" style="29"/>
    <col min="12027" max="12027" width="20.625" style="29" customWidth="1"/>
    <col min="12028" max="12028" width="38.125" style="29" customWidth="1"/>
    <col min="12029" max="12029" width="17.25" style="29" customWidth="1"/>
    <col min="12030" max="12030" width="18.75" style="29" customWidth="1"/>
    <col min="12031" max="12031" width="19.625" style="29" customWidth="1"/>
    <col min="12032" max="12282" width="12.625" style="29"/>
    <col min="12283" max="12283" width="20.625" style="29" customWidth="1"/>
    <col min="12284" max="12284" width="38.125" style="29" customWidth="1"/>
    <col min="12285" max="12285" width="17.25" style="29" customWidth="1"/>
    <col min="12286" max="12286" width="18.75" style="29" customWidth="1"/>
    <col min="12287" max="12287" width="19.625" style="29" customWidth="1"/>
    <col min="12288" max="12538" width="12.625" style="29"/>
    <col min="12539" max="12539" width="20.625" style="29" customWidth="1"/>
    <col min="12540" max="12540" width="38.125" style="29" customWidth="1"/>
    <col min="12541" max="12541" width="17.25" style="29" customWidth="1"/>
    <col min="12542" max="12542" width="18.75" style="29" customWidth="1"/>
    <col min="12543" max="12543" width="19.625" style="29" customWidth="1"/>
    <col min="12544" max="12794" width="12.625" style="29"/>
    <col min="12795" max="12795" width="20.625" style="29" customWidth="1"/>
    <col min="12796" max="12796" width="38.125" style="29" customWidth="1"/>
    <col min="12797" max="12797" width="17.25" style="29" customWidth="1"/>
    <col min="12798" max="12798" width="18.75" style="29" customWidth="1"/>
    <col min="12799" max="12799" width="19.625" style="29" customWidth="1"/>
    <col min="12800" max="13050" width="12.625" style="29"/>
    <col min="13051" max="13051" width="20.625" style="29" customWidth="1"/>
    <col min="13052" max="13052" width="38.125" style="29" customWidth="1"/>
    <col min="13053" max="13053" width="17.25" style="29" customWidth="1"/>
    <col min="13054" max="13054" width="18.75" style="29" customWidth="1"/>
    <col min="13055" max="13055" width="19.625" style="29" customWidth="1"/>
    <col min="13056" max="13306" width="12.625" style="29"/>
    <col min="13307" max="13307" width="20.625" style="29" customWidth="1"/>
    <col min="13308" max="13308" width="38.125" style="29" customWidth="1"/>
    <col min="13309" max="13309" width="17.25" style="29" customWidth="1"/>
    <col min="13310" max="13310" width="18.75" style="29" customWidth="1"/>
    <col min="13311" max="13311" width="19.625" style="29" customWidth="1"/>
    <col min="13312" max="13562" width="12.625" style="29"/>
    <col min="13563" max="13563" width="20.625" style="29" customWidth="1"/>
    <col min="13564" max="13564" width="38.125" style="29" customWidth="1"/>
    <col min="13565" max="13565" width="17.25" style="29" customWidth="1"/>
    <col min="13566" max="13566" width="18.75" style="29" customWidth="1"/>
    <col min="13567" max="13567" width="19.625" style="29" customWidth="1"/>
    <col min="13568" max="13818" width="12.625" style="29"/>
    <col min="13819" max="13819" width="20.625" style="29" customWidth="1"/>
    <col min="13820" max="13820" width="38.125" style="29" customWidth="1"/>
    <col min="13821" max="13821" width="17.25" style="29" customWidth="1"/>
    <col min="13822" max="13822" width="18.75" style="29" customWidth="1"/>
    <col min="13823" max="13823" width="19.625" style="29" customWidth="1"/>
    <col min="13824" max="14074" width="12.625" style="29"/>
    <col min="14075" max="14075" width="20.625" style="29" customWidth="1"/>
    <col min="14076" max="14076" width="38.125" style="29" customWidth="1"/>
    <col min="14077" max="14077" width="17.25" style="29" customWidth="1"/>
    <col min="14078" max="14078" width="18.75" style="29" customWidth="1"/>
    <col min="14079" max="14079" width="19.625" style="29" customWidth="1"/>
    <col min="14080" max="14330" width="12.625" style="29"/>
    <col min="14331" max="14331" width="20.625" style="29" customWidth="1"/>
    <col min="14332" max="14332" width="38.125" style="29" customWidth="1"/>
    <col min="14333" max="14333" width="17.25" style="29" customWidth="1"/>
    <col min="14334" max="14334" width="18.75" style="29" customWidth="1"/>
    <col min="14335" max="14335" width="19.625" style="29" customWidth="1"/>
    <col min="14336" max="14586" width="12.625" style="29"/>
    <col min="14587" max="14587" width="20.625" style="29" customWidth="1"/>
    <col min="14588" max="14588" width="38.125" style="29" customWidth="1"/>
    <col min="14589" max="14589" width="17.25" style="29" customWidth="1"/>
    <col min="14590" max="14590" width="18.75" style="29" customWidth="1"/>
    <col min="14591" max="14591" width="19.625" style="29" customWidth="1"/>
    <col min="14592" max="14842" width="12.625" style="29"/>
    <col min="14843" max="14843" width="20.625" style="29" customWidth="1"/>
    <col min="14844" max="14844" width="38.125" style="29" customWidth="1"/>
    <col min="14845" max="14845" width="17.25" style="29" customWidth="1"/>
    <col min="14846" max="14846" width="18.75" style="29" customWidth="1"/>
    <col min="14847" max="14847" width="19.625" style="29" customWidth="1"/>
    <col min="14848" max="15098" width="12.625" style="29"/>
    <col min="15099" max="15099" width="20.625" style="29" customWidth="1"/>
    <col min="15100" max="15100" width="38.125" style="29" customWidth="1"/>
    <col min="15101" max="15101" width="17.25" style="29" customWidth="1"/>
    <col min="15102" max="15102" width="18.75" style="29" customWidth="1"/>
    <col min="15103" max="15103" width="19.625" style="29" customWidth="1"/>
    <col min="15104" max="15354" width="12.625" style="29"/>
    <col min="15355" max="15355" width="20.625" style="29" customWidth="1"/>
    <col min="15356" max="15356" width="38.125" style="29" customWidth="1"/>
    <col min="15357" max="15357" width="17.25" style="29" customWidth="1"/>
    <col min="15358" max="15358" width="18.75" style="29" customWidth="1"/>
    <col min="15359" max="15359" width="19.625" style="29" customWidth="1"/>
    <col min="15360" max="15610" width="12.625" style="29"/>
    <col min="15611" max="15611" width="20.625" style="29" customWidth="1"/>
    <col min="15612" max="15612" width="38.125" style="29" customWidth="1"/>
    <col min="15613" max="15613" width="17.25" style="29" customWidth="1"/>
    <col min="15614" max="15614" width="18.75" style="29" customWidth="1"/>
    <col min="15615" max="15615" width="19.625" style="29" customWidth="1"/>
    <col min="15616" max="15866" width="12.625" style="29"/>
    <col min="15867" max="15867" width="20.625" style="29" customWidth="1"/>
    <col min="15868" max="15868" width="38.125" style="29" customWidth="1"/>
    <col min="15869" max="15869" width="17.25" style="29" customWidth="1"/>
    <col min="15870" max="15870" width="18.75" style="29" customWidth="1"/>
    <col min="15871" max="15871" width="19.625" style="29" customWidth="1"/>
    <col min="15872" max="16122" width="12.625" style="29"/>
    <col min="16123" max="16123" width="20.625" style="29" customWidth="1"/>
    <col min="16124" max="16124" width="38.125" style="29" customWidth="1"/>
    <col min="16125" max="16125" width="17.25" style="29" customWidth="1"/>
    <col min="16126" max="16126" width="18.75" style="29" customWidth="1"/>
    <col min="16127" max="16127" width="19.625" style="29" customWidth="1"/>
    <col min="16128" max="16384" width="12.625" style="29"/>
  </cols>
  <sheetData>
    <row r="1" spans="1:4" ht="20.100000000000001" customHeight="1">
      <c r="A1" s="27" t="s">
        <v>1040</v>
      </c>
    </row>
    <row r="2" spans="1:4" ht="17.25" customHeight="1">
      <c r="B2" s="6"/>
      <c r="C2" s="58"/>
    </row>
    <row r="3" spans="1:4" ht="20.100000000000001" customHeight="1">
      <c r="A3" s="2083">
        <f>'차입금(장기,유동성)'!A3:D3</f>
        <v>45504</v>
      </c>
      <c r="B3" s="2083"/>
      <c r="C3" s="30"/>
      <c r="D3" s="31" t="s">
        <v>0</v>
      </c>
    </row>
    <row r="4" spans="1:4" ht="20.100000000000001" customHeight="1">
      <c r="A4" s="76" t="s">
        <v>97</v>
      </c>
      <c r="B4" s="76" t="s">
        <v>2</v>
      </c>
      <c r="C4" s="61" t="s">
        <v>3</v>
      </c>
      <c r="D4" s="62" t="s">
        <v>4</v>
      </c>
    </row>
    <row r="5" spans="1:4" ht="20.100000000000001" hidden="1" customHeight="1">
      <c r="A5" s="2166" t="s">
        <v>99</v>
      </c>
      <c r="B5" s="2167"/>
      <c r="C5" s="208">
        <v>1145586495</v>
      </c>
      <c r="D5" s="136"/>
    </row>
    <row r="6" spans="1:4" ht="21.95" hidden="1" customHeight="1">
      <c r="A6" s="308" t="s">
        <v>158</v>
      </c>
      <c r="B6" s="309" t="s">
        <v>159</v>
      </c>
      <c r="C6" s="310">
        <f>-505128095-181008320-164401250</f>
        <v>-850537665</v>
      </c>
      <c r="D6" s="306"/>
    </row>
    <row r="7" spans="1:4" ht="21.95" hidden="1" customHeight="1">
      <c r="A7" s="261" t="s">
        <v>163</v>
      </c>
      <c r="B7" s="305" t="s">
        <v>161</v>
      </c>
      <c r="C7" s="312">
        <v>76539596</v>
      </c>
      <c r="D7" s="304"/>
    </row>
    <row r="8" spans="1:4" ht="21.95" hidden="1" customHeight="1">
      <c r="A8" s="261" t="s">
        <v>162</v>
      </c>
      <c r="B8" s="305" t="s">
        <v>160</v>
      </c>
      <c r="C8" s="312">
        <f>2616573+20623611-56654974</f>
        <v>-33414790</v>
      </c>
      <c r="D8" s="304"/>
    </row>
    <row r="9" spans="1:4" ht="21.95" hidden="1" customHeight="1">
      <c r="A9" s="261" t="s">
        <v>164</v>
      </c>
      <c r="B9" s="305" t="s">
        <v>165</v>
      </c>
      <c r="C9" s="312">
        <f>46737146+855872+4049491</f>
        <v>51642509</v>
      </c>
      <c r="D9" s="304"/>
    </row>
    <row r="10" spans="1:4" ht="21.95" hidden="1" customHeight="1">
      <c r="A10" s="261"/>
      <c r="B10" s="307" t="s">
        <v>166</v>
      </c>
      <c r="C10" s="312">
        <v>-18384267</v>
      </c>
      <c r="D10" s="304"/>
    </row>
    <row r="11" spans="1:4" ht="21.95" hidden="1" customHeight="1">
      <c r="A11" s="261" t="s">
        <v>167</v>
      </c>
      <c r="B11" s="305" t="s">
        <v>169</v>
      </c>
      <c r="C11" s="312">
        <v>2655776</v>
      </c>
      <c r="D11" s="304"/>
    </row>
    <row r="12" spans="1:4" ht="21.95" hidden="1" customHeight="1">
      <c r="A12" s="261" t="s">
        <v>168</v>
      </c>
      <c r="B12" s="305" t="s">
        <v>170</v>
      </c>
      <c r="C12" s="312">
        <f>4944929-1180092</f>
        <v>3764837</v>
      </c>
      <c r="D12" s="304"/>
    </row>
    <row r="13" spans="1:4" ht="21.95" hidden="1" customHeight="1">
      <c r="A13" s="261" t="s">
        <v>157</v>
      </c>
      <c r="B13" s="305" t="s">
        <v>171</v>
      </c>
      <c r="C13" s="312">
        <f>4397919+893243-891802</f>
        <v>4399360</v>
      </c>
      <c r="D13" s="304"/>
    </row>
    <row r="14" spans="1:4" ht="21.95" hidden="1" customHeight="1">
      <c r="A14" s="261" t="s">
        <v>185</v>
      </c>
      <c r="B14" s="305" t="s">
        <v>186</v>
      </c>
      <c r="C14" s="312">
        <v>7453426</v>
      </c>
      <c r="D14" s="304"/>
    </row>
    <row r="15" spans="1:4" ht="21.95" hidden="1" customHeight="1">
      <c r="A15" s="261" t="s">
        <v>249</v>
      </c>
      <c r="B15" s="305" t="s">
        <v>250</v>
      </c>
      <c r="C15" s="312">
        <v>6927028</v>
      </c>
      <c r="D15" s="304"/>
    </row>
    <row r="16" spans="1:4" ht="21.95" hidden="1" customHeight="1">
      <c r="A16" s="261" t="s">
        <v>259</v>
      </c>
      <c r="B16" s="305" t="s">
        <v>260</v>
      </c>
      <c r="C16" s="312">
        <v>20429756</v>
      </c>
      <c r="D16" s="304"/>
    </row>
    <row r="17" spans="1:4" ht="21.95" hidden="1" customHeight="1">
      <c r="A17" s="261" t="s">
        <v>266</v>
      </c>
      <c r="B17" s="305" t="s">
        <v>267</v>
      </c>
      <c r="C17" s="312">
        <v>-14720935</v>
      </c>
      <c r="D17" s="304"/>
    </row>
    <row r="18" spans="1:4" ht="21.95" hidden="1" customHeight="1">
      <c r="A18" s="261" t="s">
        <v>268</v>
      </c>
      <c r="B18" s="305" t="s">
        <v>269</v>
      </c>
      <c r="C18" s="312">
        <v>5803090</v>
      </c>
      <c r="D18" s="304"/>
    </row>
    <row r="19" spans="1:4" ht="21.95" hidden="1" customHeight="1">
      <c r="A19" s="261" t="s">
        <v>273</v>
      </c>
      <c r="B19" s="305" t="s">
        <v>274</v>
      </c>
      <c r="C19" s="312">
        <f>6408283-1475498</f>
        <v>4932785</v>
      </c>
      <c r="D19" s="304"/>
    </row>
    <row r="20" spans="1:4" ht="21.95" hidden="1" customHeight="1">
      <c r="A20" s="261" t="s">
        <v>307</v>
      </c>
      <c r="B20" s="305" t="s">
        <v>308</v>
      </c>
      <c r="C20" s="312">
        <v>-6596203</v>
      </c>
      <c r="D20" s="304"/>
    </row>
    <row r="21" spans="1:4" ht="21.95" hidden="1" customHeight="1">
      <c r="A21" s="313" t="s">
        <v>281</v>
      </c>
      <c r="B21" s="305" t="s">
        <v>309</v>
      </c>
      <c r="C21" s="310">
        <f>5447390+969167+-21231524</f>
        <v>-14814967</v>
      </c>
      <c r="D21" s="311"/>
    </row>
    <row r="22" spans="1:4" ht="21.95" hidden="1" customHeight="1">
      <c r="A22" s="586" t="s">
        <v>357</v>
      </c>
      <c r="B22" s="587" t="s">
        <v>358</v>
      </c>
      <c r="C22" s="588">
        <v>-10991527</v>
      </c>
      <c r="D22" s="575"/>
    </row>
    <row r="23" spans="1:4" ht="21.95" hidden="1" customHeight="1">
      <c r="A23" s="586" t="s">
        <v>354</v>
      </c>
      <c r="B23" s="587" t="s">
        <v>359</v>
      </c>
      <c r="C23" s="588">
        <v>14736135</v>
      </c>
      <c r="D23" s="575"/>
    </row>
    <row r="24" spans="1:4" ht="21.95" hidden="1" customHeight="1">
      <c r="A24" s="586" t="s">
        <v>354</v>
      </c>
      <c r="B24" s="587" t="s">
        <v>360</v>
      </c>
      <c r="C24" s="588">
        <v>2392617</v>
      </c>
      <c r="D24" s="575"/>
    </row>
    <row r="25" spans="1:4" ht="21.95" hidden="1" customHeight="1">
      <c r="A25" s="586" t="s">
        <v>354</v>
      </c>
      <c r="B25" s="587" t="s">
        <v>361</v>
      </c>
      <c r="C25" s="588">
        <v>-3779966</v>
      </c>
      <c r="D25" s="575"/>
    </row>
    <row r="26" spans="1:4" ht="21.95" hidden="1" customHeight="1">
      <c r="A26" s="586" t="s">
        <v>185</v>
      </c>
      <c r="B26" s="587" t="s">
        <v>362</v>
      </c>
      <c r="C26" s="588">
        <v>13750158</v>
      </c>
      <c r="D26" s="575"/>
    </row>
    <row r="27" spans="1:4" ht="21.95" hidden="1" customHeight="1">
      <c r="A27" s="586" t="s">
        <v>185</v>
      </c>
      <c r="B27" s="587" t="s">
        <v>363</v>
      </c>
      <c r="C27" s="588">
        <v>2392221</v>
      </c>
      <c r="D27" s="575"/>
    </row>
    <row r="28" spans="1:4" ht="21.95" hidden="1" customHeight="1">
      <c r="A28" s="586" t="s">
        <v>185</v>
      </c>
      <c r="B28" s="587" t="s">
        <v>364</v>
      </c>
      <c r="C28" s="588">
        <v>16367947</v>
      </c>
      <c r="D28" s="575"/>
    </row>
    <row r="29" spans="1:4" ht="21.95" hidden="1" customHeight="1">
      <c r="A29" s="572" t="s">
        <v>405</v>
      </c>
      <c r="B29" s="573" t="s">
        <v>409</v>
      </c>
      <c r="C29" s="574">
        <v>14265678</v>
      </c>
      <c r="D29" s="575"/>
    </row>
    <row r="30" spans="1:4" ht="21.95" hidden="1" customHeight="1">
      <c r="A30" s="572" t="s">
        <v>405</v>
      </c>
      <c r="B30" s="573" t="s">
        <v>410</v>
      </c>
      <c r="C30" s="574">
        <v>1931826</v>
      </c>
      <c r="D30" s="575"/>
    </row>
    <row r="31" spans="1:4" ht="21.95" hidden="1" customHeight="1">
      <c r="A31" s="572" t="s">
        <v>405</v>
      </c>
      <c r="B31" s="573" t="s">
        <v>408</v>
      </c>
      <c r="C31" s="574">
        <v>-1465720</v>
      </c>
      <c r="D31" s="575"/>
    </row>
    <row r="32" spans="1:4" ht="21.95" hidden="1" customHeight="1">
      <c r="A32" s="676">
        <v>42735</v>
      </c>
      <c r="B32" s="573" t="s">
        <v>422</v>
      </c>
      <c r="C32" s="574">
        <v>14245887</v>
      </c>
      <c r="D32" s="575"/>
    </row>
    <row r="33" spans="1:4" ht="21.95" hidden="1" customHeight="1">
      <c r="A33" s="676">
        <v>42735</v>
      </c>
      <c r="B33" s="573" t="s">
        <v>423</v>
      </c>
      <c r="C33" s="574">
        <v>1997097</v>
      </c>
      <c r="D33" s="575"/>
    </row>
    <row r="34" spans="1:4" ht="21.95" hidden="1" customHeight="1">
      <c r="A34" s="676">
        <v>42735</v>
      </c>
      <c r="B34" s="573" t="s">
        <v>424</v>
      </c>
      <c r="C34" s="574">
        <v>2636672</v>
      </c>
      <c r="D34" s="575"/>
    </row>
    <row r="35" spans="1:4" ht="21.95" hidden="1" customHeight="1">
      <c r="A35" s="676">
        <v>42825</v>
      </c>
      <c r="B35" s="573" t="s">
        <v>422</v>
      </c>
      <c r="C35" s="574">
        <v>15881829</v>
      </c>
      <c r="D35" s="575"/>
    </row>
    <row r="36" spans="1:4" ht="21.95" hidden="1" customHeight="1">
      <c r="A36" s="676">
        <v>42825</v>
      </c>
      <c r="B36" s="573" t="s">
        <v>423</v>
      </c>
      <c r="C36" s="574">
        <v>2850168</v>
      </c>
      <c r="D36" s="575"/>
    </row>
    <row r="37" spans="1:4" ht="21.95" hidden="1" customHeight="1">
      <c r="A37" s="676">
        <v>42825</v>
      </c>
      <c r="B37" s="573" t="s">
        <v>424</v>
      </c>
      <c r="C37" s="568">
        <v>-2542123</v>
      </c>
      <c r="D37" s="347"/>
    </row>
    <row r="38" spans="1:4" ht="21.95" hidden="1" customHeight="1">
      <c r="A38" s="676">
        <v>42916</v>
      </c>
      <c r="B38" s="305" t="s">
        <v>510</v>
      </c>
      <c r="C38" s="568">
        <v>15879816</v>
      </c>
      <c r="D38" s="347"/>
    </row>
    <row r="39" spans="1:4" ht="21.95" hidden="1" customHeight="1">
      <c r="A39" s="676">
        <v>42916</v>
      </c>
      <c r="B39" s="305" t="s">
        <v>511</v>
      </c>
      <c r="C39" s="568">
        <v>2949687</v>
      </c>
      <c r="D39" s="347"/>
    </row>
    <row r="40" spans="1:4" ht="21.95" hidden="1" customHeight="1">
      <c r="A40" s="676">
        <v>42916</v>
      </c>
      <c r="B40" s="305" t="s">
        <v>512</v>
      </c>
      <c r="C40" s="568">
        <v>-3482040</v>
      </c>
      <c r="D40" s="347"/>
    </row>
    <row r="41" spans="1:4" ht="21.95" hidden="1" customHeight="1">
      <c r="A41" s="676">
        <v>43008</v>
      </c>
      <c r="B41" s="305" t="s">
        <v>514</v>
      </c>
      <c r="C41" s="568">
        <v>15847848</v>
      </c>
      <c r="D41" s="347"/>
    </row>
    <row r="42" spans="1:4" ht="21.95" hidden="1" customHeight="1">
      <c r="A42" s="676">
        <v>43008</v>
      </c>
      <c r="B42" s="305" t="s">
        <v>515</v>
      </c>
      <c r="C42" s="568">
        <v>3042471</v>
      </c>
      <c r="D42" s="347"/>
    </row>
    <row r="43" spans="1:4" ht="21.95" hidden="1" customHeight="1">
      <c r="A43" s="676">
        <v>43008</v>
      </c>
      <c r="B43" s="305" t="s">
        <v>516</v>
      </c>
      <c r="C43" s="568">
        <v>-2833833</v>
      </c>
      <c r="D43" s="347"/>
    </row>
    <row r="44" spans="1:4" ht="21.95" hidden="1" customHeight="1">
      <c r="A44" s="676">
        <v>43100</v>
      </c>
      <c r="B44" s="305" t="s">
        <v>547</v>
      </c>
      <c r="C44" s="568">
        <v>15807744</v>
      </c>
      <c r="D44" s="347"/>
    </row>
    <row r="45" spans="1:4" ht="21.95" hidden="1" customHeight="1">
      <c r="A45" s="676">
        <v>43100</v>
      </c>
      <c r="B45" s="305" t="s">
        <v>548</v>
      </c>
      <c r="C45" s="568">
        <v>3141474</v>
      </c>
      <c r="D45" s="347"/>
    </row>
    <row r="46" spans="1:4" ht="21.95" hidden="1" customHeight="1">
      <c r="A46" s="676">
        <v>43100</v>
      </c>
      <c r="B46" s="305" t="s">
        <v>549</v>
      </c>
      <c r="C46" s="568">
        <v>-4888991</v>
      </c>
      <c r="D46" s="347"/>
    </row>
    <row r="47" spans="1:4" ht="21.95" hidden="1" customHeight="1">
      <c r="A47" s="1032">
        <v>43190</v>
      </c>
      <c r="B47" s="1029" t="s">
        <v>553</v>
      </c>
      <c r="C47" s="1030">
        <v>15773736</v>
      </c>
      <c r="D47" s="1031"/>
    </row>
    <row r="48" spans="1:4" ht="21.95" hidden="1" customHeight="1">
      <c r="A48" s="1032">
        <v>43190</v>
      </c>
      <c r="B48" s="1029" t="s">
        <v>554</v>
      </c>
      <c r="C48" s="1030">
        <v>3745881</v>
      </c>
      <c r="D48" s="1031"/>
    </row>
    <row r="49" spans="1:4" ht="21.95" hidden="1" customHeight="1">
      <c r="A49" s="1032">
        <v>43190</v>
      </c>
      <c r="B49" s="1029" t="s">
        <v>555</v>
      </c>
      <c r="C49" s="1030">
        <v>16895772</v>
      </c>
      <c r="D49" s="1031"/>
    </row>
    <row r="50" spans="1:4" ht="21.95" hidden="1" customHeight="1">
      <c r="A50" s="1032">
        <v>43281</v>
      </c>
      <c r="B50" s="1029" t="s">
        <v>564</v>
      </c>
      <c r="C50" s="1030">
        <v>16907850</v>
      </c>
      <c r="D50" s="1031"/>
    </row>
    <row r="51" spans="1:4" ht="21.95" hidden="1" customHeight="1">
      <c r="A51" s="1032">
        <v>43281</v>
      </c>
      <c r="B51" s="1029" t="s">
        <v>565</v>
      </c>
      <c r="C51" s="1030">
        <v>4005267</v>
      </c>
      <c r="D51" s="1031"/>
    </row>
    <row r="52" spans="1:4" ht="21.95" hidden="1" customHeight="1">
      <c r="A52" s="1032">
        <v>43281</v>
      </c>
      <c r="B52" s="1029" t="s">
        <v>563</v>
      </c>
      <c r="C52" s="1030">
        <v>-4281939</v>
      </c>
      <c r="D52" s="1031"/>
    </row>
    <row r="53" spans="1:4" ht="21.95" hidden="1" customHeight="1">
      <c r="A53" s="1032">
        <v>43373</v>
      </c>
      <c r="B53" s="1029" t="s">
        <v>571</v>
      </c>
      <c r="C53" s="1030">
        <v>16866207</v>
      </c>
      <c r="D53" s="1031"/>
    </row>
    <row r="54" spans="1:4" ht="21.95" hidden="1" customHeight="1">
      <c r="A54" s="1032">
        <v>43373</v>
      </c>
      <c r="B54" s="1029" t="s">
        <v>572</v>
      </c>
      <c r="C54" s="1030">
        <v>4119420</v>
      </c>
      <c r="D54" s="1031"/>
    </row>
    <row r="55" spans="1:4" ht="21.95" hidden="1" customHeight="1">
      <c r="A55" s="1032">
        <v>43373</v>
      </c>
      <c r="B55" s="1029" t="s">
        <v>573</v>
      </c>
      <c r="C55" s="1030">
        <v>-4192858</v>
      </c>
      <c r="D55" s="1031"/>
    </row>
    <row r="56" spans="1:4" ht="21.95" hidden="1" customHeight="1">
      <c r="A56" s="1184">
        <v>43465</v>
      </c>
      <c r="B56" s="1185" t="s">
        <v>644</v>
      </c>
      <c r="C56" s="1186">
        <v>16817448</v>
      </c>
      <c r="D56" s="1187"/>
    </row>
    <row r="57" spans="1:4" ht="21.95" hidden="1" customHeight="1">
      <c r="A57" s="1184">
        <v>43465</v>
      </c>
      <c r="B57" s="1185" t="s">
        <v>645</v>
      </c>
      <c r="C57" s="1186">
        <v>4239612</v>
      </c>
      <c r="D57" s="1187"/>
    </row>
    <row r="58" spans="1:4" ht="21.95" hidden="1" customHeight="1">
      <c r="A58" s="1184">
        <v>43465</v>
      </c>
      <c r="B58" s="1185" t="s">
        <v>646</v>
      </c>
      <c r="C58" s="1186">
        <v>14440576</v>
      </c>
      <c r="D58" s="1187"/>
    </row>
    <row r="59" spans="1:4" ht="21.95" hidden="1" customHeight="1">
      <c r="A59" s="1184">
        <v>43555</v>
      </c>
      <c r="B59" s="1185" t="s">
        <v>655</v>
      </c>
      <c r="C59" s="1186">
        <v>17285364</v>
      </c>
      <c r="D59" s="1187"/>
    </row>
    <row r="60" spans="1:4" ht="21.95" hidden="1" customHeight="1">
      <c r="A60" s="1184">
        <v>43555</v>
      </c>
      <c r="B60" s="1185" t="s">
        <v>656</v>
      </c>
      <c r="C60" s="1186">
        <v>3775833</v>
      </c>
      <c r="D60" s="1187"/>
    </row>
    <row r="61" spans="1:4" ht="21.95" hidden="1" customHeight="1">
      <c r="A61" s="1184">
        <v>43555</v>
      </c>
      <c r="B61" s="1185" t="s">
        <v>653</v>
      </c>
      <c r="C61" s="1186">
        <v>9404833</v>
      </c>
      <c r="D61" s="1187"/>
    </row>
    <row r="62" spans="1:4" ht="21.95" hidden="1" customHeight="1">
      <c r="A62" s="1184">
        <v>43646</v>
      </c>
      <c r="B62" s="1185" t="s">
        <v>660</v>
      </c>
      <c r="C62" s="1186">
        <v>18495189</v>
      </c>
      <c r="D62" s="1187"/>
    </row>
    <row r="63" spans="1:4" ht="21.95" hidden="1" customHeight="1">
      <c r="A63" s="1184">
        <v>43646</v>
      </c>
      <c r="B63" s="1185" t="s">
        <v>661</v>
      </c>
      <c r="C63" s="1186">
        <v>3995763</v>
      </c>
      <c r="D63" s="1187"/>
    </row>
    <row r="64" spans="1:4" ht="21.95" hidden="1" customHeight="1">
      <c r="A64" s="1184">
        <v>43646</v>
      </c>
      <c r="B64" s="1185" t="s">
        <v>662</v>
      </c>
      <c r="C64" s="1186">
        <v>-3756293</v>
      </c>
      <c r="D64" s="1187"/>
    </row>
    <row r="65" spans="1:4" ht="21.95" hidden="1" customHeight="1">
      <c r="A65" s="1184">
        <v>43704</v>
      </c>
      <c r="B65" s="1185" t="s">
        <v>663</v>
      </c>
      <c r="C65" s="1186">
        <v>-170734813</v>
      </c>
      <c r="D65" s="1187"/>
    </row>
    <row r="66" spans="1:4" ht="21.95" hidden="1" customHeight="1">
      <c r="A66" s="1184">
        <v>43738</v>
      </c>
      <c r="B66" s="1185" t="s">
        <v>667</v>
      </c>
      <c r="C66" s="1186">
        <v>18471000</v>
      </c>
      <c r="D66" s="1187"/>
    </row>
    <row r="67" spans="1:4" ht="21.95" hidden="1" customHeight="1">
      <c r="A67" s="1184">
        <v>43738</v>
      </c>
      <c r="B67" s="1185" t="s">
        <v>668</v>
      </c>
      <c r="C67" s="1186">
        <v>4105344</v>
      </c>
      <c r="D67" s="1187"/>
    </row>
    <row r="68" spans="1:4" ht="21.95" hidden="1" customHeight="1">
      <c r="A68" s="1184">
        <v>43738</v>
      </c>
      <c r="B68" s="1185" t="s">
        <v>669</v>
      </c>
      <c r="C68" s="1186">
        <v>8328710</v>
      </c>
      <c r="D68" s="1187"/>
    </row>
    <row r="69" spans="1:4" ht="21.95" hidden="1" customHeight="1">
      <c r="A69" s="1276">
        <v>43830</v>
      </c>
      <c r="B69" s="1275" t="s">
        <v>866</v>
      </c>
      <c r="C69" s="1277">
        <v>18155943</v>
      </c>
      <c r="D69" s="1278"/>
    </row>
    <row r="70" spans="1:4" ht="21.95" hidden="1" customHeight="1">
      <c r="A70" s="1276">
        <v>43830</v>
      </c>
      <c r="B70" s="1275" t="s">
        <v>867</v>
      </c>
      <c r="C70" s="1277">
        <v>3246315</v>
      </c>
      <c r="D70" s="1278"/>
    </row>
    <row r="71" spans="1:4" ht="21.95" hidden="1" customHeight="1">
      <c r="A71" s="1276">
        <v>43830</v>
      </c>
      <c r="B71" s="1275" t="s">
        <v>864</v>
      </c>
      <c r="C71" s="1277">
        <v>7229056</v>
      </c>
      <c r="D71" s="1278"/>
    </row>
    <row r="72" spans="1:4" ht="21.95" hidden="1" customHeight="1">
      <c r="A72" s="1276">
        <v>43921</v>
      </c>
      <c r="B72" s="1275" t="s">
        <v>884</v>
      </c>
      <c r="C72" s="1277">
        <v>19367469</v>
      </c>
      <c r="D72" s="1278"/>
    </row>
    <row r="73" spans="1:4" ht="21.95" hidden="1" customHeight="1">
      <c r="A73" s="1276">
        <v>43921</v>
      </c>
      <c r="B73" s="1275" t="s">
        <v>885</v>
      </c>
      <c r="C73" s="1277">
        <v>3055407</v>
      </c>
      <c r="D73" s="1278"/>
    </row>
    <row r="74" spans="1:4" ht="21.95" hidden="1" customHeight="1">
      <c r="A74" s="1276">
        <v>43921</v>
      </c>
      <c r="B74" s="1275" t="s">
        <v>881</v>
      </c>
      <c r="C74" s="1277">
        <v>8504796</v>
      </c>
      <c r="D74" s="1278"/>
    </row>
    <row r="75" spans="1:4" ht="21.95" hidden="1" customHeight="1">
      <c r="A75" s="1276">
        <v>44012</v>
      </c>
      <c r="B75" s="1275" t="s">
        <v>892</v>
      </c>
      <c r="C75" s="1277">
        <v>20114481</v>
      </c>
      <c r="D75" s="1278"/>
    </row>
    <row r="76" spans="1:4" ht="21.95" hidden="1" customHeight="1">
      <c r="A76" s="1276">
        <v>44012</v>
      </c>
      <c r="B76" s="1275" t="s">
        <v>893</v>
      </c>
      <c r="C76" s="1277">
        <v>3226059</v>
      </c>
      <c r="D76" s="1278"/>
    </row>
    <row r="77" spans="1:4" ht="21.95" hidden="1" customHeight="1">
      <c r="A77" s="1276">
        <v>44012</v>
      </c>
      <c r="B77" s="1275" t="s">
        <v>891</v>
      </c>
      <c r="C77" s="1277">
        <v>3380024</v>
      </c>
      <c r="D77" s="1278"/>
    </row>
    <row r="78" spans="1:4" ht="21.95" hidden="1" customHeight="1">
      <c r="A78" s="1276">
        <v>44104</v>
      </c>
      <c r="B78" s="1275" t="s">
        <v>896</v>
      </c>
      <c r="C78" s="1277">
        <v>20357184</v>
      </c>
      <c r="D78" s="1278"/>
    </row>
    <row r="79" spans="1:4" ht="21.95" hidden="1" customHeight="1">
      <c r="A79" s="1276">
        <v>44104</v>
      </c>
      <c r="B79" s="1029" t="s">
        <v>897</v>
      </c>
      <c r="C79" s="1030">
        <v>3141342</v>
      </c>
      <c r="D79" s="1031"/>
    </row>
    <row r="80" spans="1:4" ht="21.95" hidden="1" customHeight="1">
      <c r="A80" s="1276">
        <v>44104</v>
      </c>
      <c r="B80" s="1331" t="s">
        <v>898</v>
      </c>
      <c r="C80" s="1030">
        <v>-788763</v>
      </c>
      <c r="D80" s="1031"/>
    </row>
    <row r="81" spans="1:4" ht="21.95" hidden="1" customHeight="1">
      <c r="A81" s="1416">
        <v>44196</v>
      </c>
      <c r="B81" s="1417" t="s">
        <v>934</v>
      </c>
      <c r="C81" s="1418">
        <v>20402499</v>
      </c>
      <c r="D81" s="1419"/>
    </row>
    <row r="82" spans="1:4" ht="21.95" hidden="1" customHeight="1">
      <c r="A82" s="1416">
        <v>44196</v>
      </c>
      <c r="B82" s="1417" t="s">
        <v>935</v>
      </c>
      <c r="C82" s="1418">
        <v>3152982</v>
      </c>
      <c r="D82" s="1419"/>
    </row>
    <row r="83" spans="1:4" ht="21.95" hidden="1" customHeight="1">
      <c r="A83" s="1416">
        <v>44196</v>
      </c>
      <c r="B83" s="1417" t="s">
        <v>918</v>
      </c>
      <c r="C83" s="1418">
        <v>-14611280</v>
      </c>
      <c r="D83" s="1419"/>
    </row>
    <row r="84" spans="1:4" ht="21.95" hidden="1" customHeight="1">
      <c r="A84" s="1416">
        <v>44210</v>
      </c>
      <c r="B84" s="1417" t="s">
        <v>936</v>
      </c>
      <c r="C84" s="1418">
        <v>-201751601</v>
      </c>
      <c r="D84" s="1419"/>
    </row>
    <row r="85" spans="1:4" ht="21.95" hidden="1" customHeight="1">
      <c r="A85" s="1416">
        <v>44286</v>
      </c>
      <c r="B85" s="1417" t="s">
        <v>937</v>
      </c>
      <c r="C85" s="1418">
        <v>20004834</v>
      </c>
      <c r="D85" s="1419"/>
    </row>
    <row r="86" spans="1:4" ht="21.95" hidden="1" customHeight="1">
      <c r="A86" s="1416">
        <v>44286</v>
      </c>
      <c r="B86" s="1417" t="s">
        <v>938</v>
      </c>
      <c r="C86" s="1418">
        <v>3516750</v>
      </c>
      <c r="D86" s="1419"/>
    </row>
    <row r="87" spans="1:4" ht="21.95" hidden="1" customHeight="1">
      <c r="A87" s="1416">
        <v>44286</v>
      </c>
      <c r="B87" s="1417" t="s">
        <v>920</v>
      </c>
      <c r="C87" s="1418">
        <v>-8657620</v>
      </c>
      <c r="D87" s="1419"/>
    </row>
    <row r="88" spans="1:4" ht="21.95" hidden="1" customHeight="1">
      <c r="A88" s="1416">
        <v>44377</v>
      </c>
      <c r="B88" s="1417" t="s">
        <v>937</v>
      </c>
      <c r="C88" s="1418">
        <v>19940649</v>
      </c>
      <c r="D88" s="1419"/>
    </row>
    <row r="89" spans="1:4" ht="21.95" hidden="1" customHeight="1">
      <c r="A89" s="1416">
        <v>44377</v>
      </c>
      <c r="B89" s="1417" t="s">
        <v>938</v>
      </c>
      <c r="C89" s="1418">
        <v>2914929</v>
      </c>
      <c r="D89" s="1419"/>
    </row>
    <row r="90" spans="1:4" ht="21.95" hidden="1" customHeight="1">
      <c r="A90" s="1416">
        <v>44377</v>
      </c>
      <c r="B90" s="1417" t="s">
        <v>939</v>
      </c>
      <c r="C90" s="1418">
        <v>10653105</v>
      </c>
      <c r="D90" s="1419"/>
    </row>
    <row r="91" spans="1:4" ht="21.95" hidden="1" customHeight="1">
      <c r="A91" s="1416">
        <v>44452</v>
      </c>
      <c r="B91" s="1417" t="s">
        <v>940</v>
      </c>
      <c r="C91" s="1418">
        <v>-78191163</v>
      </c>
      <c r="D91" s="1419"/>
    </row>
    <row r="92" spans="1:4" ht="21.95" hidden="1" customHeight="1">
      <c r="A92" s="1416">
        <v>44469</v>
      </c>
      <c r="B92" s="1417" t="s">
        <v>941</v>
      </c>
      <c r="C92" s="1418">
        <v>21439929</v>
      </c>
      <c r="D92" s="1419"/>
    </row>
    <row r="93" spans="1:4" ht="21.95" hidden="1" customHeight="1">
      <c r="A93" s="1416">
        <v>44469</v>
      </c>
      <c r="B93" s="1417" t="s">
        <v>942</v>
      </c>
      <c r="C93" s="1418">
        <v>3177453</v>
      </c>
      <c r="D93" s="1419"/>
    </row>
    <row r="94" spans="1:4" ht="21.95" hidden="1" customHeight="1">
      <c r="A94" s="1416">
        <v>44469</v>
      </c>
      <c r="B94" s="1417" t="s">
        <v>924</v>
      </c>
      <c r="C94" s="1418">
        <v>-6702083</v>
      </c>
      <c r="D94" s="1419"/>
    </row>
    <row r="95" spans="1:4" ht="21.95" hidden="1" customHeight="1">
      <c r="A95" s="1416">
        <v>44561</v>
      </c>
      <c r="B95" s="1417" t="s">
        <v>934</v>
      </c>
      <c r="C95" s="1418">
        <v>19319511</v>
      </c>
      <c r="D95" s="1419"/>
    </row>
    <row r="96" spans="1:4" ht="21.95" hidden="1" customHeight="1">
      <c r="A96" s="1416">
        <v>44561</v>
      </c>
      <c r="B96" s="1417" t="s">
        <v>935</v>
      </c>
      <c r="C96" s="1418">
        <v>2954541</v>
      </c>
      <c r="D96" s="1419"/>
    </row>
    <row r="97" spans="1:4" ht="21.95" hidden="1" customHeight="1">
      <c r="A97" s="1416">
        <v>44561</v>
      </c>
      <c r="B97" s="1417" t="s">
        <v>918</v>
      </c>
      <c r="C97" s="1418">
        <v>20126193</v>
      </c>
      <c r="D97" s="1419"/>
    </row>
    <row r="98" spans="1:4" ht="21.95" hidden="1" customHeight="1">
      <c r="A98" s="1480">
        <v>44651</v>
      </c>
      <c r="B98" s="1481" t="s">
        <v>982</v>
      </c>
      <c r="C98" s="1478">
        <v>20485563</v>
      </c>
      <c r="D98" s="1479"/>
    </row>
    <row r="99" spans="1:4" ht="21.95" hidden="1" customHeight="1">
      <c r="A99" s="1480">
        <v>44651</v>
      </c>
      <c r="B99" s="1481" t="s">
        <v>983</v>
      </c>
      <c r="C99" s="1478">
        <v>3357468</v>
      </c>
      <c r="D99" s="1479"/>
    </row>
    <row r="100" spans="1:4" ht="21.95" hidden="1" customHeight="1">
      <c r="A100" s="1480">
        <v>44651</v>
      </c>
      <c r="B100" s="1481" t="s">
        <v>974</v>
      </c>
      <c r="C100" s="1478">
        <v>-7192700</v>
      </c>
      <c r="D100" s="1479"/>
    </row>
    <row r="101" spans="1:4" ht="21.95" hidden="1" customHeight="1">
      <c r="A101" s="1480">
        <v>44715</v>
      </c>
      <c r="B101" s="1481" t="s">
        <v>984</v>
      </c>
      <c r="C101" s="1478">
        <v>-59451111</v>
      </c>
      <c r="D101" s="1479"/>
    </row>
    <row r="102" spans="1:4" ht="21.95" hidden="1" customHeight="1">
      <c r="A102" s="1480">
        <v>44742</v>
      </c>
      <c r="B102" s="1481" t="s">
        <v>985</v>
      </c>
      <c r="C102" s="1478">
        <v>21213447</v>
      </c>
      <c r="D102" s="1479"/>
    </row>
    <row r="103" spans="1:4" ht="21.95" hidden="1" customHeight="1">
      <c r="A103" s="1480">
        <v>44742</v>
      </c>
      <c r="B103" s="1417" t="s">
        <v>986</v>
      </c>
      <c r="C103" s="1418">
        <v>4261749</v>
      </c>
      <c r="D103" s="1419"/>
    </row>
    <row r="104" spans="1:4" ht="21.95" hidden="1" customHeight="1">
      <c r="A104" s="1480">
        <v>44742</v>
      </c>
      <c r="B104" s="1417" t="s">
        <v>978</v>
      </c>
      <c r="C104" s="1418">
        <v>-10908052</v>
      </c>
      <c r="D104" s="1419"/>
    </row>
    <row r="105" spans="1:4" ht="21.95" hidden="1" customHeight="1">
      <c r="A105" s="1686" t="s">
        <v>1041</v>
      </c>
      <c r="B105" s="1687" t="s">
        <v>1042</v>
      </c>
      <c r="C105" s="1688">
        <v>-26134365</v>
      </c>
      <c r="D105" s="1689"/>
    </row>
    <row r="106" spans="1:4" ht="21.95" hidden="1" customHeight="1">
      <c r="A106" s="1721" t="s">
        <v>1051</v>
      </c>
      <c r="B106" s="1722" t="s">
        <v>1052</v>
      </c>
      <c r="C106" s="1723">
        <v>19431837</v>
      </c>
      <c r="D106" s="1724"/>
    </row>
    <row r="107" spans="1:4" ht="21.95" hidden="1" customHeight="1">
      <c r="A107" s="1721" t="s">
        <v>1051</v>
      </c>
      <c r="B107" s="1722" t="s">
        <v>1053</v>
      </c>
      <c r="C107" s="1723">
        <v>4712514</v>
      </c>
      <c r="D107" s="1724"/>
    </row>
    <row r="108" spans="1:4" ht="21.95" hidden="1" customHeight="1">
      <c r="A108" s="1721" t="s">
        <v>1051</v>
      </c>
      <c r="B108" s="1720" t="s">
        <v>1054</v>
      </c>
      <c r="C108" s="1725">
        <v>-44166348</v>
      </c>
      <c r="D108" s="1724"/>
    </row>
    <row r="109" spans="1:4" ht="21.95" hidden="1" customHeight="1">
      <c r="A109" s="1721" t="s">
        <v>1070</v>
      </c>
      <c r="B109" s="1722" t="s">
        <v>1072</v>
      </c>
      <c r="C109" s="1725">
        <v>18571956</v>
      </c>
      <c r="D109" s="1724"/>
    </row>
    <row r="110" spans="1:4" ht="21.95" hidden="1" customHeight="1">
      <c r="A110" s="1721" t="s">
        <v>1070</v>
      </c>
      <c r="B110" s="1722" t="s">
        <v>1073</v>
      </c>
      <c r="C110" s="1725">
        <v>4910814</v>
      </c>
      <c r="D110" s="1724"/>
    </row>
    <row r="111" spans="1:4" ht="21.95" hidden="1" customHeight="1">
      <c r="A111" s="1721" t="s">
        <v>1070</v>
      </c>
      <c r="B111" s="1720" t="s">
        <v>1071</v>
      </c>
      <c r="C111" s="1725">
        <v>-6070802</v>
      </c>
      <c r="D111" s="1724"/>
    </row>
    <row r="112" spans="1:4" ht="21.95" customHeight="1">
      <c r="A112" s="1769" t="s">
        <v>1101</v>
      </c>
      <c r="B112" s="1481" t="s">
        <v>1102</v>
      </c>
      <c r="C112" s="1770">
        <v>18596823</v>
      </c>
      <c r="D112" s="1768"/>
    </row>
    <row r="113" spans="1:4" ht="21.95" customHeight="1">
      <c r="A113" s="1769" t="s">
        <v>1101</v>
      </c>
      <c r="B113" s="1481" t="s">
        <v>1103</v>
      </c>
      <c r="C113" s="1770">
        <v>5292363</v>
      </c>
      <c r="D113" s="1768"/>
    </row>
    <row r="114" spans="1:4" ht="21.95" customHeight="1">
      <c r="A114" s="1769" t="s">
        <v>1101</v>
      </c>
      <c r="B114" s="1481" t="s">
        <v>1100</v>
      </c>
      <c r="C114" s="1784">
        <v>45845062</v>
      </c>
      <c r="D114" s="1785"/>
    </row>
    <row r="115" spans="1:4" ht="21.95" customHeight="1">
      <c r="A115" s="1769" t="s">
        <v>1127</v>
      </c>
      <c r="B115" s="1481" t="s">
        <v>1124</v>
      </c>
      <c r="C115" s="1783">
        <v>20632512</v>
      </c>
      <c r="D115" s="311"/>
    </row>
    <row r="116" spans="1:4" ht="21.95" customHeight="1">
      <c r="A116" s="1769" t="s">
        <v>1127</v>
      </c>
      <c r="B116" s="1481" t="s">
        <v>1125</v>
      </c>
      <c r="C116" s="1770">
        <v>5628435</v>
      </c>
      <c r="D116" s="1768"/>
    </row>
    <row r="117" spans="1:4" ht="21.95" customHeight="1">
      <c r="A117" s="1769" t="s">
        <v>1127</v>
      </c>
      <c r="B117" s="1481" t="s">
        <v>1126</v>
      </c>
      <c r="C117" s="1784">
        <v>-7620906</v>
      </c>
      <c r="D117" s="1785"/>
    </row>
    <row r="118" spans="1:4" ht="21.95" customHeight="1">
      <c r="A118" s="1769" t="s">
        <v>1130</v>
      </c>
      <c r="B118" s="1481" t="s">
        <v>1136</v>
      </c>
      <c r="C118" s="1783">
        <v>20565054</v>
      </c>
      <c r="D118" s="311"/>
    </row>
    <row r="119" spans="1:4" ht="21.95" customHeight="1">
      <c r="A119" s="1769" t="s">
        <v>1135</v>
      </c>
      <c r="B119" s="1481" t="s">
        <v>1133</v>
      </c>
      <c r="C119" s="1770">
        <v>6126315</v>
      </c>
      <c r="D119" s="1768"/>
    </row>
    <row r="120" spans="1:4" ht="21.95" customHeight="1">
      <c r="A120" s="1839" t="s">
        <v>1130</v>
      </c>
      <c r="B120" s="1836" t="s">
        <v>1134</v>
      </c>
      <c r="C120" s="1840">
        <v>-28068346</v>
      </c>
      <c r="D120" s="1838"/>
    </row>
    <row r="121" spans="1:4" ht="21.95" customHeight="1">
      <c r="A121" s="1873" t="s">
        <v>1202</v>
      </c>
      <c r="B121" s="1872" t="s">
        <v>1214</v>
      </c>
      <c r="C121" s="1783">
        <v>19693383</v>
      </c>
      <c r="D121" s="311"/>
    </row>
    <row r="122" spans="1:4" ht="21.95" customHeight="1">
      <c r="A122" s="1873" t="s">
        <v>1202</v>
      </c>
      <c r="B122" s="1872" t="s">
        <v>1215</v>
      </c>
      <c r="C122" s="1841">
        <v>6368694</v>
      </c>
      <c r="D122" s="1835"/>
    </row>
    <row r="123" spans="1:4" ht="21.95" customHeight="1">
      <c r="A123" s="1873" t="s">
        <v>1202</v>
      </c>
      <c r="B123" s="1872" t="s">
        <v>1216</v>
      </c>
      <c r="C123" s="1867">
        <v>55409491</v>
      </c>
      <c r="D123" s="1868"/>
    </row>
    <row r="124" spans="1:4" ht="21.95" customHeight="1">
      <c r="A124" s="1874" t="s">
        <v>1230</v>
      </c>
      <c r="B124" s="1869" t="s">
        <v>1231</v>
      </c>
      <c r="C124" s="1870">
        <v>21707205</v>
      </c>
      <c r="D124" s="1871"/>
    </row>
    <row r="125" spans="1:4" ht="21.95" customHeight="1">
      <c r="A125" s="1874" t="s">
        <v>1230</v>
      </c>
      <c r="B125" s="1869" t="s">
        <v>1232</v>
      </c>
      <c r="C125" s="1870">
        <v>6251496</v>
      </c>
      <c r="D125" s="1871"/>
    </row>
    <row r="126" spans="1:4" ht="21.95" customHeight="1">
      <c r="A126" s="1874" t="s">
        <v>1230</v>
      </c>
      <c r="B126" s="1869" t="s">
        <v>1233</v>
      </c>
      <c r="C126" s="1870">
        <v>9241260</v>
      </c>
      <c r="D126" s="1871"/>
    </row>
    <row r="127" spans="1:4" ht="21.95" customHeight="1">
      <c r="A127" s="1874" t="s">
        <v>1230</v>
      </c>
      <c r="B127" s="1869" t="s">
        <v>1234</v>
      </c>
      <c r="C127" s="1870">
        <v>-146241639</v>
      </c>
      <c r="D127" s="1871"/>
    </row>
    <row r="128" spans="1:4" ht="21.95" customHeight="1">
      <c r="A128" s="1873" t="s">
        <v>1249</v>
      </c>
      <c r="B128" s="1872" t="s">
        <v>1234</v>
      </c>
      <c r="C128" s="1867">
        <v>-146241639</v>
      </c>
      <c r="D128" s="1868"/>
    </row>
    <row r="129" spans="1:4" ht="21.95" customHeight="1">
      <c r="A129" s="1989" t="s">
        <v>1246</v>
      </c>
      <c r="B129" s="1990" t="s">
        <v>1250</v>
      </c>
      <c r="C129" s="1991">
        <v>146241639</v>
      </c>
      <c r="D129" s="1992"/>
    </row>
    <row r="130" spans="1:4" ht="21.95" customHeight="1">
      <c r="A130" s="1874" t="s">
        <v>1297</v>
      </c>
      <c r="B130" s="1869" t="s">
        <v>1298</v>
      </c>
      <c r="C130" s="1870">
        <v>18778602</v>
      </c>
      <c r="D130" s="1871"/>
    </row>
    <row r="131" spans="1:4" ht="21.95" customHeight="1">
      <c r="A131" s="1874" t="s">
        <v>1297</v>
      </c>
      <c r="B131" s="1869" t="s">
        <v>1299</v>
      </c>
      <c r="C131" s="1870">
        <v>5352558</v>
      </c>
      <c r="D131" s="1871"/>
    </row>
    <row r="132" spans="1:4" ht="21.95" customHeight="1">
      <c r="A132" s="1874" t="s">
        <v>1297</v>
      </c>
      <c r="B132" s="1869" t="s">
        <v>1289</v>
      </c>
      <c r="C132" s="1870">
        <v>18428755</v>
      </c>
      <c r="D132" s="1871"/>
    </row>
    <row r="133" spans="1:4" ht="21.95" customHeight="1">
      <c r="A133" s="1989"/>
      <c r="B133" s="1990"/>
      <c r="C133" s="1991"/>
      <c r="D133" s="1992"/>
    </row>
    <row r="134" spans="1:4" ht="21.95" customHeight="1">
      <c r="A134" s="1989"/>
      <c r="B134" s="1990"/>
      <c r="C134" s="1991"/>
      <c r="D134" s="1992"/>
    </row>
    <row r="135" spans="1:4" ht="21.95" customHeight="1">
      <c r="A135" s="1888"/>
      <c r="B135" s="1889"/>
      <c r="C135" s="1890"/>
      <c r="D135" s="1891"/>
    </row>
    <row r="136" spans="1:4" ht="20.100000000000001" customHeight="1">
      <c r="A136" s="2166" t="s">
        <v>98</v>
      </c>
      <c r="B136" s="2167"/>
      <c r="C136" s="73">
        <f>SUM(C5:C135)</f>
        <v>528194836</v>
      </c>
      <c r="D136" s="60"/>
    </row>
    <row r="137" spans="1:4" ht="20.100000000000001" customHeight="1">
      <c r="A137" s="2" t="s">
        <v>894</v>
      </c>
    </row>
  </sheetData>
  <mergeCells count="3">
    <mergeCell ref="A3:B3"/>
    <mergeCell ref="A5:B5"/>
    <mergeCell ref="A136:B136"/>
  </mergeCells>
  <phoneticPr fontId="2" type="noConversion"/>
  <printOptions horizontalCentered="1"/>
  <pageMargins left="0.39370078740157483" right="0.39370078740157483" top="0.45" bottom="0.43" header="0.39370078740157483" footer="0.39370078740157483"/>
  <pageSetup paperSize="9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zoomScaleNormal="100" zoomScaleSheetLayoutView="100" workbookViewId="0">
      <pane ySplit="4" topLeftCell="A5" activePane="bottomLeft" state="frozen"/>
      <selection pane="bottomLeft"/>
    </sheetView>
  </sheetViews>
  <sheetFormatPr defaultColWidth="12.625" defaultRowHeight="20.100000000000001" customHeight="1"/>
  <cols>
    <col min="1" max="4" width="15.875" style="29" customWidth="1"/>
    <col min="5" max="6" width="15.875" style="143" customWidth="1"/>
    <col min="7" max="8" width="15.875" style="29" customWidth="1"/>
    <col min="9" max="254" width="12.625" style="29"/>
    <col min="255" max="255" width="20.625" style="29" customWidth="1"/>
    <col min="256" max="256" width="38.125" style="29" customWidth="1"/>
    <col min="257" max="257" width="17.25" style="29" customWidth="1"/>
    <col min="258" max="258" width="18.75" style="29" customWidth="1"/>
    <col min="259" max="259" width="19.625" style="29" customWidth="1"/>
    <col min="260" max="510" width="12.625" style="29"/>
    <col min="511" max="511" width="20.625" style="29" customWidth="1"/>
    <col min="512" max="512" width="38.125" style="29" customWidth="1"/>
    <col min="513" max="513" width="17.25" style="29" customWidth="1"/>
    <col min="514" max="514" width="18.75" style="29" customWidth="1"/>
    <col min="515" max="515" width="19.625" style="29" customWidth="1"/>
    <col min="516" max="766" width="12.625" style="29"/>
    <col min="767" max="767" width="20.625" style="29" customWidth="1"/>
    <col min="768" max="768" width="38.125" style="29" customWidth="1"/>
    <col min="769" max="769" width="17.25" style="29" customWidth="1"/>
    <col min="770" max="770" width="18.75" style="29" customWidth="1"/>
    <col min="771" max="771" width="19.625" style="29" customWidth="1"/>
    <col min="772" max="1022" width="12.625" style="29"/>
    <col min="1023" max="1023" width="20.625" style="29" customWidth="1"/>
    <col min="1024" max="1024" width="38.125" style="29" customWidth="1"/>
    <col min="1025" max="1025" width="17.25" style="29" customWidth="1"/>
    <col min="1026" max="1026" width="18.75" style="29" customWidth="1"/>
    <col min="1027" max="1027" width="19.625" style="29" customWidth="1"/>
    <col min="1028" max="1278" width="12.625" style="29"/>
    <col min="1279" max="1279" width="20.625" style="29" customWidth="1"/>
    <col min="1280" max="1280" width="38.125" style="29" customWidth="1"/>
    <col min="1281" max="1281" width="17.25" style="29" customWidth="1"/>
    <col min="1282" max="1282" width="18.75" style="29" customWidth="1"/>
    <col min="1283" max="1283" width="19.625" style="29" customWidth="1"/>
    <col min="1284" max="1534" width="12.625" style="29"/>
    <col min="1535" max="1535" width="20.625" style="29" customWidth="1"/>
    <col min="1536" max="1536" width="38.125" style="29" customWidth="1"/>
    <col min="1537" max="1537" width="17.25" style="29" customWidth="1"/>
    <col min="1538" max="1538" width="18.75" style="29" customWidth="1"/>
    <col min="1539" max="1539" width="19.625" style="29" customWidth="1"/>
    <col min="1540" max="1790" width="12.625" style="29"/>
    <col min="1791" max="1791" width="20.625" style="29" customWidth="1"/>
    <col min="1792" max="1792" width="38.125" style="29" customWidth="1"/>
    <col min="1793" max="1793" width="17.25" style="29" customWidth="1"/>
    <col min="1794" max="1794" width="18.75" style="29" customWidth="1"/>
    <col min="1795" max="1795" width="19.625" style="29" customWidth="1"/>
    <col min="1796" max="2046" width="12.625" style="29"/>
    <col min="2047" max="2047" width="20.625" style="29" customWidth="1"/>
    <col min="2048" max="2048" width="38.125" style="29" customWidth="1"/>
    <col min="2049" max="2049" width="17.25" style="29" customWidth="1"/>
    <col min="2050" max="2050" width="18.75" style="29" customWidth="1"/>
    <col min="2051" max="2051" width="19.625" style="29" customWidth="1"/>
    <col min="2052" max="2302" width="12.625" style="29"/>
    <col min="2303" max="2303" width="20.625" style="29" customWidth="1"/>
    <col min="2304" max="2304" width="38.125" style="29" customWidth="1"/>
    <col min="2305" max="2305" width="17.25" style="29" customWidth="1"/>
    <col min="2306" max="2306" width="18.75" style="29" customWidth="1"/>
    <col min="2307" max="2307" width="19.625" style="29" customWidth="1"/>
    <col min="2308" max="2558" width="12.625" style="29"/>
    <col min="2559" max="2559" width="20.625" style="29" customWidth="1"/>
    <col min="2560" max="2560" width="38.125" style="29" customWidth="1"/>
    <col min="2561" max="2561" width="17.25" style="29" customWidth="1"/>
    <col min="2562" max="2562" width="18.75" style="29" customWidth="1"/>
    <col min="2563" max="2563" width="19.625" style="29" customWidth="1"/>
    <col min="2564" max="2814" width="12.625" style="29"/>
    <col min="2815" max="2815" width="20.625" style="29" customWidth="1"/>
    <col min="2816" max="2816" width="38.125" style="29" customWidth="1"/>
    <col min="2817" max="2817" width="17.25" style="29" customWidth="1"/>
    <col min="2818" max="2818" width="18.75" style="29" customWidth="1"/>
    <col min="2819" max="2819" width="19.625" style="29" customWidth="1"/>
    <col min="2820" max="3070" width="12.625" style="29"/>
    <col min="3071" max="3071" width="20.625" style="29" customWidth="1"/>
    <col min="3072" max="3072" width="38.125" style="29" customWidth="1"/>
    <col min="3073" max="3073" width="17.25" style="29" customWidth="1"/>
    <col min="3074" max="3074" width="18.75" style="29" customWidth="1"/>
    <col min="3075" max="3075" width="19.625" style="29" customWidth="1"/>
    <col min="3076" max="3326" width="12.625" style="29"/>
    <col min="3327" max="3327" width="20.625" style="29" customWidth="1"/>
    <col min="3328" max="3328" width="38.125" style="29" customWidth="1"/>
    <col min="3329" max="3329" width="17.25" style="29" customWidth="1"/>
    <col min="3330" max="3330" width="18.75" style="29" customWidth="1"/>
    <col min="3331" max="3331" width="19.625" style="29" customWidth="1"/>
    <col min="3332" max="3582" width="12.625" style="29"/>
    <col min="3583" max="3583" width="20.625" style="29" customWidth="1"/>
    <col min="3584" max="3584" width="38.125" style="29" customWidth="1"/>
    <col min="3585" max="3585" width="17.25" style="29" customWidth="1"/>
    <col min="3586" max="3586" width="18.75" style="29" customWidth="1"/>
    <col min="3587" max="3587" width="19.625" style="29" customWidth="1"/>
    <col min="3588" max="3838" width="12.625" style="29"/>
    <col min="3839" max="3839" width="20.625" style="29" customWidth="1"/>
    <col min="3840" max="3840" width="38.125" style="29" customWidth="1"/>
    <col min="3841" max="3841" width="17.25" style="29" customWidth="1"/>
    <col min="3842" max="3842" width="18.75" style="29" customWidth="1"/>
    <col min="3843" max="3843" width="19.625" style="29" customWidth="1"/>
    <col min="3844" max="4094" width="12.625" style="29"/>
    <col min="4095" max="4095" width="20.625" style="29" customWidth="1"/>
    <col min="4096" max="4096" width="38.125" style="29" customWidth="1"/>
    <col min="4097" max="4097" width="17.25" style="29" customWidth="1"/>
    <col min="4098" max="4098" width="18.75" style="29" customWidth="1"/>
    <col min="4099" max="4099" width="19.625" style="29" customWidth="1"/>
    <col min="4100" max="4350" width="12.625" style="29"/>
    <col min="4351" max="4351" width="20.625" style="29" customWidth="1"/>
    <col min="4352" max="4352" width="38.125" style="29" customWidth="1"/>
    <col min="4353" max="4353" width="17.25" style="29" customWidth="1"/>
    <col min="4354" max="4354" width="18.75" style="29" customWidth="1"/>
    <col min="4355" max="4355" width="19.625" style="29" customWidth="1"/>
    <col min="4356" max="4606" width="12.625" style="29"/>
    <col min="4607" max="4607" width="20.625" style="29" customWidth="1"/>
    <col min="4608" max="4608" width="38.125" style="29" customWidth="1"/>
    <col min="4609" max="4609" width="17.25" style="29" customWidth="1"/>
    <col min="4610" max="4610" width="18.75" style="29" customWidth="1"/>
    <col min="4611" max="4611" width="19.625" style="29" customWidth="1"/>
    <col min="4612" max="4862" width="12.625" style="29"/>
    <col min="4863" max="4863" width="20.625" style="29" customWidth="1"/>
    <col min="4864" max="4864" width="38.125" style="29" customWidth="1"/>
    <col min="4865" max="4865" width="17.25" style="29" customWidth="1"/>
    <col min="4866" max="4866" width="18.75" style="29" customWidth="1"/>
    <col min="4867" max="4867" width="19.625" style="29" customWidth="1"/>
    <col min="4868" max="5118" width="12.625" style="29"/>
    <col min="5119" max="5119" width="20.625" style="29" customWidth="1"/>
    <col min="5120" max="5120" width="38.125" style="29" customWidth="1"/>
    <col min="5121" max="5121" width="17.25" style="29" customWidth="1"/>
    <col min="5122" max="5122" width="18.75" style="29" customWidth="1"/>
    <col min="5123" max="5123" width="19.625" style="29" customWidth="1"/>
    <col min="5124" max="5374" width="12.625" style="29"/>
    <col min="5375" max="5375" width="20.625" style="29" customWidth="1"/>
    <col min="5376" max="5376" width="38.125" style="29" customWidth="1"/>
    <col min="5377" max="5377" width="17.25" style="29" customWidth="1"/>
    <col min="5378" max="5378" width="18.75" style="29" customWidth="1"/>
    <col min="5379" max="5379" width="19.625" style="29" customWidth="1"/>
    <col min="5380" max="5630" width="12.625" style="29"/>
    <col min="5631" max="5631" width="20.625" style="29" customWidth="1"/>
    <col min="5632" max="5632" width="38.125" style="29" customWidth="1"/>
    <col min="5633" max="5633" width="17.25" style="29" customWidth="1"/>
    <col min="5634" max="5634" width="18.75" style="29" customWidth="1"/>
    <col min="5635" max="5635" width="19.625" style="29" customWidth="1"/>
    <col min="5636" max="5886" width="12.625" style="29"/>
    <col min="5887" max="5887" width="20.625" style="29" customWidth="1"/>
    <col min="5888" max="5888" width="38.125" style="29" customWidth="1"/>
    <col min="5889" max="5889" width="17.25" style="29" customWidth="1"/>
    <col min="5890" max="5890" width="18.75" style="29" customWidth="1"/>
    <col min="5891" max="5891" width="19.625" style="29" customWidth="1"/>
    <col min="5892" max="6142" width="12.625" style="29"/>
    <col min="6143" max="6143" width="20.625" style="29" customWidth="1"/>
    <col min="6144" max="6144" width="38.125" style="29" customWidth="1"/>
    <col min="6145" max="6145" width="17.25" style="29" customWidth="1"/>
    <col min="6146" max="6146" width="18.75" style="29" customWidth="1"/>
    <col min="6147" max="6147" width="19.625" style="29" customWidth="1"/>
    <col min="6148" max="6398" width="12.625" style="29"/>
    <col min="6399" max="6399" width="20.625" style="29" customWidth="1"/>
    <col min="6400" max="6400" width="38.125" style="29" customWidth="1"/>
    <col min="6401" max="6401" width="17.25" style="29" customWidth="1"/>
    <col min="6402" max="6402" width="18.75" style="29" customWidth="1"/>
    <col min="6403" max="6403" width="19.625" style="29" customWidth="1"/>
    <col min="6404" max="6654" width="12.625" style="29"/>
    <col min="6655" max="6655" width="20.625" style="29" customWidth="1"/>
    <col min="6656" max="6656" width="38.125" style="29" customWidth="1"/>
    <col min="6657" max="6657" width="17.25" style="29" customWidth="1"/>
    <col min="6658" max="6658" width="18.75" style="29" customWidth="1"/>
    <col min="6659" max="6659" width="19.625" style="29" customWidth="1"/>
    <col min="6660" max="6910" width="12.625" style="29"/>
    <col min="6911" max="6911" width="20.625" style="29" customWidth="1"/>
    <col min="6912" max="6912" width="38.125" style="29" customWidth="1"/>
    <col min="6913" max="6913" width="17.25" style="29" customWidth="1"/>
    <col min="6914" max="6914" width="18.75" style="29" customWidth="1"/>
    <col min="6915" max="6915" width="19.625" style="29" customWidth="1"/>
    <col min="6916" max="7166" width="12.625" style="29"/>
    <col min="7167" max="7167" width="20.625" style="29" customWidth="1"/>
    <col min="7168" max="7168" width="38.125" style="29" customWidth="1"/>
    <col min="7169" max="7169" width="17.25" style="29" customWidth="1"/>
    <col min="7170" max="7170" width="18.75" style="29" customWidth="1"/>
    <col min="7171" max="7171" width="19.625" style="29" customWidth="1"/>
    <col min="7172" max="7422" width="12.625" style="29"/>
    <col min="7423" max="7423" width="20.625" style="29" customWidth="1"/>
    <col min="7424" max="7424" width="38.125" style="29" customWidth="1"/>
    <col min="7425" max="7425" width="17.25" style="29" customWidth="1"/>
    <col min="7426" max="7426" width="18.75" style="29" customWidth="1"/>
    <col min="7427" max="7427" width="19.625" style="29" customWidth="1"/>
    <col min="7428" max="7678" width="12.625" style="29"/>
    <col min="7679" max="7679" width="20.625" style="29" customWidth="1"/>
    <col min="7680" max="7680" width="38.125" style="29" customWidth="1"/>
    <col min="7681" max="7681" width="17.25" style="29" customWidth="1"/>
    <col min="7682" max="7682" width="18.75" style="29" customWidth="1"/>
    <col min="7683" max="7683" width="19.625" style="29" customWidth="1"/>
    <col min="7684" max="7934" width="12.625" style="29"/>
    <col min="7935" max="7935" width="20.625" style="29" customWidth="1"/>
    <col min="7936" max="7936" width="38.125" style="29" customWidth="1"/>
    <col min="7937" max="7937" width="17.25" style="29" customWidth="1"/>
    <col min="7938" max="7938" width="18.75" style="29" customWidth="1"/>
    <col min="7939" max="7939" width="19.625" style="29" customWidth="1"/>
    <col min="7940" max="8190" width="12.625" style="29"/>
    <col min="8191" max="8191" width="20.625" style="29" customWidth="1"/>
    <col min="8192" max="8192" width="38.125" style="29" customWidth="1"/>
    <col min="8193" max="8193" width="17.25" style="29" customWidth="1"/>
    <col min="8194" max="8194" width="18.75" style="29" customWidth="1"/>
    <col min="8195" max="8195" width="19.625" style="29" customWidth="1"/>
    <col min="8196" max="8446" width="12.625" style="29"/>
    <col min="8447" max="8447" width="20.625" style="29" customWidth="1"/>
    <col min="8448" max="8448" width="38.125" style="29" customWidth="1"/>
    <col min="8449" max="8449" width="17.25" style="29" customWidth="1"/>
    <col min="8450" max="8450" width="18.75" style="29" customWidth="1"/>
    <col min="8451" max="8451" width="19.625" style="29" customWidth="1"/>
    <col min="8452" max="8702" width="12.625" style="29"/>
    <col min="8703" max="8703" width="20.625" style="29" customWidth="1"/>
    <col min="8704" max="8704" width="38.125" style="29" customWidth="1"/>
    <col min="8705" max="8705" width="17.25" style="29" customWidth="1"/>
    <col min="8706" max="8706" width="18.75" style="29" customWidth="1"/>
    <col min="8707" max="8707" width="19.625" style="29" customWidth="1"/>
    <col min="8708" max="8958" width="12.625" style="29"/>
    <col min="8959" max="8959" width="20.625" style="29" customWidth="1"/>
    <col min="8960" max="8960" width="38.125" style="29" customWidth="1"/>
    <col min="8961" max="8961" width="17.25" style="29" customWidth="1"/>
    <col min="8962" max="8962" width="18.75" style="29" customWidth="1"/>
    <col min="8963" max="8963" width="19.625" style="29" customWidth="1"/>
    <col min="8964" max="9214" width="12.625" style="29"/>
    <col min="9215" max="9215" width="20.625" style="29" customWidth="1"/>
    <col min="9216" max="9216" width="38.125" style="29" customWidth="1"/>
    <col min="9217" max="9217" width="17.25" style="29" customWidth="1"/>
    <col min="9218" max="9218" width="18.75" style="29" customWidth="1"/>
    <col min="9219" max="9219" width="19.625" style="29" customWidth="1"/>
    <col min="9220" max="9470" width="12.625" style="29"/>
    <col min="9471" max="9471" width="20.625" style="29" customWidth="1"/>
    <col min="9472" max="9472" width="38.125" style="29" customWidth="1"/>
    <col min="9473" max="9473" width="17.25" style="29" customWidth="1"/>
    <col min="9474" max="9474" width="18.75" style="29" customWidth="1"/>
    <col min="9475" max="9475" width="19.625" style="29" customWidth="1"/>
    <col min="9476" max="9726" width="12.625" style="29"/>
    <col min="9727" max="9727" width="20.625" style="29" customWidth="1"/>
    <col min="9728" max="9728" width="38.125" style="29" customWidth="1"/>
    <col min="9729" max="9729" width="17.25" style="29" customWidth="1"/>
    <col min="9730" max="9730" width="18.75" style="29" customWidth="1"/>
    <col min="9731" max="9731" width="19.625" style="29" customWidth="1"/>
    <col min="9732" max="9982" width="12.625" style="29"/>
    <col min="9983" max="9983" width="20.625" style="29" customWidth="1"/>
    <col min="9984" max="9984" width="38.125" style="29" customWidth="1"/>
    <col min="9985" max="9985" width="17.25" style="29" customWidth="1"/>
    <col min="9986" max="9986" width="18.75" style="29" customWidth="1"/>
    <col min="9987" max="9987" width="19.625" style="29" customWidth="1"/>
    <col min="9988" max="10238" width="12.625" style="29"/>
    <col min="10239" max="10239" width="20.625" style="29" customWidth="1"/>
    <col min="10240" max="10240" width="38.125" style="29" customWidth="1"/>
    <col min="10241" max="10241" width="17.25" style="29" customWidth="1"/>
    <col min="10242" max="10242" width="18.75" style="29" customWidth="1"/>
    <col min="10243" max="10243" width="19.625" style="29" customWidth="1"/>
    <col min="10244" max="10494" width="12.625" style="29"/>
    <col min="10495" max="10495" width="20.625" style="29" customWidth="1"/>
    <col min="10496" max="10496" width="38.125" style="29" customWidth="1"/>
    <col min="10497" max="10497" width="17.25" style="29" customWidth="1"/>
    <col min="10498" max="10498" width="18.75" style="29" customWidth="1"/>
    <col min="10499" max="10499" width="19.625" style="29" customWidth="1"/>
    <col min="10500" max="10750" width="12.625" style="29"/>
    <col min="10751" max="10751" width="20.625" style="29" customWidth="1"/>
    <col min="10752" max="10752" width="38.125" style="29" customWidth="1"/>
    <col min="10753" max="10753" width="17.25" style="29" customWidth="1"/>
    <col min="10754" max="10754" width="18.75" style="29" customWidth="1"/>
    <col min="10755" max="10755" width="19.625" style="29" customWidth="1"/>
    <col min="10756" max="11006" width="12.625" style="29"/>
    <col min="11007" max="11007" width="20.625" style="29" customWidth="1"/>
    <col min="11008" max="11008" width="38.125" style="29" customWidth="1"/>
    <col min="11009" max="11009" width="17.25" style="29" customWidth="1"/>
    <col min="11010" max="11010" width="18.75" style="29" customWidth="1"/>
    <col min="11011" max="11011" width="19.625" style="29" customWidth="1"/>
    <col min="11012" max="11262" width="12.625" style="29"/>
    <col min="11263" max="11263" width="20.625" style="29" customWidth="1"/>
    <col min="11264" max="11264" width="38.125" style="29" customWidth="1"/>
    <col min="11265" max="11265" width="17.25" style="29" customWidth="1"/>
    <col min="11266" max="11266" width="18.75" style="29" customWidth="1"/>
    <col min="11267" max="11267" width="19.625" style="29" customWidth="1"/>
    <col min="11268" max="11518" width="12.625" style="29"/>
    <col min="11519" max="11519" width="20.625" style="29" customWidth="1"/>
    <col min="11520" max="11520" width="38.125" style="29" customWidth="1"/>
    <col min="11521" max="11521" width="17.25" style="29" customWidth="1"/>
    <col min="11522" max="11522" width="18.75" style="29" customWidth="1"/>
    <col min="11523" max="11523" width="19.625" style="29" customWidth="1"/>
    <col min="11524" max="11774" width="12.625" style="29"/>
    <col min="11775" max="11775" width="20.625" style="29" customWidth="1"/>
    <col min="11776" max="11776" width="38.125" style="29" customWidth="1"/>
    <col min="11777" max="11777" width="17.25" style="29" customWidth="1"/>
    <col min="11778" max="11778" width="18.75" style="29" customWidth="1"/>
    <col min="11779" max="11779" width="19.625" style="29" customWidth="1"/>
    <col min="11780" max="12030" width="12.625" style="29"/>
    <col min="12031" max="12031" width="20.625" style="29" customWidth="1"/>
    <col min="12032" max="12032" width="38.125" style="29" customWidth="1"/>
    <col min="12033" max="12033" width="17.25" style="29" customWidth="1"/>
    <col min="12034" max="12034" width="18.75" style="29" customWidth="1"/>
    <col min="12035" max="12035" width="19.625" style="29" customWidth="1"/>
    <col min="12036" max="12286" width="12.625" style="29"/>
    <col min="12287" max="12287" width="20.625" style="29" customWidth="1"/>
    <col min="12288" max="12288" width="38.125" style="29" customWidth="1"/>
    <col min="12289" max="12289" width="17.25" style="29" customWidth="1"/>
    <col min="12290" max="12290" width="18.75" style="29" customWidth="1"/>
    <col min="12291" max="12291" width="19.625" style="29" customWidth="1"/>
    <col min="12292" max="12542" width="12.625" style="29"/>
    <col min="12543" max="12543" width="20.625" style="29" customWidth="1"/>
    <col min="12544" max="12544" width="38.125" style="29" customWidth="1"/>
    <col min="12545" max="12545" width="17.25" style="29" customWidth="1"/>
    <col min="12546" max="12546" width="18.75" style="29" customWidth="1"/>
    <col min="12547" max="12547" width="19.625" style="29" customWidth="1"/>
    <col min="12548" max="12798" width="12.625" style="29"/>
    <col min="12799" max="12799" width="20.625" style="29" customWidth="1"/>
    <col min="12800" max="12800" width="38.125" style="29" customWidth="1"/>
    <col min="12801" max="12801" width="17.25" style="29" customWidth="1"/>
    <col min="12802" max="12802" width="18.75" style="29" customWidth="1"/>
    <col min="12803" max="12803" width="19.625" style="29" customWidth="1"/>
    <col min="12804" max="13054" width="12.625" style="29"/>
    <col min="13055" max="13055" width="20.625" style="29" customWidth="1"/>
    <col min="13056" max="13056" width="38.125" style="29" customWidth="1"/>
    <col min="13057" max="13057" width="17.25" style="29" customWidth="1"/>
    <col min="13058" max="13058" width="18.75" style="29" customWidth="1"/>
    <col min="13059" max="13059" width="19.625" style="29" customWidth="1"/>
    <col min="13060" max="13310" width="12.625" style="29"/>
    <col min="13311" max="13311" width="20.625" style="29" customWidth="1"/>
    <col min="13312" max="13312" width="38.125" style="29" customWidth="1"/>
    <col min="13313" max="13313" width="17.25" style="29" customWidth="1"/>
    <col min="13314" max="13314" width="18.75" style="29" customWidth="1"/>
    <col min="13315" max="13315" width="19.625" style="29" customWidth="1"/>
    <col min="13316" max="13566" width="12.625" style="29"/>
    <col min="13567" max="13567" width="20.625" style="29" customWidth="1"/>
    <col min="13568" max="13568" width="38.125" style="29" customWidth="1"/>
    <col min="13569" max="13569" width="17.25" style="29" customWidth="1"/>
    <col min="13570" max="13570" width="18.75" style="29" customWidth="1"/>
    <col min="13571" max="13571" width="19.625" style="29" customWidth="1"/>
    <col min="13572" max="13822" width="12.625" style="29"/>
    <col min="13823" max="13823" width="20.625" style="29" customWidth="1"/>
    <col min="13824" max="13824" width="38.125" style="29" customWidth="1"/>
    <col min="13825" max="13825" width="17.25" style="29" customWidth="1"/>
    <col min="13826" max="13826" width="18.75" style="29" customWidth="1"/>
    <col min="13827" max="13827" width="19.625" style="29" customWidth="1"/>
    <col min="13828" max="14078" width="12.625" style="29"/>
    <col min="14079" max="14079" width="20.625" style="29" customWidth="1"/>
    <col min="14080" max="14080" width="38.125" style="29" customWidth="1"/>
    <col min="14081" max="14081" width="17.25" style="29" customWidth="1"/>
    <col min="14082" max="14082" width="18.75" style="29" customWidth="1"/>
    <col min="14083" max="14083" width="19.625" style="29" customWidth="1"/>
    <col min="14084" max="14334" width="12.625" style="29"/>
    <col min="14335" max="14335" width="20.625" style="29" customWidth="1"/>
    <col min="14336" max="14336" width="38.125" style="29" customWidth="1"/>
    <col min="14337" max="14337" width="17.25" style="29" customWidth="1"/>
    <col min="14338" max="14338" width="18.75" style="29" customWidth="1"/>
    <col min="14339" max="14339" width="19.625" style="29" customWidth="1"/>
    <col min="14340" max="14590" width="12.625" style="29"/>
    <col min="14591" max="14591" width="20.625" style="29" customWidth="1"/>
    <col min="14592" max="14592" width="38.125" style="29" customWidth="1"/>
    <col min="14593" max="14593" width="17.25" style="29" customWidth="1"/>
    <col min="14594" max="14594" width="18.75" style="29" customWidth="1"/>
    <col min="14595" max="14595" width="19.625" style="29" customWidth="1"/>
    <col min="14596" max="14846" width="12.625" style="29"/>
    <col min="14847" max="14847" width="20.625" style="29" customWidth="1"/>
    <col min="14848" max="14848" width="38.125" style="29" customWidth="1"/>
    <col min="14849" max="14849" width="17.25" style="29" customWidth="1"/>
    <col min="14850" max="14850" width="18.75" style="29" customWidth="1"/>
    <col min="14851" max="14851" width="19.625" style="29" customWidth="1"/>
    <col min="14852" max="15102" width="12.625" style="29"/>
    <col min="15103" max="15103" width="20.625" style="29" customWidth="1"/>
    <col min="15104" max="15104" width="38.125" style="29" customWidth="1"/>
    <col min="15105" max="15105" width="17.25" style="29" customWidth="1"/>
    <col min="15106" max="15106" width="18.75" style="29" customWidth="1"/>
    <col min="15107" max="15107" width="19.625" style="29" customWidth="1"/>
    <col min="15108" max="15358" width="12.625" style="29"/>
    <col min="15359" max="15359" width="20.625" style="29" customWidth="1"/>
    <col min="15360" max="15360" width="38.125" style="29" customWidth="1"/>
    <col min="15361" max="15361" width="17.25" style="29" customWidth="1"/>
    <col min="15362" max="15362" width="18.75" style="29" customWidth="1"/>
    <col min="15363" max="15363" width="19.625" style="29" customWidth="1"/>
    <col min="15364" max="15614" width="12.625" style="29"/>
    <col min="15615" max="15615" width="20.625" style="29" customWidth="1"/>
    <col min="15616" max="15616" width="38.125" style="29" customWidth="1"/>
    <col min="15617" max="15617" width="17.25" style="29" customWidth="1"/>
    <col min="15618" max="15618" width="18.75" style="29" customWidth="1"/>
    <col min="15619" max="15619" width="19.625" style="29" customWidth="1"/>
    <col min="15620" max="15870" width="12.625" style="29"/>
    <col min="15871" max="15871" width="20.625" style="29" customWidth="1"/>
    <col min="15872" max="15872" width="38.125" style="29" customWidth="1"/>
    <col min="15873" max="15873" width="17.25" style="29" customWidth="1"/>
    <col min="15874" max="15874" width="18.75" style="29" customWidth="1"/>
    <col min="15875" max="15875" width="19.625" style="29" customWidth="1"/>
    <col min="15876" max="16126" width="12.625" style="29"/>
    <col min="16127" max="16127" width="20.625" style="29" customWidth="1"/>
    <col min="16128" max="16128" width="38.125" style="29" customWidth="1"/>
    <col min="16129" max="16129" width="17.25" style="29" customWidth="1"/>
    <col min="16130" max="16130" width="18.75" style="29" customWidth="1"/>
    <col min="16131" max="16131" width="19.625" style="29" customWidth="1"/>
    <col min="16132" max="16384" width="12.625" style="29"/>
  </cols>
  <sheetData>
    <row r="1" spans="1:8" ht="20.100000000000001" customHeight="1">
      <c r="A1" s="27" t="s">
        <v>107</v>
      </c>
      <c r="B1" s="27"/>
      <c r="C1" s="27"/>
      <c r="D1" s="27"/>
      <c r="E1" s="27"/>
      <c r="F1" s="27"/>
      <c r="G1" s="143"/>
    </row>
    <row r="2" spans="1:8" ht="17.25" customHeight="1">
      <c r="E2" s="29"/>
      <c r="F2" s="29"/>
      <c r="G2" s="7"/>
    </row>
    <row r="3" spans="1:8" ht="20.100000000000001" customHeight="1">
      <c r="A3" s="166">
        <f>확정급여부채!A3</f>
        <v>45504</v>
      </c>
      <c r="B3" s="161"/>
      <c r="C3" s="260"/>
      <c r="D3" s="260"/>
      <c r="E3" s="161"/>
      <c r="F3" s="260"/>
      <c r="G3" s="161"/>
      <c r="H3" s="31" t="s">
        <v>0</v>
      </c>
    </row>
    <row r="4" spans="1:8" ht="34.5" customHeight="1">
      <c r="A4" s="1628" t="s">
        <v>118</v>
      </c>
      <c r="B4" s="1629" t="s">
        <v>147</v>
      </c>
      <c r="C4" s="1629" t="s">
        <v>1120</v>
      </c>
      <c r="D4" s="1629" t="s">
        <v>148</v>
      </c>
      <c r="E4" s="1628" t="s">
        <v>116</v>
      </c>
      <c r="F4" s="1628" t="s">
        <v>188</v>
      </c>
      <c r="G4" s="1630" t="s">
        <v>368</v>
      </c>
      <c r="H4" s="1631" t="s">
        <v>4</v>
      </c>
    </row>
    <row r="5" spans="1:8" ht="21.95" customHeight="1">
      <c r="A5" s="1842" t="s">
        <v>108</v>
      </c>
      <c r="B5" s="1843">
        <v>150965362</v>
      </c>
      <c r="C5" s="1843">
        <v>0</v>
      </c>
      <c r="D5" s="1843">
        <v>0</v>
      </c>
      <c r="E5" s="1843">
        <v>1150277</v>
      </c>
      <c r="F5" s="1843">
        <v>0</v>
      </c>
      <c r="G5" s="1837">
        <f>B5+C5-D5+E5-F5</f>
        <v>152115639</v>
      </c>
      <c r="H5" s="1844"/>
    </row>
    <row r="6" spans="1:8" ht="21.95" customHeight="1">
      <c r="A6" s="1842" t="s">
        <v>109</v>
      </c>
      <c r="B6" s="1843">
        <v>6603196</v>
      </c>
      <c r="C6" s="1843">
        <v>0</v>
      </c>
      <c r="D6" s="1843">
        <v>0</v>
      </c>
      <c r="E6" s="1843">
        <v>67097</v>
      </c>
      <c r="F6" s="1843">
        <v>0</v>
      </c>
      <c r="G6" s="1837">
        <f t="shared" ref="G6:G16" si="0">B6+C6-D6+E6-F6</f>
        <v>6670293</v>
      </c>
      <c r="H6" s="1837"/>
    </row>
    <row r="7" spans="1:8" ht="21.95" customHeight="1">
      <c r="A7" s="1842" t="s">
        <v>117</v>
      </c>
      <c r="B7" s="1843">
        <v>6572806</v>
      </c>
      <c r="C7" s="1843">
        <v>0</v>
      </c>
      <c r="D7" s="1843">
        <v>0</v>
      </c>
      <c r="E7" s="1843">
        <v>64409</v>
      </c>
      <c r="F7" s="1843">
        <v>0</v>
      </c>
      <c r="G7" s="1837">
        <f t="shared" si="0"/>
        <v>6637215</v>
      </c>
      <c r="H7" s="1838"/>
    </row>
    <row r="8" spans="1:8" ht="21.95" customHeight="1">
      <c r="A8" s="1842" t="s">
        <v>111</v>
      </c>
      <c r="B8" s="1843">
        <v>104808864</v>
      </c>
      <c r="C8" s="1843">
        <v>0</v>
      </c>
      <c r="D8" s="1843">
        <v>0</v>
      </c>
      <c r="E8" s="1843">
        <v>952627</v>
      </c>
      <c r="F8" s="1843">
        <v>0</v>
      </c>
      <c r="G8" s="1837">
        <f t="shared" si="0"/>
        <v>105761491</v>
      </c>
      <c r="H8" s="1838"/>
    </row>
    <row r="9" spans="1:8" ht="21.95" customHeight="1">
      <c r="A9" s="1842" t="s">
        <v>113</v>
      </c>
      <c r="B9" s="1843">
        <v>6171527</v>
      </c>
      <c r="C9" s="1843">
        <v>0</v>
      </c>
      <c r="D9" s="1843">
        <v>0</v>
      </c>
      <c r="E9" s="1843">
        <v>62859</v>
      </c>
      <c r="F9" s="1843">
        <v>0</v>
      </c>
      <c r="G9" s="1837">
        <f t="shared" si="0"/>
        <v>6234386</v>
      </c>
      <c r="H9" s="1845"/>
    </row>
    <row r="10" spans="1:8" ht="26.25" customHeight="1">
      <c r="A10" s="1846" t="s">
        <v>115</v>
      </c>
      <c r="B10" s="1847">
        <v>29777433</v>
      </c>
      <c r="C10" s="1847">
        <v>0</v>
      </c>
      <c r="D10" s="1847">
        <v>0</v>
      </c>
      <c r="E10" s="1843">
        <v>265413</v>
      </c>
      <c r="F10" s="1843">
        <v>0</v>
      </c>
      <c r="G10" s="1837">
        <f t="shared" si="0"/>
        <v>30042846</v>
      </c>
      <c r="H10" s="1845"/>
    </row>
    <row r="11" spans="1:8" ht="21.95" customHeight="1">
      <c r="A11" s="1848" t="s">
        <v>149</v>
      </c>
      <c r="B11" s="1849">
        <v>24813369</v>
      </c>
      <c r="C11" s="1849">
        <v>0</v>
      </c>
      <c r="D11" s="1849">
        <v>0</v>
      </c>
      <c r="E11" s="1843">
        <v>280705</v>
      </c>
      <c r="F11" s="1843">
        <v>0</v>
      </c>
      <c r="G11" s="1837">
        <f t="shared" si="0"/>
        <v>25094074</v>
      </c>
      <c r="H11" s="1845"/>
    </row>
    <row r="12" spans="1:8" ht="21.95" customHeight="1">
      <c r="A12" s="1848" t="s">
        <v>150</v>
      </c>
      <c r="B12" s="1849">
        <v>959810</v>
      </c>
      <c r="C12" s="1849">
        <v>0</v>
      </c>
      <c r="D12" s="1849">
        <v>0</v>
      </c>
      <c r="E12" s="1848">
        <v>8209</v>
      </c>
      <c r="F12" s="1848">
        <v>0</v>
      </c>
      <c r="G12" s="1837">
        <f t="shared" si="0"/>
        <v>968019</v>
      </c>
      <c r="H12" s="1835"/>
    </row>
    <row r="13" spans="1:8" ht="21.95" customHeight="1">
      <c r="A13" s="1848" t="s">
        <v>151</v>
      </c>
      <c r="B13" s="1849">
        <v>171496739</v>
      </c>
      <c r="C13" s="1849">
        <v>0</v>
      </c>
      <c r="D13" s="1849">
        <v>0</v>
      </c>
      <c r="E13" s="1848">
        <v>1755341</v>
      </c>
      <c r="F13" s="1848">
        <v>0</v>
      </c>
      <c r="G13" s="1837">
        <f t="shared" si="0"/>
        <v>173252080</v>
      </c>
      <c r="H13" s="1850"/>
    </row>
    <row r="14" spans="1:8" ht="21.95" customHeight="1">
      <c r="A14" s="1848" t="s">
        <v>187</v>
      </c>
      <c r="B14" s="1849">
        <v>14009891</v>
      </c>
      <c r="C14" s="1849">
        <v>0</v>
      </c>
      <c r="D14" s="1849">
        <v>0</v>
      </c>
      <c r="E14" s="1848">
        <v>289033</v>
      </c>
      <c r="F14" s="1848">
        <v>516127</v>
      </c>
      <c r="G14" s="1837">
        <f t="shared" si="0"/>
        <v>13782797</v>
      </c>
      <c r="H14" s="1851"/>
    </row>
    <row r="15" spans="1:8" ht="21.95" customHeight="1">
      <c r="A15" s="1848"/>
      <c r="B15" s="1852"/>
      <c r="C15" s="1852"/>
      <c r="D15" s="1852"/>
      <c r="E15" s="1848"/>
      <c r="F15" s="1848"/>
      <c r="G15" s="1853"/>
      <c r="H15" s="1854"/>
    </row>
    <row r="16" spans="1:8" ht="21.95" customHeight="1">
      <c r="A16" s="1849"/>
      <c r="B16" s="1849">
        <v>0</v>
      </c>
      <c r="C16" s="1849"/>
      <c r="D16" s="1849"/>
      <c r="E16" s="1848"/>
      <c r="F16" s="1848"/>
      <c r="G16" s="1853">
        <f t="shared" si="0"/>
        <v>0</v>
      </c>
      <c r="H16" s="1850"/>
    </row>
    <row r="17" spans="1:8" ht="21.95" customHeight="1">
      <c r="A17" s="160"/>
      <c r="B17" s="160">
        <v>0</v>
      </c>
      <c r="C17" s="262"/>
      <c r="D17" s="262"/>
      <c r="E17" s="40"/>
      <c r="F17" s="318"/>
      <c r="G17" s="69">
        <f t="shared" ref="G17" si="1">B17+C17-D17+E17-F17</f>
        <v>0</v>
      </c>
      <c r="H17" s="41"/>
    </row>
    <row r="18" spans="1:8" ht="20.100000000000001" customHeight="1">
      <c r="A18" s="167" t="s">
        <v>40</v>
      </c>
      <c r="B18" s="167">
        <f t="shared" ref="B18:G18" si="2">SUM(B5:B17)</f>
        <v>516178997</v>
      </c>
      <c r="C18" s="339">
        <f t="shared" si="2"/>
        <v>0</v>
      </c>
      <c r="D18" s="339">
        <f t="shared" si="2"/>
        <v>0</v>
      </c>
      <c r="E18" s="340">
        <f t="shared" si="2"/>
        <v>4895970</v>
      </c>
      <c r="F18" s="339">
        <f t="shared" si="2"/>
        <v>516127</v>
      </c>
      <c r="G18" s="168">
        <f t="shared" si="2"/>
        <v>520558840</v>
      </c>
      <c r="H18" s="169"/>
    </row>
    <row r="19" spans="1:8" ht="20.100000000000001" customHeight="1">
      <c r="A19" s="2" t="str">
        <f>확정급여부채!A137</f>
        <v>김천에너지서비스㈜</v>
      </c>
      <c r="B19" s="2"/>
      <c r="C19" s="2"/>
      <c r="D19" s="2"/>
    </row>
  </sheetData>
  <phoneticPr fontId="2" type="noConversion"/>
  <printOptions horizontalCentered="1"/>
  <pageMargins left="0.39370078740157483" right="0.39370078740157483" top="0.45" bottom="0.43" header="0.39370078740157483" footer="0.39370078740157483"/>
  <pageSetup paperSize="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P100"/>
  <sheetViews>
    <sheetView showGridLines="0" zoomScale="85" zoomScaleNormal="85" zoomScaleSheetLayoutView="85" workbookViewId="0">
      <pane xSplit="2" ySplit="4" topLeftCell="DB5" activePane="bottomRight" state="frozen"/>
      <selection pane="topRight" activeCell="C1" sqref="C1"/>
      <selection pane="bottomLeft" activeCell="A5" sqref="A5"/>
      <selection pane="bottomRight" activeCell="DD1" sqref="DD1:DP1048576"/>
    </sheetView>
  </sheetViews>
  <sheetFormatPr defaultColWidth="12.625" defaultRowHeight="20.100000000000001" customHeight="1" outlineLevelCol="1"/>
  <cols>
    <col min="1" max="1" width="7.125" style="495" customWidth="1"/>
    <col min="2" max="2" width="9.75" style="495" customWidth="1"/>
    <col min="3" max="3" width="13.125" style="29" customWidth="1" outlineLevel="1"/>
    <col min="4" max="44" width="13.125" style="143" customWidth="1" outlineLevel="1"/>
    <col min="45" max="54" width="12.625" style="29" customWidth="1" outlineLevel="1"/>
    <col min="55" max="57" width="13.125" style="143" customWidth="1" outlineLevel="1"/>
    <col min="58" max="67" width="12.625" style="29" customWidth="1" outlineLevel="1"/>
    <col min="68" max="81" width="13.125" style="143" customWidth="1" outlineLevel="1"/>
    <col min="82" max="94" width="13.125" style="143" customWidth="1"/>
    <col min="95" max="95" width="13.125" style="143" customWidth="1" collapsed="1"/>
    <col min="96" max="107" width="13.125" style="143" customWidth="1"/>
    <col min="108" max="108" width="13.125" style="143" customWidth="1" collapsed="1"/>
    <col min="109" max="120" width="13.125" style="143" customWidth="1"/>
    <col min="121" max="258" width="12.625" style="29"/>
    <col min="259" max="259" width="7.125" style="29" customWidth="1"/>
    <col min="260" max="260" width="9.75" style="29" customWidth="1"/>
    <col min="261" max="261" width="13.125" style="29" customWidth="1"/>
    <col min="262" max="273" width="12.625" style="29" customWidth="1"/>
    <col min="274" max="287" width="13.125" style="29" customWidth="1"/>
    <col min="288" max="514" width="12.625" style="29"/>
    <col min="515" max="515" width="7.125" style="29" customWidth="1"/>
    <col min="516" max="516" width="9.75" style="29" customWidth="1"/>
    <col min="517" max="517" width="13.125" style="29" customWidth="1"/>
    <col min="518" max="529" width="12.625" style="29" customWidth="1"/>
    <col min="530" max="543" width="13.125" style="29" customWidth="1"/>
    <col min="544" max="770" width="12.625" style="29"/>
    <col min="771" max="771" width="7.125" style="29" customWidth="1"/>
    <col min="772" max="772" width="9.75" style="29" customWidth="1"/>
    <col min="773" max="773" width="13.125" style="29" customWidth="1"/>
    <col min="774" max="785" width="12.625" style="29" customWidth="1"/>
    <col min="786" max="799" width="13.125" style="29" customWidth="1"/>
    <col min="800" max="1026" width="12.625" style="29"/>
    <col min="1027" max="1027" width="7.125" style="29" customWidth="1"/>
    <col min="1028" max="1028" width="9.75" style="29" customWidth="1"/>
    <col min="1029" max="1029" width="13.125" style="29" customWidth="1"/>
    <col min="1030" max="1041" width="12.625" style="29" customWidth="1"/>
    <col min="1042" max="1055" width="13.125" style="29" customWidth="1"/>
    <col min="1056" max="1282" width="12.625" style="29"/>
    <col min="1283" max="1283" width="7.125" style="29" customWidth="1"/>
    <col min="1284" max="1284" width="9.75" style="29" customWidth="1"/>
    <col min="1285" max="1285" width="13.125" style="29" customWidth="1"/>
    <col min="1286" max="1297" width="12.625" style="29" customWidth="1"/>
    <col min="1298" max="1311" width="13.125" style="29" customWidth="1"/>
    <col min="1312" max="1538" width="12.625" style="29"/>
    <col min="1539" max="1539" width="7.125" style="29" customWidth="1"/>
    <col min="1540" max="1540" width="9.75" style="29" customWidth="1"/>
    <col min="1541" max="1541" width="13.125" style="29" customWidth="1"/>
    <col min="1542" max="1553" width="12.625" style="29" customWidth="1"/>
    <col min="1554" max="1567" width="13.125" style="29" customWidth="1"/>
    <col min="1568" max="1794" width="12.625" style="29"/>
    <col min="1795" max="1795" width="7.125" style="29" customWidth="1"/>
    <col min="1796" max="1796" width="9.75" style="29" customWidth="1"/>
    <col min="1797" max="1797" width="13.125" style="29" customWidth="1"/>
    <col min="1798" max="1809" width="12.625" style="29" customWidth="1"/>
    <col min="1810" max="1823" width="13.125" style="29" customWidth="1"/>
    <col min="1824" max="2050" width="12.625" style="29"/>
    <col min="2051" max="2051" width="7.125" style="29" customWidth="1"/>
    <col min="2052" max="2052" width="9.75" style="29" customWidth="1"/>
    <col min="2053" max="2053" width="13.125" style="29" customWidth="1"/>
    <col min="2054" max="2065" width="12.625" style="29" customWidth="1"/>
    <col min="2066" max="2079" width="13.125" style="29" customWidth="1"/>
    <col min="2080" max="2306" width="12.625" style="29"/>
    <col min="2307" max="2307" width="7.125" style="29" customWidth="1"/>
    <col min="2308" max="2308" width="9.75" style="29" customWidth="1"/>
    <col min="2309" max="2309" width="13.125" style="29" customWidth="1"/>
    <col min="2310" max="2321" width="12.625" style="29" customWidth="1"/>
    <col min="2322" max="2335" width="13.125" style="29" customWidth="1"/>
    <col min="2336" max="2562" width="12.625" style="29"/>
    <col min="2563" max="2563" width="7.125" style="29" customWidth="1"/>
    <col min="2564" max="2564" width="9.75" style="29" customWidth="1"/>
    <col min="2565" max="2565" width="13.125" style="29" customWidth="1"/>
    <col min="2566" max="2577" width="12.625" style="29" customWidth="1"/>
    <col min="2578" max="2591" width="13.125" style="29" customWidth="1"/>
    <col min="2592" max="2818" width="12.625" style="29"/>
    <col min="2819" max="2819" width="7.125" style="29" customWidth="1"/>
    <col min="2820" max="2820" width="9.75" style="29" customWidth="1"/>
    <col min="2821" max="2821" width="13.125" style="29" customWidth="1"/>
    <col min="2822" max="2833" width="12.625" style="29" customWidth="1"/>
    <col min="2834" max="2847" width="13.125" style="29" customWidth="1"/>
    <col min="2848" max="3074" width="12.625" style="29"/>
    <col min="3075" max="3075" width="7.125" style="29" customWidth="1"/>
    <col min="3076" max="3076" width="9.75" style="29" customWidth="1"/>
    <col min="3077" max="3077" width="13.125" style="29" customWidth="1"/>
    <col min="3078" max="3089" width="12.625" style="29" customWidth="1"/>
    <col min="3090" max="3103" width="13.125" style="29" customWidth="1"/>
    <col min="3104" max="3330" width="12.625" style="29"/>
    <col min="3331" max="3331" width="7.125" style="29" customWidth="1"/>
    <col min="3332" max="3332" width="9.75" style="29" customWidth="1"/>
    <col min="3333" max="3333" width="13.125" style="29" customWidth="1"/>
    <col min="3334" max="3345" width="12.625" style="29" customWidth="1"/>
    <col min="3346" max="3359" width="13.125" style="29" customWidth="1"/>
    <col min="3360" max="3586" width="12.625" style="29"/>
    <col min="3587" max="3587" width="7.125" style="29" customWidth="1"/>
    <col min="3588" max="3588" width="9.75" style="29" customWidth="1"/>
    <col min="3589" max="3589" width="13.125" style="29" customWidth="1"/>
    <col min="3590" max="3601" width="12.625" style="29" customWidth="1"/>
    <col min="3602" max="3615" width="13.125" style="29" customWidth="1"/>
    <col min="3616" max="3842" width="12.625" style="29"/>
    <col min="3843" max="3843" width="7.125" style="29" customWidth="1"/>
    <col min="3844" max="3844" width="9.75" style="29" customWidth="1"/>
    <col min="3845" max="3845" width="13.125" style="29" customWidth="1"/>
    <col min="3846" max="3857" width="12.625" style="29" customWidth="1"/>
    <col min="3858" max="3871" width="13.125" style="29" customWidth="1"/>
    <col min="3872" max="4098" width="12.625" style="29"/>
    <col min="4099" max="4099" width="7.125" style="29" customWidth="1"/>
    <col min="4100" max="4100" width="9.75" style="29" customWidth="1"/>
    <col min="4101" max="4101" width="13.125" style="29" customWidth="1"/>
    <col min="4102" max="4113" width="12.625" style="29" customWidth="1"/>
    <col min="4114" max="4127" width="13.125" style="29" customWidth="1"/>
    <col min="4128" max="4354" width="12.625" style="29"/>
    <col min="4355" max="4355" width="7.125" style="29" customWidth="1"/>
    <col min="4356" max="4356" width="9.75" style="29" customWidth="1"/>
    <col min="4357" max="4357" width="13.125" style="29" customWidth="1"/>
    <col min="4358" max="4369" width="12.625" style="29" customWidth="1"/>
    <col min="4370" max="4383" width="13.125" style="29" customWidth="1"/>
    <col min="4384" max="4610" width="12.625" style="29"/>
    <col min="4611" max="4611" width="7.125" style="29" customWidth="1"/>
    <col min="4612" max="4612" width="9.75" style="29" customWidth="1"/>
    <col min="4613" max="4613" width="13.125" style="29" customWidth="1"/>
    <col min="4614" max="4625" width="12.625" style="29" customWidth="1"/>
    <col min="4626" max="4639" width="13.125" style="29" customWidth="1"/>
    <col min="4640" max="4866" width="12.625" style="29"/>
    <col min="4867" max="4867" width="7.125" style="29" customWidth="1"/>
    <col min="4868" max="4868" width="9.75" style="29" customWidth="1"/>
    <col min="4869" max="4869" width="13.125" style="29" customWidth="1"/>
    <col min="4870" max="4881" width="12.625" style="29" customWidth="1"/>
    <col min="4882" max="4895" width="13.125" style="29" customWidth="1"/>
    <col min="4896" max="5122" width="12.625" style="29"/>
    <col min="5123" max="5123" width="7.125" style="29" customWidth="1"/>
    <col min="5124" max="5124" width="9.75" style="29" customWidth="1"/>
    <col min="5125" max="5125" width="13.125" style="29" customWidth="1"/>
    <col min="5126" max="5137" width="12.625" style="29" customWidth="1"/>
    <col min="5138" max="5151" width="13.125" style="29" customWidth="1"/>
    <col min="5152" max="5378" width="12.625" style="29"/>
    <col min="5379" max="5379" width="7.125" style="29" customWidth="1"/>
    <col min="5380" max="5380" width="9.75" style="29" customWidth="1"/>
    <col min="5381" max="5381" width="13.125" style="29" customWidth="1"/>
    <col min="5382" max="5393" width="12.625" style="29" customWidth="1"/>
    <col min="5394" max="5407" width="13.125" style="29" customWidth="1"/>
    <col min="5408" max="5634" width="12.625" style="29"/>
    <col min="5635" max="5635" width="7.125" style="29" customWidth="1"/>
    <col min="5636" max="5636" width="9.75" style="29" customWidth="1"/>
    <col min="5637" max="5637" width="13.125" style="29" customWidth="1"/>
    <col min="5638" max="5649" width="12.625" style="29" customWidth="1"/>
    <col min="5650" max="5663" width="13.125" style="29" customWidth="1"/>
    <col min="5664" max="5890" width="12.625" style="29"/>
    <col min="5891" max="5891" width="7.125" style="29" customWidth="1"/>
    <col min="5892" max="5892" width="9.75" style="29" customWidth="1"/>
    <col min="5893" max="5893" width="13.125" style="29" customWidth="1"/>
    <col min="5894" max="5905" width="12.625" style="29" customWidth="1"/>
    <col min="5906" max="5919" width="13.125" style="29" customWidth="1"/>
    <col min="5920" max="6146" width="12.625" style="29"/>
    <col min="6147" max="6147" width="7.125" style="29" customWidth="1"/>
    <col min="6148" max="6148" width="9.75" style="29" customWidth="1"/>
    <col min="6149" max="6149" width="13.125" style="29" customWidth="1"/>
    <col min="6150" max="6161" width="12.625" style="29" customWidth="1"/>
    <col min="6162" max="6175" width="13.125" style="29" customWidth="1"/>
    <col min="6176" max="6402" width="12.625" style="29"/>
    <col min="6403" max="6403" width="7.125" style="29" customWidth="1"/>
    <col min="6404" max="6404" width="9.75" style="29" customWidth="1"/>
    <col min="6405" max="6405" width="13.125" style="29" customWidth="1"/>
    <col min="6406" max="6417" width="12.625" style="29" customWidth="1"/>
    <col min="6418" max="6431" width="13.125" style="29" customWidth="1"/>
    <col min="6432" max="6658" width="12.625" style="29"/>
    <col min="6659" max="6659" width="7.125" style="29" customWidth="1"/>
    <col min="6660" max="6660" width="9.75" style="29" customWidth="1"/>
    <col min="6661" max="6661" width="13.125" style="29" customWidth="1"/>
    <col min="6662" max="6673" width="12.625" style="29" customWidth="1"/>
    <col min="6674" max="6687" width="13.125" style="29" customWidth="1"/>
    <col min="6688" max="6914" width="12.625" style="29"/>
    <col min="6915" max="6915" width="7.125" style="29" customWidth="1"/>
    <col min="6916" max="6916" width="9.75" style="29" customWidth="1"/>
    <col min="6917" max="6917" width="13.125" style="29" customWidth="1"/>
    <col min="6918" max="6929" width="12.625" style="29" customWidth="1"/>
    <col min="6930" max="6943" width="13.125" style="29" customWidth="1"/>
    <col min="6944" max="7170" width="12.625" style="29"/>
    <col min="7171" max="7171" width="7.125" style="29" customWidth="1"/>
    <col min="7172" max="7172" width="9.75" style="29" customWidth="1"/>
    <col min="7173" max="7173" width="13.125" style="29" customWidth="1"/>
    <col min="7174" max="7185" width="12.625" style="29" customWidth="1"/>
    <col min="7186" max="7199" width="13.125" style="29" customWidth="1"/>
    <col min="7200" max="7426" width="12.625" style="29"/>
    <col min="7427" max="7427" width="7.125" style="29" customWidth="1"/>
    <col min="7428" max="7428" width="9.75" style="29" customWidth="1"/>
    <col min="7429" max="7429" width="13.125" style="29" customWidth="1"/>
    <col min="7430" max="7441" width="12.625" style="29" customWidth="1"/>
    <col min="7442" max="7455" width="13.125" style="29" customWidth="1"/>
    <col min="7456" max="7682" width="12.625" style="29"/>
    <col min="7683" max="7683" width="7.125" style="29" customWidth="1"/>
    <col min="7684" max="7684" width="9.75" style="29" customWidth="1"/>
    <col min="7685" max="7685" width="13.125" style="29" customWidth="1"/>
    <col min="7686" max="7697" width="12.625" style="29" customWidth="1"/>
    <col min="7698" max="7711" width="13.125" style="29" customWidth="1"/>
    <col min="7712" max="7938" width="12.625" style="29"/>
    <col min="7939" max="7939" width="7.125" style="29" customWidth="1"/>
    <col min="7940" max="7940" width="9.75" style="29" customWidth="1"/>
    <col min="7941" max="7941" width="13.125" style="29" customWidth="1"/>
    <col min="7942" max="7953" width="12.625" style="29" customWidth="1"/>
    <col min="7954" max="7967" width="13.125" style="29" customWidth="1"/>
    <col min="7968" max="8194" width="12.625" style="29"/>
    <col min="8195" max="8195" width="7.125" style="29" customWidth="1"/>
    <col min="8196" max="8196" width="9.75" style="29" customWidth="1"/>
    <col min="8197" max="8197" width="13.125" style="29" customWidth="1"/>
    <col min="8198" max="8209" width="12.625" style="29" customWidth="1"/>
    <col min="8210" max="8223" width="13.125" style="29" customWidth="1"/>
    <col min="8224" max="8450" width="12.625" style="29"/>
    <col min="8451" max="8451" width="7.125" style="29" customWidth="1"/>
    <col min="8452" max="8452" width="9.75" style="29" customWidth="1"/>
    <col min="8453" max="8453" width="13.125" style="29" customWidth="1"/>
    <col min="8454" max="8465" width="12.625" style="29" customWidth="1"/>
    <col min="8466" max="8479" width="13.125" style="29" customWidth="1"/>
    <col min="8480" max="8706" width="12.625" style="29"/>
    <col min="8707" max="8707" width="7.125" style="29" customWidth="1"/>
    <col min="8708" max="8708" width="9.75" style="29" customWidth="1"/>
    <col min="8709" max="8709" width="13.125" style="29" customWidth="1"/>
    <col min="8710" max="8721" width="12.625" style="29" customWidth="1"/>
    <col min="8722" max="8735" width="13.125" style="29" customWidth="1"/>
    <col min="8736" max="8962" width="12.625" style="29"/>
    <col min="8963" max="8963" width="7.125" style="29" customWidth="1"/>
    <col min="8964" max="8964" width="9.75" style="29" customWidth="1"/>
    <col min="8965" max="8965" width="13.125" style="29" customWidth="1"/>
    <col min="8966" max="8977" width="12.625" style="29" customWidth="1"/>
    <col min="8978" max="8991" width="13.125" style="29" customWidth="1"/>
    <col min="8992" max="9218" width="12.625" style="29"/>
    <col min="9219" max="9219" width="7.125" style="29" customWidth="1"/>
    <col min="9220" max="9220" width="9.75" style="29" customWidth="1"/>
    <col min="9221" max="9221" width="13.125" style="29" customWidth="1"/>
    <col min="9222" max="9233" width="12.625" style="29" customWidth="1"/>
    <col min="9234" max="9247" width="13.125" style="29" customWidth="1"/>
    <col min="9248" max="9474" width="12.625" style="29"/>
    <col min="9475" max="9475" width="7.125" style="29" customWidth="1"/>
    <col min="9476" max="9476" width="9.75" style="29" customWidth="1"/>
    <col min="9477" max="9477" width="13.125" style="29" customWidth="1"/>
    <col min="9478" max="9489" width="12.625" style="29" customWidth="1"/>
    <col min="9490" max="9503" width="13.125" style="29" customWidth="1"/>
    <col min="9504" max="9730" width="12.625" style="29"/>
    <col min="9731" max="9731" width="7.125" style="29" customWidth="1"/>
    <col min="9732" max="9732" width="9.75" style="29" customWidth="1"/>
    <col min="9733" max="9733" width="13.125" style="29" customWidth="1"/>
    <col min="9734" max="9745" width="12.625" style="29" customWidth="1"/>
    <col min="9746" max="9759" width="13.125" style="29" customWidth="1"/>
    <col min="9760" max="9986" width="12.625" style="29"/>
    <col min="9987" max="9987" width="7.125" style="29" customWidth="1"/>
    <col min="9988" max="9988" width="9.75" style="29" customWidth="1"/>
    <col min="9989" max="9989" width="13.125" style="29" customWidth="1"/>
    <col min="9990" max="10001" width="12.625" style="29" customWidth="1"/>
    <col min="10002" max="10015" width="13.125" style="29" customWidth="1"/>
    <col min="10016" max="10242" width="12.625" style="29"/>
    <col min="10243" max="10243" width="7.125" style="29" customWidth="1"/>
    <col min="10244" max="10244" width="9.75" style="29" customWidth="1"/>
    <col min="10245" max="10245" width="13.125" style="29" customWidth="1"/>
    <col min="10246" max="10257" width="12.625" style="29" customWidth="1"/>
    <col min="10258" max="10271" width="13.125" style="29" customWidth="1"/>
    <col min="10272" max="10498" width="12.625" style="29"/>
    <col min="10499" max="10499" width="7.125" style="29" customWidth="1"/>
    <col min="10500" max="10500" width="9.75" style="29" customWidth="1"/>
    <col min="10501" max="10501" width="13.125" style="29" customWidth="1"/>
    <col min="10502" max="10513" width="12.625" style="29" customWidth="1"/>
    <col min="10514" max="10527" width="13.125" style="29" customWidth="1"/>
    <col min="10528" max="10754" width="12.625" style="29"/>
    <col min="10755" max="10755" width="7.125" style="29" customWidth="1"/>
    <col min="10756" max="10756" width="9.75" style="29" customWidth="1"/>
    <col min="10757" max="10757" width="13.125" style="29" customWidth="1"/>
    <col min="10758" max="10769" width="12.625" style="29" customWidth="1"/>
    <col min="10770" max="10783" width="13.125" style="29" customWidth="1"/>
    <col min="10784" max="11010" width="12.625" style="29"/>
    <col min="11011" max="11011" width="7.125" style="29" customWidth="1"/>
    <col min="11012" max="11012" width="9.75" style="29" customWidth="1"/>
    <col min="11013" max="11013" width="13.125" style="29" customWidth="1"/>
    <col min="11014" max="11025" width="12.625" style="29" customWidth="1"/>
    <col min="11026" max="11039" width="13.125" style="29" customWidth="1"/>
    <col min="11040" max="11266" width="12.625" style="29"/>
    <col min="11267" max="11267" width="7.125" style="29" customWidth="1"/>
    <col min="11268" max="11268" width="9.75" style="29" customWidth="1"/>
    <col min="11269" max="11269" width="13.125" style="29" customWidth="1"/>
    <col min="11270" max="11281" width="12.625" style="29" customWidth="1"/>
    <col min="11282" max="11295" width="13.125" style="29" customWidth="1"/>
    <col min="11296" max="11522" width="12.625" style="29"/>
    <col min="11523" max="11523" width="7.125" style="29" customWidth="1"/>
    <col min="11524" max="11524" width="9.75" style="29" customWidth="1"/>
    <col min="11525" max="11525" width="13.125" style="29" customWidth="1"/>
    <col min="11526" max="11537" width="12.625" style="29" customWidth="1"/>
    <col min="11538" max="11551" width="13.125" style="29" customWidth="1"/>
    <col min="11552" max="11778" width="12.625" style="29"/>
    <col min="11779" max="11779" width="7.125" style="29" customWidth="1"/>
    <col min="11780" max="11780" width="9.75" style="29" customWidth="1"/>
    <col min="11781" max="11781" width="13.125" style="29" customWidth="1"/>
    <col min="11782" max="11793" width="12.625" style="29" customWidth="1"/>
    <col min="11794" max="11807" width="13.125" style="29" customWidth="1"/>
    <col min="11808" max="12034" width="12.625" style="29"/>
    <col min="12035" max="12035" width="7.125" style="29" customWidth="1"/>
    <col min="12036" max="12036" width="9.75" style="29" customWidth="1"/>
    <col min="12037" max="12037" width="13.125" style="29" customWidth="1"/>
    <col min="12038" max="12049" width="12.625" style="29" customWidth="1"/>
    <col min="12050" max="12063" width="13.125" style="29" customWidth="1"/>
    <col min="12064" max="12290" width="12.625" style="29"/>
    <col min="12291" max="12291" width="7.125" style="29" customWidth="1"/>
    <col min="12292" max="12292" width="9.75" style="29" customWidth="1"/>
    <col min="12293" max="12293" width="13.125" style="29" customWidth="1"/>
    <col min="12294" max="12305" width="12.625" style="29" customWidth="1"/>
    <col min="12306" max="12319" width="13.125" style="29" customWidth="1"/>
    <col min="12320" max="12546" width="12.625" style="29"/>
    <col min="12547" max="12547" width="7.125" style="29" customWidth="1"/>
    <col min="12548" max="12548" width="9.75" style="29" customWidth="1"/>
    <col min="12549" max="12549" width="13.125" style="29" customWidth="1"/>
    <col min="12550" max="12561" width="12.625" style="29" customWidth="1"/>
    <col min="12562" max="12575" width="13.125" style="29" customWidth="1"/>
    <col min="12576" max="12802" width="12.625" style="29"/>
    <col min="12803" max="12803" width="7.125" style="29" customWidth="1"/>
    <col min="12804" max="12804" width="9.75" style="29" customWidth="1"/>
    <col min="12805" max="12805" width="13.125" style="29" customWidth="1"/>
    <col min="12806" max="12817" width="12.625" style="29" customWidth="1"/>
    <col min="12818" max="12831" width="13.125" style="29" customWidth="1"/>
    <col min="12832" max="13058" width="12.625" style="29"/>
    <col min="13059" max="13059" width="7.125" style="29" customWidth="1"/>
    <col min="13060" max="13060" width="9.75" style="29" customWidth="1"/>
    <col min="13061" max="13061" width="13.125" style="29" customWidth="1"/>
    <col min="13062" max="13073" width="12.625" style="29" customWidth="1"/>
    <col min="13074" max="13087" width="13.125" style="29" customWidth="1"/>
    <col min="13088" max="13314" width="12.625" style="29"/>
    <col min="13315" max="13315" width="7.125" style="29" customWidth="1"/>
    <col min="13316" max="13316" width="9.75" style="29" customWidth="1"/>
    <col min="13317" max="13317" width="13.125" style="29" customWidth="1"/>
    <col min="13318" max="13329" width="12.625" style="29" customWidth="1"/>
    <col min="13330" max="13343" width="13.125" style="29" customWidth="1"/>
    <col min="13344" max="13570" width="12.625" style="29"/>
    <col min="13571" max="13571" width="7.125" style="29" customWidth="1"/>
    <col min="13572" max="13572" width="9.75" style="29" customWidth="1"/>
    <col min="13573" max="13573" width="13.125" style="29" customWidth="1"/>
    <col min="13574" max="13585" width="12.625" style="29" customWidth="1"/>
    <col min="13586" max="13599" width="13.125" style="29" customWidth="1"/>
    <col min="13600" max="13826" width="12.625" style="29"/>
    <col min="13827" max="13827" width="7.125" style="29" customWidth="1"/>
    <col min="13828" max="13828" width="9.75" style="29" customWidth="1"/>
    <col min="13829" max="13829" width="13.125" style="29" customWidth="1"/>
    <col min="13830" max="13841" width="12.625" style="29" customWidth="1"/>
    <col min="13842" max="13855" width="13.125" style="29" customWidth="1"/>
    <col min="13856" max="14082" width="12.625" style="29"/>
    <col min="14083" max="14083" width="7.125" style="29" customWidth="1"/>
    <col min="14084" max="14084" width="9.75" style="29" customWidth="1"/>
    <col min="14085" max="14085" width="13.125" style="29" customWidth="1"/>
    <col min="14086" max="14097" width="12.625" style="29" customWidth="1"/>
    <col min="14098" max="14111" width="13.125" style="29" customWidth="1"/>
    <col min="14112" max="14338" width="12.625" style="29"/>
    <col min="14339" max="14339" width="7.125" style="29" customWidth="1"/>
    <col min="14340" max="14340" width="9.75" style="29" customWidth="1"/>
    <col min="14341" max="14341" width="13.125" style="29" customWidth="1"/>
    <col min="14342" max="14353" width="12.625" style="29" customWidth="1"/>
    <col min="14354" max="14367" width="13.125" style="29" customWidth="1"/>
    <col min="14368" max="14594" width="12.625" style="29"/>
    <col min="14595" max="14595" width="7.125" style="29" customWidth="1"/>
    <col min="14596" max="14596" width="9.75" style="29" customWidth="1"/>
    <col min="14597" max="14597" width="13.125" style="29" customWidth="1"/>
    <col min="14598" max="14609" width="12.625" style="29" customWidth="1"/>
    <col min="14610" max="14623" width="13.125" style="29" customWidth="1"/>
    <col min="14624" max="14850" width="12.625" style="29"/>
    <col min="14851" max="14851" width="7.125" style="29" customWidth="1"/>
    <col min="14852" max="14852" width="9.75" style="29" customWidth="1"/>
    <col min="14853" max="14853" width="13.125" style="29" customWidth="1"/>
    <col min="14854" max="14865" width="12.625" style="29" customWidth="1"/>
    <col min="14866" max="14879" width="13.125" style="29" customWidth="1"/>
    <col min="14880" max="15106" width="12.625" style="29"/>
    <col min="15107" max="15107" width="7.125" style="29" customWidth="1"/>
    <col min="15108" max="15108" width="9.75" style="29" customWidth="1"/>
    <col min="15109" max="15109" width="13.125" style="29" customWidth="1"/>
    <col min="15110" max="15121" width="12.625" style="29" customWidth="1"/>
    <col min="15122" max="15135" width="13.125" style="29" customWidth="1"/>
    <col min="15136" max="15362" width="12.625" style="29"/>
    <col min="15363" max="15363" width="7.125" style="29" customWidth="1"/>
    <col min="15364" max="15364" width="9.75" style="29" customWidth="1"/>
    <col min="15365" max="15365" width="13.125" style="29" customWidth="1"/>
    <col min="15366" max="15377" width="12.625" style="29" customWidth="1"/>
    <col min="15378" max="15391" width="13.125" style="29" customWidth="1"/>
    <col min="15392" max="15618" width="12.625" style="29"/>
    <col min="15619" max="15619" width="7.125" style="29" customWidth="1"/>
    <col min="15620" max="15620" width="9.75" style="29" customWidth="1"/>
    <col min="15621" max="15621" width="13.125" style="29" customWidth="1"/>
    <col min="15622" max="15633" width="12.625" style="29" customWidth="1"/>
    <col min="15634" max="15647" width="13.125" style="29" customWidth="1"/>
    <col min="15648" max="15874" width="12.625" style="29"/>
    <col min="15875" max="15875" width="7.125" style="29" customWidth="1"/>
    <col min="15876" max="15876" width="9.75" style="29" customWidth="1"/>
    <col min="15877" max="15877" width="13.125" style="29" customWidth="1"/>
    <col min="15878" max="15889" width="12.625" style="29" customWidth="1"/>
    <col min="15890" max="15903" width="13.125" style="29" customWidth="1"/>
    <col min="15904" max="16130" width="12.625" style="29"/>
    <col min="16131" max="16131" width="7.125" style="29" customWidth="1"/>
    <col min="16132" max="16132" width="9.75" style="29" customWidth="1"/>
    <col min="16133" max="16133" width="13.125" style="29" customWidth="1"/>
    <col min="16134" max="16145" width="12.625" style="29" customWidth="1"/>
    <col min="16146" max="16159" width="13.125" style="29" customWidth="1"/>
    <col min="16160" max="16384" width="12.625" style="29"/>
  </cols>
  <sheetData>
    <row r="1" spans="1:120" s="444" customFormat="1" ht="20.100000000000001" customHeight="1">
      <c r="A1" s="441" t="s">
        <v>107</v>
      </c>
      <c r="B1" s="441"/>
      <c r="C1" s="442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  <c r="V1" s="443"/>
      <c r="W1" s="443"/>
      <c r="X1" s="443"/>
      <c r="Y1" s="443"/>
      <c r="Z1" s="443"/>
      <c r="AA1" s="443"/>
      <c r="AB1" s="443"/>
      <c r="AC1" s="443"/>
      <c r="AD1" s="443"/>
      <c r="AE1" s="443"/>
      <c r="AF1" s="443"/>
      <c r="AG1" s="443"/>
      <c r="AH1" s="443"/>
      <c r="AI1" s="443"/>
      <c r="AJ1" s="443"/>
      <c r="AK1" s="443"/>
      <c r="AL1" s="443"/>
      <c r="AM1" s="443"/>
      <c r="AN1" s="443"/>
      <c r="AO1" s="443"/>
      <c r="AP1" s="443"/>
      <c r="AQ1" s="864"/>
      <c r="AR1" s="864"/>
      <c r="AS1" s="864"/>
      <c r="AT1" s="864"/>
      <c r="AU1" s="864"/>
      <c r="AV1" s="864"/>
      <c r="AW1" s="864"/>
      <c r="AX1" s="864"/>
      <c r="AY1" s="864"/>
      <c r="AZ1" s="864"/>
      <c r="BA1" s="864"/>
      <c r="BB1" s="864"/>
      <c r="BC1" s="443"/>
      <c r="BD1" s="864"/>
      <c r="BE1" s="864"/>
      <c r="BF1" s="864"/>
      <c r="BG1" s="864"/>
      <c r="BH1" s="864"/>
      <c r="BI1" s="864"/>
      <c r="BJ1" s="864"/>
      <c r="BK1" s="864"/>
      <c r="BL1" s="864"/>
      <c r="BM1" s="864"/>
      <c r="BN1" s="864"/>
      <c r="BO1" s="864"/>
      <c r="BP1" s="864"/>
      <c r="BQ1" s="864"/>
      <c r="BR1" s="864"/>
      <c r="BS1" s="864"/>
      <c r="BT1" s="864"/>
      <c r="BU1" s="864"/>
      <c r="BV1" s="864"/>
      <c r="BW1" s="864"/>
      <c r="BX1" s="864"/>
      <c r="BY1" s="864"/>
      <c r="BZ1" s="864"/>
      <c r="CA1" s="864"/>
      <c r="CB1" s="864"/>
      <c r="CC1" s="864"/>
      <c r="CD1" s="864"/>
      <c r="CE1" s="864"/>
      <c r="CF1" s="864"/>
      <c r="CG1" s="864"/>
      <c r="CH1" s="864"/>
      <c r="CI1" s="864"/>
      <c r="CJ1" s="864"/>
      <c r="CK1" s="864"/>
      <c r="CL1" s="864"/>
      <c r="CM1" s="864"/>
      <c r="CN1" s="864"/>
      <c r="CO1" s="864"/>
      <c r="CP1" s="864"/>
      <c r="CQ1" s="864"/>
      <c r="CR1" s="864"/>
      <c r="CS1" s="864"/>
      <c r="CT1" s="864"/>
      <c r="CU1" s="864"/>
      <c r="CV1" s="864"/>
      <c r="CW1" s="864"/>
      <c r="CX1" s="864"/>
      <c r="CY1" s="864"/>
      <c r="CZ1" s="864"/>
      <c r="DA1" s="864"/>
      <c r="DB1" s="864"/>
      <c r="DC1" s="864"/>
      <c r="DD1" s="864"/>
      <c r="DE1" s="864"/>
      <c r="DF1" s="864"/>
      <c r="DG1" s="864"/>
      <c r="DH1" s="864"/>
      <c r="DI1" s="864"/>
      <c r="DJ1" s="864"/>
      <c r="DK1" s="864"/>
      <c r="DL1" s="864"/>
      <c r="DM1" s="864"/>
      <c r="DN1" s="864"/>
      <c r="DO1" s="864"/>
      <c r="DP1" s="864"/>
    </row>
    <row r="2" spans="1:120" ht="9.75" customHeight="1" thickBot="1">
      <c r="A2" s="445"/>
      <c r="B2" s="445"/>
      <c r="C2" s="446"/>
      <c r="AQ2" s="863"/>
      <c r="AR2" s="863"/>
      <c r="AS2" s="863"/>
      <c r="AT2" s="863"/>
      <c r="AU2" s="863"/>
      <c r="AV2" s="863"/>
      <c r="AW2" s="863"/>
      <c r="AX2" s="863"/>
      <c r="AY2" s="863"/>
      <c r="AZ2" s="863"/>
      <c r="BA2" s="863"/>
      <c r="BB2" s="863"/>
      <c r="BD2" s="863"/>
      <c r="BE2" s="863"/>
      <c r="BF2" s="863"/>
      <c r="BG2" s="863"/>
      <c r="BH2" s="863"/>
      <c r="BI2" s="863"/>
      <c r="BJ2" s="863"/>
      <c r="BK2" s="863"/>
      <c r="BL2" s="863"/>
      <c r="BM2" s="863"/>
      <c r="BN2" s="863"/>
      <c r="BO2" s="863"/>
    </row>
    <row r="3" spans="1:120" s="30" customFormat="1" ht="20.100000000000001" customHeight="1">
      <c r="A3" s="2178" t="s">
        <v>118</v>
      </c>
      <c r="B3" s="2179"/>
      <c r="C3" s="2182" t="s">
        <v>310</v>
      </c>
      <c r="D3" s="2169" t="s">
        <v>311</v>
      </c>
      <c r="E3" s="2169"/>
      <c r="F3" s="2169"/>
      <c r="G3" s="2169"/>
      <c r="H3" s="2169"/>
      <c r="I3" s="2169"/>
      <c r="J3" s="2169"/>
      <c r="K3" s="2169"/>
      <c r="L3" s="2169"/>
      <c r="M3" s="2169"/>
      <c r="N3" s="2169"/>
      <c r="O3" s="2169"/>
      <c r="P3" s="2184" t="s">
        <v>311</v>
      </c>
      <c r="Q3" s="2169" t="s">
        <v>312</v>
      </c>
      <c r="R3" s="2169"/>
      <c r="S3" s="2169"/>
      <c r="T3" s="2169"/>
      <c r="U3" s="2169"/>
      <c r="V3" s="2169"/>
      <c r="W3" s="2169"/>
      <c r="X3" s="2169"/>
      <c r="Y3" s="2169"/>
      <c r="Z3" s="2169"/>
      <c r="AA3" s="2169"/>
      <c r="AB3" s="2169"/>
      <c r="AC3" s="447"/>
      <c r="AD3" s="2168" t="s">
        <v>401</v>
      </c>
      <c r="AE3" s="2169"/>
      <c r="AF3" s="2169"/>
      <c r="AG3" s="2169"/>
      <c r="AH3" s="2169"/>
      <c r="AI3" s="2169"/>
      <c r="AJ3" s="2169"/>
      <c r="AK3" s="2169"/>
      <c r="AL3" s="2169"/>
      <c r="AM3" s="2169"/>
      <c r="AN3" s="2169"/>
      <c r="AO3" s="2170"/>
      <c r="AP3" s="2186" t="s">
        <v>396</v>
      </c>
      <c r="AQ3" s="2169" t="s">
        <v>505</v>
      </c>
      <c r="AR3" s="2169"/>
      <c r="AS3" s="2169"/>
      <c r="AT3" s="2169"/>
      <c r="AU3" s="2169"/>
      <c r="AV3" s="2169"/>
      <c r="AW3" s="2169"/>
      <c r="AX3" s="2169"/>
      <c r="AY3" s="2169"/>
      <c r="AZ3" s="2169"/>
      <c r="BA3" s="2169"/>
      <c r="BB3" s="2169"/>
      <c r="BC3" s="447"/>
      <c r="BD3" s="2169" t="s">
        <v>552</v>
      </c>
      <c r="BE3" s="2169"/>
      <c r="BF3" s="2169"/>
      <c r="BG3" s="2169"/>
      <c r="BH3" s="2169"/>
      <c r="BI3" s="2169"/>
      <c r="BJ3" s="2169"/>
      <c r="BK3" s="2169"/>
      <c r="BL3" s="2169"/>
      <c r="BM3" s="2169"/>
      <c r="BN3" s="2169"/>
      <c r="BO3" s="2169"/>
      <c r="BP3" s="447"/>
      <c r="BQ3" s="2169" t="s">
        <v>647</v>
      </c>
      <c r="BR3" s="2169"/>
      <c r="BS3" s="2169"/>
      <c r="BT3" s="2169"/>
      <c r="BU3" s="2169"/>
      <c r="BV3" s="2169"/>
      <c r="BW3" s="2169"/>
      <c r="BX3" s="2169"/>
      <c r="BY3" s="2169"/>
      <c r="BZ3" s="2169"/>
      <c r="CA3" s="2169"/>
      <c r="CB3" s="2169"/>
      <c r="CC3" s="1188"/>
      <c r="CD3" s="2169" t="s">
        <v>882</v>
      </c>
      <c r="CE3" s="2169"/>
      <c r="CF3" s="2169"/>
      <c r="CG3" s="2169"/>
      <c r="CH3" s="2169"/>
      <c r="CI3" s="2169"/>
      <c r="CJ3" s="2169"/>
      <c r="CK3" s="2169"/>
      <c r="CL3" s="2169"/>
      <c r="CM3" s="2169"/>
      <c r="CN3" s="2169"/>
      <c r="CO3" s="2169"/>
      <c r="CP3" s="1188"/>
      <c r="CQ3" s="2169" t="s">
        <v>929</v>
      </c>
      <c r="CR3" s="2169"/>
      <c r="CS3" s="2169"/>
      <c r="CT3" s="2169"/>
      <c r="CU3" s="2169"/>
      <c r="CV3" s="2169"/>
      <c r="CW3" s="2169"/>
      <c r="CX3" s="2169"/>
      <c r="CY3" s="2169"/>
      <c r="CZ3" s="2169"/>
      <c r="DA3" s="2169"/>
      <c r="DB3" s="2169"/>
      <c r="DC3" s="1188"/>
      <c r="DD3" s="2169" t="s">
        <v>979</v>
      </c>
      <c r="DE3" s="2169"/>
      <c r="DF3" s="2169"/>
      <c r="DG3" s="2169"/>
      <c r="DH3" s="2169"/>
      <c r="DI3" s="2169"/>
      <c r="DJ3" s="2169"/>
      <c r="DK3" s="2169"/>
      <c r="DL3" s="2169"/>
      <c r="DM3" s="2169"/>
      <c r="DN3" s="2169"/>
      <c r="DO3" s="2169"/>
      <c r="DP3" s="1188"/>
    </row>
    <row r="4" spans="1:120" s="30" customFormat="1" ht="19.5" customHeight="1">
      <c r="A4" s="2180"/>
      <c r="B4" s="2181"/>
      <c r="C4" s="2183"/>
      <c r="D4" s="448" t="s">
        <v>313</v>
      </c>
      <c r="E4" s="449" t="s">
        <v>278</v>
      </c>
      <c r="F4" s="449" t="s">
        <v>314</v>
      </c>
      <c r="G4" s="449" t="s">
        <v>315</v>
      </c>
      <c r="H4" s="449" t="s">
        <v>316</v>
      </c>
      <c r="I4" s="449" t="s">
        <v>32</v>
      </c>
      <c r="J4" s="449" t="s">
        <v>33</v>
      </c>
      <c r="K4" s="449" t="s">
        <v>34</v>
      </c>
      <c r="L4" s="449" t="s">
        <v>35</v>
      </c>
      <c r="M4" s="449" t="s">
        <v>36</v>
      </c>
      <c r="N4" s="449" t="s">
        <v>37</v>
      </c>
      <c r="O4" s="450" t="s">
        <v>38</v>
      </c>
      <c r="P4" s="2185"/>
      <c r="Q4" s="448" t="s">
        <v>313</v>
      </c>
      <c r="R4" s="449" t="s">
        <v>278</v>
      </c>
      <c r="S4" s="449" t="s">
        <v>314</v>
      </c>
      <c r="T4" s="449" t="s">
        <v>315</v>
      </c>
      <c r="U4" s="449" t="s">
        <v>316</v>
      </c>
      <c r="V4" s="449" t="s">
        <v>32</v>
      </c>
      <c r="W4" s="449" t="s">
        <v>33</v>
      </c>
      <c r="X4" s="449" t="s">
        <v>34</v>
      </c>
      <c r="Y4" s="449" t="s">
        <v>35</v>
      </c>
      <c r="Z4" s="449" t="s">
        <v>36</v>
      </c>
      <c r="AA4" s="449" t="s">
        <v>37</v>
      </c>
      <c r="AB4" s="450" t="s">
        <v>38</v>
      </c>
      <c r="AC4" s="451" t="s">
        <v>317</v>
      </c>
      <c r="AD4" s="879" t="s">
        <v>402</v>
      </c>
      <c r="AE4" s="878" t="s">
        <v>403</v>
      </c>
      <c r="AF4" s="878" t="s">
        <v>404</v>
      </c>
      <c r="AG4" s="878" t="s">
        <v>315</v>
      </c>
      <c r="AH4" s="878" t="s">
        <v>316</v>
      </c>
      <c r="AI4" s="878" t="s">
        <v>32</v>
      </c>
      <c r="AJ4" s="878" t="s">
        <v>33</v>
      </c>
      <c r="AK4" s="878" t="s">
        <v>34</v>
      </c>
      <c r="AL4" s="878" t="s">
        <v>35</v>
      </c>
      <c r="AM4" s="878" t="s">
        <v>36</v>
      </c>
      <c r="AN4" s="878" t="s">
        <v>37</v>
      </c>
      <c r="AO4" s="877" t="s">
        <v>38</v>
      </c>
      <c r="AP4" s="2187"/>
      <c r="AQ4" s="865" t="s">
        <v>506</v>
      </c>
      <c r="AR4" s="866" t="s">
        <v>507</v>
      </c>
      <c r="AS4" s="866" t="s">
        <v>39</v>
      </c>
      <c r="AT4" s="866" t="s">
        <v>315</v>
      </c>
      <c r="AU4" s="866" t="s">
        <v>316</v>
      </c>
      <c r="AV4" s="866" t="s">
        <v>32</v>
      </c>
      <c r="AW4" s="866" t="s">
        <v>33</v>
      </c>
      <c r="AX4" s="866" t="s">
        <v>34</v>
      </c>
      <c r="AY4" s="866" t="s">
        <v>35</v>
      </c>
      <c r="AZ4" s="866" t="s">
        <v>36</v>
      </c>
      <c r="BA4" s="866" t="s">
        <v>37</v>
      </c>
      <c r="BB4" s="867" t="s">
        <v>38</v>
      </c>
      <c r="BC4" s="451" t="s">
        <v>508</v>
      </c>
      <c r="BD4" s="865" t="s">
        <v>506</v>
      </c>
      <c r="BE4" s="878" t="s">
        <v>507</v>
      </c>
      <c r="BF4" s="878" t="s">
        <v>39</v>
      </c>
      <c r="BG4" s="878" t="s">
        <v>315</v>
      </c>
      <c r="BH4" s="878" t="s">
        <v>316</v>
      </c>
      <c r="BI4" s="878" t="s">
        <v>32</v>
      </c>
      <c r="BJ4" s="878" t="s">
        <v>33</v>
      </c>
      <c r="BK4" s="878" t="s">
        <v>34</v>
      </c>
      <c r="BL4" s="878" t="s">
        <v>35</v>
      </c>
      <c r="BM4" s="878" t="s">
        <v>36</v>
      </c>
      <c r="BN4" s="878" t="s">
        <v>37</v>
      </c>
      <c r="BO4" s="867" t="s">
        <v>38</v>
      </c>
      <c r="BP4" s="451" t="s">
        <v>317</v>
      </c>
      <c r="BQ4" s="1189" t="s">
        <v>648</v>
      </c>
      <c r="BR4" s="1190" t="s">
        <v>649</v>
      </c>
      <c r="BS4" s="1190" t="s">
        <v>314</v>
      </c>
      <c r="BT4" s="1190" t="s">
        <v>315</v>
      </c>
      <c r="BU4" s="1190" t="s">
        <v>316</v>
      </c>
      <c r="BV4" s="1190" t="s">
        <v>32</v>
      </c>
      <c r="BW4" s="1190" t="s">
        <v>33</v>
      </c>
      <c r="BX4" s="1190" t="s">
        <v>34</v>
      </c>
      <c r="BY4" s="1190" t="s">
        <v>35</v>
      </c>
      <c r="BZ4" s="1190" t="s">
        <v>36</v>
      </c>
      <c r="CA4" s="1190" t="s">
        <v>37</v>
      </c>
      <c r="CB4" s="1191" t="s">
        <v>38</v>
      </c>
      <c r="CC4" s="1192" t="s">
        <v>317</v>
      </c>
      <c r="CD4" s="1289" t="s">
        <v>313</v>
      </c>
      <c r="CE4" s="1290" t="s">
        <v>278</v>
      </c>
      <c r="CF4" s="1290" t="s">
        <v>314</v>
      </c>
      <c r="CG4" s="1290" t="s">
        <v>315</v>
      </c>
      <c r="CH4" s="1290" t="s">
        <v>316</v>
      </c>
      <c r="CI4" s="1290" t="s">
        <v>32</v>
      </c>
      <c r="CJ4" s="1290" t="s">
        <v>33</v>
      </c>
      <c r="CK4" s="1290" t="s">
        <v>34</v>
      </c>
      <c r="CL4" s="1290" t="s">
        <v>35</v>
      </c>
      <c r="CM4" s="1290" t="s">
        <v>36</v>
      </c>
      <c r="CN4" s="1290" t="s">
        <v>37</v>
      </c>
      <c r="CO4" s="1291" t="s">
        <v>38</v>
      </c>
      <c r="CP4" s="1292" t="s">
        <v>883</v>
      </c>
      <c r="CQ4" s="1389" t="s">
        <v>930</v>
      </c>
      <c r="CR4" s="1390" t="s">
        <v>931</v>
      </c>
      <c r="CS4" s="1390" t="s">
        <v>932</v>
      </c>
      <c r="CT4" s="1390" t="s">
        <v>315</v>
      </c>
      <c r="CU4" s="1390" t="s">
        <v>316</v>
      </c>
      <c r="CV4" s="1390" t="s">
        <v>32</v>
      </c>
      <c r="CW4" s="1390" t="s">
        <v>33</v>
      </c>
      <c r="CX4" s="1390" t="s">
        <v>34</v>
      </c>
      <c r="CY4" s="1390" t="s">
        <v>35</v>
      </c>
      <c r="CZ4" s="1390" t="s">
        <v>36</v>
      </c>
      <c r="DA4" s="1390" t="s">
        <v>37</v>
      </c>
      <c r="DB4" s="1391" t="s">
        <v>38</v>
      </c>
      <c r="DC4" s="1292" t="s">
        <v>933</v>
      </c>
      <c r="DD4" s="1448" t="s">
        <v>313</v>
      </c>
      <c r="DE4" s="1449" t="s">
        <v>980</v>
      </c>
      <c r="DF4" s="1449" t="s">
        <v>314</v>
      </c>
      <c r="DG4" s="1449" t="s">
        <v>315</v>
      </c>
      <c r="DH4" s="1449" t="s">
        <v>316</v>
      </c>
      <c r="DI4" s="1449" t="s">
        <v>32</v>
      </c>
      <c r="DJ4" s="1449" t="s">
        <v>33</v>
      </c>
      <c r="DK4" s="1449" t="s">
        <v>34</v>
      </c>
      <c r="DL4" s="1449" t="s">
        <v>35</v>
      </c>
      <c r="DM4" s="1449" t="s">
        <v>36</v>
      </c>
      <c r="DN4" s="1449" t="s">
        <v>37</v>
      </c>
      <c r="DO4" s="1450" t="s">
        <v>38</v>
      </c>
      <c r="DP4" s="1292" t="s">
        <v>981</v>
      </c>
    </row>
    <row r="5" spans="1:120" s="30" customFormat="1" ht="15" customHeight="1">
      <c r="A5" s="452" t="s">
        <v>108</v>
      </c>
      <c r="B5" s="453"/>
      <c r="C5" s="454">
        <f>SUM(C6:C10)</f>
        <v>45507821</v>
      </c>
      <c r="D5" s="621">
        <f>D6+D7-D8+D9-D10</f>
        <v>45622963</v>
      </c>
      <c r="E5" s="621">
        <f t="shared" ref="E5:P5" si="0">E6+E7-E8+E9-E10</f>
        <v>45727212</v>
      </c>
      <c r="F5" s="621">
        <f t="shared" si="0"/>
        <v>35353119</v>
      </c>
      <c r="G5" s="621">
        <f t="shared" si="0"/>
        <v>35439680</v>
      </c>
      <c r="H5" s="621">
        <f t="shared" si="0"/>
        <v>35529348</v>
      </c>
      <c r="I5" s="621">
        <f t="shared" si="0"/>
        <v>35616339</v>
      </c>
      <c r="J5" s="621">
        <f t="shared" si="0"/>
        <v>35706454</v>
      </c>
      <c r="K5" s="621">
        <f t="shared" si="0"/>
        <v>35796797</v>
      </c>
      <c r="L5" s="621">
        <f t="shared" si="0"/>
        <v>35884444</v>
      </c>
      <c r="M5" s="621">
        <f t="shared" si="0"/>
        <v>35975236</v>
      </c>
      <c r="N5" s="621">
        <f t="shared" si="0"/>
        <v>36063320</v>
      </c>
      <c r="O5" s="677">
        <f t="shared" si="0"/>
        <v>150724461</v>
      </c>
      <c r="P5" s="455">
        <f t="shared" si="0"/>
        <v>150724461</v>
      </c>
      <c r="Q5" s="621">
        <f>Q6+Q7-Q8+Q9-Q10</f>
        <v>56554787</v>
      </c>
      <c r="R5" s="621">
        <f t="shared" ref="R5:AC5" si="1">R6+R7-R8+R9-R10</f>
        <v>56654377</v>
      </c>
      <c r="S5" s="621">
        <f t="shared" si="1"/>
        <v>56764843</v>
      </c>
      <c r="T5" s="621">
        <f t="shared" si="1"/>
        <v>56871949</v>
      </c>
      <c r="U5" s="621">
        <f t="shared" si="1"/>
        <v>56982839</v>
      </c>
      <c r="V5" s="621">
        <f t="shared" si="1"/>
        <v>57090358</v>
      </c>
      <c r="W5" s="621">
        <f t="shared" si="1"/>
        <v>57201673</v>
      </c>
      <c r="X5" s="621">
        <f t="shared" si="1"/>
        <v>57313205</v>
      </c>
      <c r="Y5" s="621">
        <f t="shared" si="1"/>
        <v>57421347</v>
      </c>
      <c r="Z5" s="621">
        <f t="shared" si="1"/>
        <v>57533307</v>
      </c>
      <c r="AA5" s="621">
        <f t="shared" si="1"/>
        <v>57641863</v>
      </c>
      <c r="AB5" s="621">
        <f t="shared" si="1"/>
        <v>60636629</v>
      </c>
      <c r="AC5" s="456">
        <f t="shared" si="1"/>
        <v>60636629</v>
      </c>
      <c r="AD5" s="876">
        <f>AD6+AD7-AD8+AD9-AD10</f>
        <v>60729840</v>
      </c>
      <c r="AE5" s="875">
        <f t="shared" ref="AE5:AP5" si="2">AE6+AE7-AE8+AE9-AE10</f>
        <v>49819102</v>
      </c>
      <c r="AF5" s="875">
        <f t="shared" si="2"/>
        <v>49895682</v>
      </c>
      <c r="AG5" s="875">
        <f t="shared" si="2"/>
        <v>49969900</v>
      </c>
      <c r="AH5" s="875">
        <f t="shared" si="2"/>
        <v>50046715</v>
      </c>
      <c r="AI5" s="875">
        <f t="shared" si="2"/>
        <v>50121164</v>
      </c>
      <c r="AJ5" s="875">
        <f t="shared" si="2"/>
        <v>50198208</v>
      </c>
      <c r="AK5" s="875">
        <f t="shared" si="2"/>
        <v>50275368</v>
      </c>
      <c r="AL5" s="875">
        <f t="shared" si="2"/>
        <v>50350156</v>
      </c>
      <c r="AM5" s="875">
        <f t="shared" si="2"/>
        <v>50427554</v>
      </c>
      <c r="AN5" s="875">
        <f t="shared" si="2"/>
        <v>50502568</v>
      </c>
      <c r="AO5" s="874">
        <f t="shared" si="2"/>
        <v>50187227</v>
      </c>
      <c r="AP5" s="456">
        <f t="shared" si="2"/>
        <v>50187227</v>
      </c>
      <c r="AQ5" s="875">
        <f>AQ6+AQ7-AQ8+AQ9-AQ10</f>
        <v>50263749</v>
      </c>
      <c r="AR5" s="875">
        <f t="shared" ref="AR5:BB5" si="3">AR6+AR7-AR8+AR9-AR10</f>
        <v>50332964</v>
      </c>
      <c r="AS5" s="875">
        <f t="shared" si="3"/>
        <v>50409704</v>
      </c>
      <c r="AT5" s="875">
        <f t="shared" si="3"/>
        <v>50484077</v>
      </c>
      <c r="AU5" s="875">
        <f t="shared" si="3"/>
        <v>50561052</v>
      </c>
      <c r="AV5" s="875">
        <f t="shared" si="3"/>
        <v>50635654</v>
      </c>
      <c r="AW5" s="875">
        <f t="shared" si="3"/>
        <v>50712856</v>
      </c>
      <c r="AX5" s="875">
        <f t="shared" si="3"/>
        <v>50790173</v>
      </c>
      <c r="AY5" s="875">
        <f t="shared" si="3"/>
        <v>50865114</v>
      </c>
      <c r="AZ5" s="875">
        <f t="shared" si="3"/>
        <v>50942669</v>
      </c>
      <c r="BA5" s="875">
        <f t="shared" si="3"/>
        <v>51017831</v>
      </c>
      <c r="BB5" s="875">
        <f t="shared" si="3"/>
        <v>90718579</v>
      </c>
      <c r="BC5" s="456">
        <f t="shared" ref="BC5:BI5" si="4">BC6+BC7-BC8+BC9-BC10</f>
        <v>90718579</v>
      </c>
      <c r="BD5" s="875">
        <f t="shared" si="4"/>
        <v>90856133</v>
      </c>
      <c r="BE5" s="875">
        <f t="shared" si="4"/>
        <v>90980561</v>
      </c>
      <c r="BF5" s="875">
        <f t="shared" si="4"/>
        <v>91118518</v>
      </c>
      <c r="BG5" s="875">
        <f t="shared" si="4"/>
        <v>91252222</v>
      </c>
      <c r="BH5" s="875">
        <f t="shared" si="4"/>
        <v>91390586</v>
      </c>
      <c r="BI5" s="875">
        <f t="shared" si="4"/>
        <v>91524692</v>
      </c>
      <c r="BJ5" s="875">
        <f t="shared" ref="BJ5:BX5" si="5">BJ6+BJ7-BJ8+BJ9-BJ10</f>
        <v>91663475</v>
      </c>
      <c r="BK5" s="875">
        <f t="shared" si="5"/>
        <v>91802466</v>
      </c>
      <c r="BL5" s="875">
        <f t="shared" si="5"/>
        <v>91937171</v>
      </c>
      <c r="BM5" s="875">
        <f t="shared" si="5"/>
        <v>92076578</v>
      </c>
      <c r="BN5" s="875">
        <f t="shared" si="5"/>
        <v>92211691</v>
      </c>
      <c r="BO5" s="875">
        <f t="shared" si="5"/>
        <v>91782763</v>
      </c>
      <c r="BP5" s="456">
        <f t="shared" si="5"/>
        <v>91782763</v>
      </c>
      <c r="BQ5" s="875">
        <f t="shared" si="5"/>
        <v>91948733</v>
      </c>
      <c r="BR5" s="875">
        <f t="shared" si="5"/>
        <v>92098900</v>
      </c>
      <c r="BS5" s="875">
        <f t="shared" si="5"/>
        <v>92265442</v>
      </c>
      <c r="BT5" s="875">
        <f t="shared" si="5"/>
        <v>92426898</v>
      </c>
      <c r="BU5" s="875">
        <f t="shared" si="5"/>
        <v>92594036</v>
      </c>
      <c r="BV5" s="875">
        <f t="shared" si="5"/>
        <v>92756070</v>
      </c>
      <c r="BW5" s="875">
        <f t="shared" si="5"/>
        <v>92923801</v>
      </c>
      <c r="BX5" s="875">
        <f t="shared" si="5"/>
        <v>87355686</v>
      </c>
      <c r="BY5" s="875">
        <f t="shared" ref="BY5:CK5" si="6">BY6+BY7-BY8+BY9-BY10</f>
        <v>87508552</v>
      </c>
      <c r="BZ5" s="1270">
        <f t="shared" si="6"/>
        <v>87666795</v>
      </c>
      <c r="CA5" s="1270">
        <f t="shared" si="6"/>
        <v>87820202</v>
      </c>
      <c r="CB5" s="1270">
        <f t="shared" si="6"/>
        <v>132407981</v>
      </c>
      <c r="CC5" s="1193">
        <f t="shared" si="6"/>
        <v>132407981</v>
      </c>
      <c r="CD5" s="1270">
        <f t="shared" si="6"/>
        <v>132598278</v>
      </c>
      <c r="CE5" s="1270">
        <f t="shared" si="6"/>
        <v>132776538</v>
      </c>
      <c r="CF5" s="1270">
        <f t="shared" si="6"/>
        <v>132967354</v>
      </c>
      <c r="CG5" s="1332">
        <f t="shared" si="6"/>
        <v>133152281</v>
      </c>
      <c r="CH5" s="1332">
        <f t="shared" si="6"/>
        <v>133343644</v>
      </c>
      <c r="CI5" s="1332">
        <f t="shared" si="6"/>
        <v>133529091</v>
      </c>
      <c r="CJ5" s="1332">
        <f t="shared" si="6"/>
        <v>133720987</v>
      </c>
      <c r="CK5" s="1332">
        <f t="shared" si="6"/>
        <v>133913169</v>
      </c>
      <c r="CL5" s="1332">
        <f>CL6+CL7-CL8+CL9-CL10</f>
        <v>134099410</v>
      </c>
      <c r="CM5" s="1332">
        <f>CM6+CM7-CM8+CM9-CM10</f>
        <v>134292128</v>
      </c>
      <c r="CN5" s="1332">
        <f>CN6+CN7-CN8+CN9-CN10</f>
        <v>134478897</v>
      </c>
      <c r="CO5" s="1332">
        <f>CO6+CO7-CO8+CO9-CO10</f>
        <v>133837464</v>
      </c>
      <c r="CP5" s="1193">
        <f>CP6+CP7-CP8+CP9-CP10</f>
        <v>133837464</v>
      </c>
      <c r="CQ5" s="1332">
        <f t="shared" ref="CQ5:CX5" si="7">CQ6+CQ7-CQ8+CQ9-CQ10</f>
        <v>120208590</v>
      </c>
      <c r="CR5" s="1332">
        <f t="shared" si="7"/>
        <v>120314071</v>
      </c>
      <c r="CS5" s="1332">
        <f t="shared" si="7"/>
        <v>120430966</v>
      </c>
      <c r="CT5" s="1332">
        <f t="shared" si="7"/>
        <v>120544207</v>
      </c>
      <c r="CU5" s="1332">
        <f t="shared" si="7"/>
        <v>120661329</v>
      </c>
      <c r="CV5" s="1332">
        <f t="shared" si="7"/>
        <v>120774777</v>
      </c>
      <c r="CW5" s="1332">
        <f t="shared" si="7"/>
        <v>120892126</v>
      </c>
      <c r="CX5" s="1332">
        <f t="shared" si="7"/>
        <v>121009587</v>
      </c>
      <c r="CY5" s="1332">
        <f>CY6+CY7-CY8+CY9-CY10</f>
        <v>109449028</v>
      </c>
      <c r="CZ5" s="1332">
        <f>CZ6+CZ7-CZ8+CZ9-CZ10</f>
        <v>109555367</v>
      </c>
      <c r="DA5" s="1332">
        <f>DA6+DA7-DA8+DA9-DA10</f>
        <v>109658387</v>
      </c>
      <c r="DB5" s="1332">
        <f>DB6+DB7-DB8+DB9-DB10</f>
        <v>134030704</v>
      </c>
      <c r="DC5" s="1193">
        <f>DC6+DC7-DC8+DC9-DC10</f>
        <v>134030704</v>
      </c>
      <c r="DD5" s="1332">
        <f t="shared" ref="DD5:DK5" si="8">DD6+DD7-DD8+DD9-DD10</f>
        <v>134202549</v>
      </c>
      <c r="DE5" s="1332">
        <f t="shared" si="8"/>
        <v>134357941</v>
      </c>
      <c r="DF5" s="1332">
        <f t="shared" si="8"/>
        <v>134530197</v>
      </c>
      <c r="DG5" s="1332">
        <f t="shared" si="8"/>
        <v>134697107</v>
      </c>
      <c r="DH5" s="1332">
        <f t="shared" si="8"/>
        <v>134869794</v>
      </c>
      <c r="DI5" s="1332">
        <f t="shared" si="8"/>
        <v>102549799</v>
      </c>
      <c r="DJ5" s="1332">
        <f t="shared" si="8"/>
        <v>102549799</v>
      </c>
      <c r="DK5" s="1332">
        <f t="shared" si="8"/>
        <v>102549799</v>
      </c>
      <c r="DL5" s="1332">
        <f>DL6+DL7-DL8+DL9-DL10</f>
        <v>102549799</v>
      </c>
      <c r="DM5" s="1332">
        <f>DM6+DM7-DM8+DM9-DM10</f>
        <v>102549799</v>
      </c>
      <c r="DN5" s="1332">
        <f>DN6+DN7-DN8+DN9-DN10</f>
        <v>102549799</v>
      </c>
      <c r="DO5" s="1332">
        <f>DO6+DO7-DO8+DO9-DO10</f>
        <v>102549799</v>
      </c>
      <c r="DP5" s="1193">
        <f>DP6+DP7-DP8+DP9-DP10</f>
        <v>102549799</v>
      </c>
    </row>
    <row r="6" spans="1:120" ht="15" customHeight="1">
      <c r="A6" s="626"/>
      <c r="B6" s="678" t="s">
        <v>425</v>
      </c>
      <c r="C6" s="679"/>
      <c r="D6" s="680">
        <f t="shared" ref="D6:O6" si="9">C5</f>
        <v>45507821</v>
      </c>
      <c r="E6" s="622">
        <f t="shared" si="9"/>
        <v>45622963</v>
      </c>
      <c r="F6" s="622">
        <f t="shared" si="9"/>
        <v>45727212</v>
      </c>
      <c r="G6" s="622">
        <f t="shared" si="9"/>
        <v>35353119</v>
      </c>
      <c r="H6" s="622">
        <f t="shared" si="9"/>
        <v>35439680</v>
      </c>
      <c r="I6" s="622">
        <f t="shared" si="9"/>
        <v>35529348</v>
      </c>
      <c r="J6" s="622">
        <f t="shared" si="9"/>
        <v>35616339</v>
      </c>
      <c r="K6" s="622">
        <f t="shared" si="9"/>
        <v>35706454</v>
      </c>
      <c r="L6" s="622">
        <f t="shared" si="9"/>
        <v>35796797</v>
      </c>
      <c r="M6" s="622">
        <f t="shared" si="9"/>
        <v>35884444</v>
      </c>
      <c r="N6" s="622">
        <f t="shared" si="9"/>
        <v>35975236</v>
      </c>
      <c r="O6" s="681">
        <f t="shared" si="9"/>
        <v>36063320</v>
      </c>
      <c r="P6" s="682">
        <f>D6</f>
        <v>45507821</v>
      </c>
      <c r="Q6" s="680">
        <f t="shared" ref="Q6:AB6" si="10">P5</f>
        <v>150724461</v>
      </c>
      <c r="R6" s="622">
        <f t="shared" si="10"/>
        <v>56554787</v>
      </c>
      <c r="S6" s="622">
        <f t="shared" si="10"/>
        <v>56654377</v>
      </c>
      <c r="T6" s="622">
        <f t="shared" si="10"/>
        <v>56764843</v>
      </c>
      <c r="U6" s="622">
        <f t="shared" si="10"/>
        <v>56871949</v>
      </c>
      <c r="V6" s="622">
        <f t="shared" si="10"/>
        <v>56982839</v>
      </c>
      <c r="W6" s="622">
        <f t="shared" si="10"/>
        <v>57090358</v>
      </c>
      <c r="X6" s="622">
        <f t="shared" si="10"/>
        <v>57201673</v>
      </c>
      <c r="Y6" s="622">
        <f t="shared" si="10"/>
        <v>57313205</v>
      </c>
      <c r="Z6" s="622">
        <f t="shared" si="10"/>
        <v>57421347</v>
      </c>
      <c r="AA6" s="622">
        <f t="shared" si="10"/>
        <v>57533307</v>
      </c>
      <c r="AB6" s="681">
        <f t="shared" si="10"/>
        <v>57641863</v>
      </c>
      <c r="AC6" s="683">
        <f>Q6</f>
        <v>150724461</v>
      </c>
      <c r="AD6" s="873">
        <f t="shared" ref="AD6:AO6" si="11">AC5</f>
        <v>60636629</v>
      </c>
      <c r="AE6" s="872">
        <f t="shared" si="11"/>
        <v>60729840</v>
      </c>
      <c r="AF6" s="872">
        <f t="shared" si="11"/>
        <v>49819102</v>
      </c>
      <c r="AG6" s="872">
        <f t="shared" si="11"/>
        <v>49895682</v>
      </c>
      <c r="AH6" s="872">
        <f t="shared" si="11"/>
        <v>49969900</v>
      </c>
      <c r="AI6" s="872">
        <f t="shared" si="11"/>
        <v>50046715</v>
      </c>
      <c r="AJ6" s="872">
        <f t="shared" si="11"/>
        <v>50121164</v>
      </c>
      <c r="AK6" s="872">
        <f t="shared" si="11"/>
        <v>50198208</v>
      </c>
      <c r="AL6" s="872">
        <f t="shared" si="11"/>
        <v>50275368</v>
      </c>
      <c r="AM6" s="872">
        <f t="shared" si="11"/>
        <v>50350156</v>
      </c>
      <c r="AN6" s="872">
        <f t="shared" si="11"/>
        <v>50427554</v>
      </c>
      <c r="AO6" s="871">
        <f t="shared" si="11"/>
        <v>50502568</v>
      </c>
      <c r="AP6" s="884">
        <f>AD6</f>
        <v>60636629</v>
      </c>
      <c r="AQ6" s="891">
        <f t="shared" ref="AQ6:AX6" si="12">AP5</f>
        <v>50187227</v>
      </c>
      <c r="AR6" s="892">
        <f t="shared" si="12"/>
        <v>50263749</v>
      </c>
      <c r="AS6" s="892">
        <f t="shared" si="12"/>
        <v>50332964</v>
      </c>
      <c r="AT6" s="892">
        <f t="shared" si="12"/>
        <v>50409704</v>
      </c>
      <c r="AU6" s="892">
        <f t="shared" si="12"/>
        <v>50484077</v>
      </c>
      <c r="AV6" s="892">
        <f t="shared" si="12"/>
        <v>50561052</v>
      </c>
      <c r="AW6" s="907">
        <f t="shared" si="12"/>
        <v>50635654</v>
      </c>
      <c r="AX6" s="907">
        <f t="shared" si="12"/>
        <v>50712856</v>
      </c>
      <c r="AY6" s="914">
        <f>AX5</f>
        <v>50790173</v>
      </c>
      <c r="AZ6" s="1002">
        <f>AY5</f>
        <v>50865114</v>
      </c>
      <c r="BA6" s="1002">
        <f>AZ5</f>
        <v>50942669</v>
      </c>
      <c r="BB6" s="1003">
        <f>BA5</f>
        <v>51017831</v>
      </c>
      <c r="BC6" s="884">
        <f>AQ6</f>
        <v>50187227</v>
      </c>
      <c r="BD6" s="1015">
        <f t="shared" ref="BD6:BJ6" si="13">BC5</f>
        <v>90718579</v>
      </c>
      <c r="BE6" s="1015">
        <f t="shared" si="13"/>
        <v>90856133</v>
      </c>
      <c r="BF6" s="1024">
        <f t="shared" si="13"/>
        <v>90980561</v>
      </c>
      <c r="BG6" s="1038">
        <f t="shared" si="13"/>
        <v>91118518</v>
      </c>
      <c r="BH6" s="1038">
        <f t="shared" si="13"/>
        <v>91252222</v>
      </c>
      <c r="BI6" s="1038">
        <f t="shared" si="13"/>
        <v>91390586</v>
      </c>
      <c r="BJ6" s="1162">
        <f t="shared" si="13"/>
        <v>91524692</v>
      </c>
      <c r="BK6" s="1162">
        <f>BJ5</f>
        <v>91663475</v>
      </c>
      <c r="BL6" s="1162">
        <f>BK5</f>
        <v>91802466</v>
      </c>
      <c r="BM6" s="1162">
        <f>BL5</f>
        <v>91937171</v>
      </c>
      <c r="BN6" s="1162">
        <f>BM5</f>
        <v>92076578</v>
      </c>
      <c r="BO6" s="1162">
        <f>BN5</f>
        <v>92211691</v>
      </c>
      <c r="BP6" s="884">
        <f>BD6</f>
        <v>90718579</v>
      </c>
      <c r="BQ6" s="1224">
        <f t="shared" ref="BQ6:CB6" si="14">BP5</f>
        <v>91782763</v>
      </c>
      <c r="BR6" s="1224">
        <f t="shared" si="14"/>
        <v>91948733</v>
      </c>
      <c r="BS6" s="1224">
        <f t="shared" si="14"/>
        <v>92098900</v>
      </c>
      <c r="BT6" s="1224">
        <f t="shared" si="14"/>
        <v>92265442</v>
      </c>
      <c r="BU6" s="1224">
        <f t="shared" si="14"/>
        <v>92426898</v>
      </c>
      <c r="BV6" s="1224">
        <f t="shared" si="14"/>
        <v>92594036</v>
      </c>
      <c r="BW6" s="1224">
        <f t="shared" si="14"/>
        <v>92756070</v>
      </c>
      <c r="BX6" s="1224">
        <f t="shared" si="14"/>
        <v>92923801</v>
      </c>
      <c r="BY6" s="1224">
        <f t="shared" si="14"/>
        <v>87355686</v>
      </c>
      <c r="BZ6" s="1271">
        <f t="shared" si="14"/>
        <v>87508552</v>
      </c>
      <c r="CA6" s="1271">
        <f t="shared" si="14"/>
        <v>87666795</v>
      </c>
      <c r="CB6" s="1271">
        <f t="shared" si="14"/>
        <v>87820202</v>
      </c>
      <c r="CC6" s="1195">
        <f>BQ6</f>
        <v>91782763</v>
      </c>
      <c r="CD6" s="1293">
        <f>CC5</f>
        <v>132407981</v>
      </c>
      <c r="CE6" s="1293">
        <f>CD5</f>
        <v>132598278</v>
      </c>
      <c r="CF6" s="1293">
        <f>CE5</f>
        <v>132776538</v>
      </c>
      <c r="CG6" s="1333">
        <f t="shared" ref="CG6:CO6" si="15">CF5</f>
        <v>132967354</v>
      </c>
      <c r="CH6" s="1333">
        <f t="shared" si="15"/>
        <v>133152281</v>
      </c>
      <c r="CI6" s="1333">
        <f t="shared" si="15"/>
        <v>133343644</v>
      </c>
      <c r="CJ6" s="1333">
        <f t="shared" si="15"/>
        <v>133529091</v>
      </c>
      <c r="CK6" s="1333">
        <f t="shared" si="15"/>
        <v>133720987</v>
      </c>
      <c r="CL6" s="1333">
        <f t="shared" si="15"/>
        <v>133913169</v>
      </c>
      <c r="CM6" s="1368">
        <f t="shared" si="15"/>
        <v>134099410</v>
      </c>
      <c r="CN6" s="1368">
        <f t="shared" si="15"/>
        <v>134292128</v>
      </c>
      <c r="CO6" s="1368">
        <f t="shared" si="15"/>
        <v>134478897</v>
      </c>
      <c r="CP6" s="1294">
        <f>CD6</f>
        <v>132407981</v>
      </c>
      <c r="CQ6" s="1392">
        <f t="shared" ref="CQ6:DB6" si="16">CP5</f>
        <v>133837464</v>
      </c>
      <c r="CR6" s="1392">
        <f t="shared" si="16"/>
        <v>120208590</v>
      </c>
      <c r="CS6" s="1392">
        <f t="shared" si="16"/>
        <v>120314071</v>
      </c>
      <c r="CT6" s="1392">
        <f t="shared" si="16"/>
        <v>120430966</v>
      </c>
      <c r="CU6" s="1392">
        <f t="shared" si="16"/>
        <v>120544207</v>
      </c>
      <c r="CV6" s="1392">
        <f t="shared" si="16"/>
        <v>120661329</v>
      </c>
      <c r="CW6" s="1392">
        <f t="shared" si="16"/>
        <v>120774777</v>
      </c>
      <c r="CX6" s="1392">
        <f t="shared" si="16"/>
        <v>120892126</v>
      </c>
      <c r="CY6" s="1392">
        <f t="shared" si="16"/>
        <v>121009587</v>
      </c>
      <c r="CZ6" s="1431">
        <f t="shared" si="16"/>
        <v>109449028</v>
      </c>
      <c r="DA6" s="1431">
        <f t="shared" si="16"/>
        <v>109555367</v>
      </c>
      <c r="DB6" s="1431">
        <f t="shared" si="16"/>
        <v>109658387</v>
      </c>
      <c r="DC6" s="1393">
        <f>CQ6</f>
        <v>133837464</v>
      </c>
      <c r="DD6" s="1451">
        <f t="shared" ref="DD6:DO6" si="17">DC5</f>
        <v>134030704</v>
      </c>
      <c r="DE6" s="1451">
        <f t="shared" si="17"/>
        <v>134202549</v>
      </c>
      <c r="DF6" s="1451">
        <f t="shared" si="17"/>
        <v>134357941</v>
      </c>
      <c r="DG6" s="1451">
        <f t="shared" si="17"/>
        <v>134530197</v>
      </c>
      <c r="DH6" s="1451">
        <f t="shared" si="17"/>
        <v>134697107</v>
      </c>
      <c r="DI6" s="1451">
        <f t="shared" si="17"/>
        <v>134869794</v>
      </c>
      <c r="DJ6" s="1451">
        <f t="shared" si="17"/>
        <v>102549799</v>
      </c>
      <c r="DK6" s="1451">
        <f t="shared" si="17"/>
        <v>102549799</v>
      </c>
      <c r="DL6" s="1451">
        <f t="shared" si="17"/>
        <v>102549799</v>
      </c>
      <c r="DM6" s="1451">
        <f t="shared" si="17"/>
        <v>102549799</v>
      </c>
      <c r="DN6" s="1451">
        <f t="shared" si="17"/>
        <v>102549799</v>
      </c>
      <c r="DO6" s="1451">
        <f t="shared" si="17"/>
        <v>102549799</v>
      </c>
      <c r="DP6" s="1452">
        <f>DD6</f>
        <v>134030704</v>
      </c>
    </row>
    <row r="7" spans="1:120" ht="15" customHeight="1">
      <c r="A7" s="626"/>
      <c r="B7" s="678" t="s">
        <v>426</v>
      </c>
      <c r="C7" s="679">
        <v>45489277</v>
      </c>
      <c r="D7" s="680"/>
      <c r="E7" s="622"/>
      <c r="F7" s="622"/>
      <c r="G7" s="622"/>
      <c r="H7" s="622"/>
      <c r="I7" s="622"/>
      <c r="J7" s="622"/>
      <c r="K7" s="622"/>
      <c r="L7" s="622"/>
      <c r="M7" s="622"/>
      <c r="N7" s="622"/>
      <c r="O7" s="681">
        <v>114861923</v>
      </c>
      <c r="P7" s="682">
        <f>SUM(D7:O7)</f>
        <v>114861923</v>
      </c>
      <c r="Q7" s="680"/>
      <c r="R7" s="622"/>
      <c r="S7" s="622"/>
      <c r="T7" s="622"/>
      <c r="U7" s="622"/>
      <c r="V7" s="622"/>
      <c r="W7" s="622"/>
      <c r="X7" s="622"/>
      <c r="Y7" s="622"/>
      <c r="Z7" s="622"/>
      <c r="AA7" s="622"/>
      <c r="AB7" s="681">
        <v>10000000</v>
      </c>
      <c r="AC7" s="683">
        <f>SUM(Q7:AB7)</f>
        <v>10000000</v>
      </c>
      <c r="AD7" s="873"/>
      <c r="AE7" s="872"/>
      <c r="AF7" s="872"/>
      <c r="AG7" s="872"/>
      <c r="AH7" s="872"/>
      <c r="AI7" s="872"/>
      <c r="AJ7" s="872"/>
      <c r="AK7" s="872"/>
      <c r="AL7" s="872"/>
      <c r="AM7" s="872"/>
      <c r="AN7" s="872"/>
      <c r="AO7" s="871"/>
      <c r="AP7" s="884">
        <f>SUM(AD7:AO7)</f>
        <v>0</v>
      </c>
      <c r="AQ7" s="891"/>
      <c r="AR7" s="892"/>
      <c r="AS7" s="892"/>
      <c r="AT7" s="892"/>
      <c r="AU7" s="892"/>
      <c r="AV7" s="892"/>
      <c r="AW7" s="907"/>
      <c r="AX7" s="907"/>
      <c r="AY7" s="914"/>
      <c r="AZ7" s="1002"/>
      <c r="BA7" s="1002"/>
      <c r="BB7" s="1003">
        <v>40000000</v>
      </c>
      <c r="BC7" s="884">
        <f>SUM(AQ7:BB7)</f>
        <v>40000000</v>
      </c>
      <c r="BD7" s="1015"/>
      <c r="BE7" s="1002"/>
      <c r="BF7" s="1025"/>
      <c r="BG7" s="1039"/>
      <c r="BH7" s="1039"/>
      <c r="BI7" s="1039"/>
      <c r="BJ7" s="1163"/>
      <c r="BK7" s="1163"/>
      <c r="BL7" s="1163"/>
      <c r="BM7" s="1163"/>
      <c r="BN7" s="1163"/>
      <c r="BO7" s="1175"/>
      <c r="BP7" s="884">
        <f>SUM(BD7:BO7)</f>
        <v>0</v>
      </c>
      <c r="BQ7" s="1224"/>
      <c r="BR7" s="1225"/>
      <c r="BS7" s="1225"/>
      <c r="BT7" s="1225"/>
      <c r="BU7" s="1225"/>
      <c r="BV7" s="1225"/>
      <c r="BW7" s="1225"/>
      <c r="BX7" s="1225"/>
      <c r="BY7" s="1225"/>
      <c r="BZ7" s="1163"/>
      <c r="CA7" s="1163"/>
      <c r="CB7" s="1175">
        <v>45000000</v>
      </c>
      <c r="CC7" s="1195">
        <f>SUM(BQ7:CB7)</f>
        <v>45000000</v>
      </c>
      <c r="CD7" s="1293"/>
      <c r="CE7" s="1295"/>
      <c r="CF7" s="1295"/>
      <c r="CG7" s="1334"/>
      <c r="CH7" s="1334"/>
      <c r="CI7" s="1334"/>
      <c r="CJ7" s="1334"/>
      <c r="CK7" s="1334"/>
      <c r="CL7" s="1334"/>
      <c r="CM7" s="1369"/>
      <c r="CN7" s="1369"/>
      <c r="CO7" s="1370"/>
      <c r="CP7" s="1294">
        <f>SUM(CD7:CO7)</f>
        <v>0</v>
      </c>
      <c r="CQ7" s="1392"/>
      <c r="CR7" s="1394"/>
      <c r="CS7" s="1394"/>
      <c r="CT7" s="1394"/>
      <c r="CU7" s="1394"/>
      <c r="CV7" s="1394"/>
      <c r="CW7" s="1394"/>
      <c r="CX7" s="1394"/>
      <c r="CY7" s="1394"/>
      <c r="CZ7" s="1432"/>
      <c r="DA7" s="1432"/>
      <c r="DB7" s="1433">
        <v>25000000</v>
      </c>
      <c r="DC7" s="1393">
        <f>SUM(CQ7:DB7)</f>
        <v>25000000</v>
      </c>
      <c r="DD7" s="1451"/>
      <c r="DE7" s="1453"/>
      <c r="DF7" s="1453"/>
      <c r="DG7" s="1453"/>
      <c r="DH7" s="1453"/>
      <c r="DI7" s="1453"/>
      <c r="DJ7" s="1453"/>
      <c r="DK7" s="1453"/>
      <c r="DL7" s="1453"/>
      <c r="DM7" s="1453"/>
      <c r="DN7" s="1453"/>
      <c r="DO7" s="1454"/>
      <c r="DP7" s="1452">
        <f>SUM(DD7:DO7)</f>
        <v>0</v>
      </c>
    </row>
    <row r="8" spans="1:120" ht="15" customHeight="1">
      <c r="A8" s="626"/>
      <c r="B8" s="678" t="s">
        <v>427</v>
      </c>
      <c r="C8" s="679"/>
      <c r="D8" s="680"/>
      <c r="E8" s="622"/>
      <c r="F8" s="622">
        <v>10477827</v>
      </c>
      <c r="G8" s="622"/>
      <c r="H8" s="622"/>
      <c r="I8" s="622"/>
      <c r="J8" s="622"/>
      <c r="K8" s="622"/>
      <c r="L8" s="622"/>
      <c r="M8" s="622"/>
      <c r="N8" s="622"/>
      <c r="O8" s="681"/>
      <c r="P8" s="682">
        <f>SUM(D8:O8)</f>
        <v>10477827</v>
      </c>
      <c r="Q8" s="680">
        <v>94439817</v>
      </c>
      <c r="R8" s="622"/>
      <c r="S8" s="622"/>
      <c r="T8" s="622"/>
      <c r="U8" s="622"/>
      <c r="V8" s="622"/>
      <c r="W8" s="622"/>
      <c r="X8" s="622"/>
      <c r="Y8" s="622"/>
      <c r="Z8" s="622"/>
      <c r="AA8" s="622"/>
      <c r="AB8" s="681">
        <v>6596203</v>
      </c>
      <c r="AC8" s="683">
        <f>SUM(Q8:AB8)</f>
        <v>101036020</v>
      </c>
      <c r="AD8" s="873"/>
      <c r="AE8" s="872">
        <v>10991527</v>
      </c>
      <c r="AF8" s="872"/>
      <c r="AG8" s="872"/>
      <c r="AH8" s="872"/>
      <c r="AI8" s="872"/>
      <c r="AJ8" s="872"/>
      <c r="AK8" s="872"/>
      <c r="AL8" s="872"/>
      <c r="AM8" s="872"/>
      <c r="AN8" s="872"/>
      <c r="AO8" s="871"/>
      <c r="AP8" s="884">
        <f>SUM(AD8:AO8)</f>
        <v>10991527</v>
      </c>
      <c r="AQ8" s="891"/>
      <c r="AR8" s="892"/>
      <c r="AS8" s="892"/>
      <c r="AT8" s="892"/>
      <c r="AU8" s="892"/>
      <c r="AV8" s="892"/>
      <c r="AW8" s="907"/>
      <c r="AX8" s="907"/>
      <c r="AY8" s="914"/>
      <c r="AZ8" s="1002"/>
      <c r="BA8" s="1002"/>
      <c r="BB8" s="1003"/>
      <c r="BC8" s="884">
        <f>SUM(AQ8:BB8)</f>
        <v>0</v>
      </c>
      <c r="BD8" s="1015"/>
      <c r="BE8" s="1002"/>
      <c r="BF8" s="1025"/>
      <c r="BG8" s="1039"/>
      <c r="BH8" s="1039"/>
      <c r="BI8" s="1039"/>
      <c r="BJ8" s="1163"/>
      <c r="BK8" s="1163"/>
      <c r="BL8" s="1163"/>
      <c r="BM8" s="1163"/>
      <c r="BN8" s="1163"/>
      <c r="BO8" s="1175"/>
      <c r="BP8" s="884">
        <f>SUM(BD8:BO8)</f>
        <v>0</v>
      </c>
      <c r="BQ8" s="1224"/>
      <c r="BR8" s="1225"/>
      <c r="BS8" s="1225"/>
      <c r="BT8" s="1225"/>
      <c r="BU8" s="1225"/>
      <c r="BV8" s="1225"/>
      <c r="BW8" s="1225"/>
      <c r="BX8" s="1225">
        <v>5734813</v>
      </c>
      <c r="BY8" s="1225"/>
      <c r="BZ8" s="1163"/>
      <c r="CA8" s="1163"/>
      <c r="CB8" s="1175"/>
      <c r="CC8" s="1195">
        <f>SUM(BQ8:CB8)</f>
        <v>5734813</v>
      </c>
      <c r="CD8" s="1293"/>
      <c r="CE8" s="1295"/>
      <c r="CF8" s="1295"/>
      <c r="CG8" s="1334"/>
      <c r="CH8" s="1334"/>
      <c r="CI8" s="1334"/>
      <c r="CJ8" s="1334"/>
      <c r="CK8" s="1334"/>
      <c r="CL8" s="1334"/>
      <c r="CM8" s="1369"/>
      <c r="CN8" s="1369"/>
      <c r="CO8" s="1370"/>
      <c r="CP8" s="1294">
        <f>SUM(CD8:CO8)</f>
        <v>0</v>
      </c>
      <c r="CQ8" s="1392">
        <v>13751601</v>
      </c>
      <c r="CR8" s="1394"/>
      <c r="CS8" s="1394"/>
      <c r="CT8" s="1394"/>
      <c r="CU8" s="1394"/>
      <c r="CV8" s="1394"/>
      <c r="CW8" s="1394"/>
      <c r="CX8" s="1394"/>
      <c r="CY8" s="1394">
        <v>11668110</v>
      </c>
      <c r="CZ8" s="1432"/>
      <c r="DA8" s="1432"/>
      <c r="DB8" s="1433"/>
      <c r="DC8" s="1393">
        <f>SUM(CQ8:DB8)</f>
        <v>25419711</v>
      </c>
      <c r="DD8" s="1451"/>
      <c r="DE8" s="1453"/>
      <c r="DF8" s="1453"/>
      <c r="DG8" s="1453"/>
      <c r="DH8" s="1453"/>
      <c r="DI8" s="1453">
        <v>32451111</v>
      </c>
      <c r="DJ8" s="1453"/>
      <c r="DK8" s="1453"/>
      <c r="DL8" s="1453"/>
      <c r="DM8" s="1453"/>
      <c r="DN8" s="1453"/>
      <c r="DO8" s="1454"/>
      <c r="DP8" s="1452">
        <f>SUM(DD8:DO8)</f>
        <v>32451111</v>
      </c>
    </row>
    <row r="9" spans="1:120" ht="15" customHeight="1">
      <c r="A9" s="626"/>
      <c r="B9" s="678" t="s">
        <v>428</v>
      </c>
      <c r="C9" s="679">
        <v>18544</v>
      </c>
      <c r="D9" s="680">
        <v>115142</v>
      </c>
      <c r="E9" s="622">
        <v>104249</v>
      </c>
      <c r="F9" s="622">
        <v>103734</v>
      </c>
      <c r="G9" s="622">
        <v>86561</v>
      </c>
      <c r="H9" s="622">
        <v>89668</v>
      </c>
      <c r="I9" s="622">
        <v>86991</v>
      </c>
      <c r="J9" s="622">
        <v>90115</v>
      </c>
      <c r="K9" s="622">
        <v>90343</v>
      </c>
      <c r="L9" s="622">
        <v>87647</v>
      </c>
      <c r="M9" s="622">
        <v>90792</v>
      </c>
      <c r="N9" s="622">
        <v>88084</v>
      </c>
      <c r="O9" s="681">
        <v>102238</v>
      </c>
      <c r="P9" s="682">
        <f>SUM(D9:O9)</f>
        <v>1135564</v>
      </c>
      <c r="Q9" s="680">
        <v>270143</v>
      </c>
      <c r="R9" s="622">
        <v>99590</v>
      </c>
      <c r="S9" s="622">
        <v>110466</v>
      </c>
      <c r="T9" s="622">
        <v>107106</v>
      </c>
      <c r="U9" s="622">
        <v>110890</v>
      </c>
      <c r="V9" s="622">
        <v>107519</v>
      </c>
      <c r="W9" s="622">
        <v>111315</v>
      </c>
      <c r="X9" s="622">
        <v>111532</v>
      </c>
      <c r="Y9" s="622">
        <v>108142</v>
      </c>
      <c r="Z9" s="622">
        <v>111960</v>
      </c>
      <c r="AA9" s="622">
        <v>108556</v>
      </c>
      <c r="AB9" s="681">
        <v>103346</v>
      </c>
      <c r="AC9" s="683">
        <f>SUM(Q9:AB9)</f>
        <v>1460565</v>
      </c>
      <c r="AD9" s="873">
        <v>93211</v>
      </c>
      <c r="AE9" s="872">
        <v>80789</v>
      </c>
      <c r="AF9" s="872">
        <v>76580</v>
      </c>
      <c r="AG9" s="872">
        <v>74218</v>
      </c>
      <c r="AH9" s="872">
        <v>76815</v>
      </c>
      <c r="AI9" s="872">
        <v>74449</v>
      </c>
      <c r="AJ9" s="872">
        <v>77044</v>
      </c>
      <c r="AK9" s="872">
        <v>77160</v>
      </c>
      <c r="AL9" s="872">
        <v>74788</v>
      </c>
      <c r="AM9" s="872">
        <v>77398</v>
      </c>
      <c r="AN9" s="872">
        <v>75014</v>
      </c>
      <c r="AO9" s="871">
        <v>77506</v>
      </c>
      <c r="AP9" s="884">
        <f>SUM(AD9:AO9)</f>
        <v>934972</v>
      </c>
      <c r="AQ9" s="891">
        <v>76522</v>
      </c>
      <c r="AR9" s="892">
        <v>69215</v>
      </c>
      <c r="AS9" s="892">
        <v>76740</v>
      </c>
      <c r="AT9" s="892">
        <v>74373</v>
      </c>
      <c r="AU9" s="892">
        <v>76975</v>
      </c>
      <c r="AV9" s="892">
        <v>74602</v>
      </c>
      <c r="AW9" s="907">
        <v>77202</v>
      </c>
      <c r="AX9" s="907">
        <v>77317</v>
      </c>
      <c r="AY9" s="914">
        <v>74941</v>
      </c>
      <c r="AZ9" s="1002">
        <v>77555</v>
      </c>
      <c r="BA9" s="1002">
        <v>75162</v>
      </c>
      <c r="BB9" s="1003">
        <v>85498</v>
      </c>
      <c r="BC9" s="884">
        <f>SUM(AQ9:BB9)</f>
        <v>916102</v>
      </c>
      <c r="BD9" s="1015">
        <v>137554</v>
      </c>
      <c r="BE9" s="1002">
        <v>124428</v>
      </c>
      <c r="BF9" s="1025">
        <v>137957</v>
      </c>
      <c r="BG9" s="1039">
        <v>133704</v>
      </c>
      <c r="BH9" s="1039">
        <v>138364</v>
      </c>
      <c r="BI9" s="1039">
        <v>134106</v>
      </c>
      <c r="BJ9" s="1163">
        <v>138783</v>
      </c>
      <c r="BK9" s="1163">
        <v>138991</v>
      </c>
      <c r="BL9" s="1163">
        <v>134705</v>
      </c>
      <c r="BM9" s="1163">
        <v>139407</v>
      </c>
      <c r="BN9" s="1163">
        <v>135113</v>
      </c>
      <c r="BO9" s="1175">
        <v>142302</v>
      </c>
      <c r="BP9" s="884">
        <f>SUM(BD9:BO9)</f>
        <v>1635414</v>
      </c>
      <c r="BQ9" s="1224">
        <v>165970</v>
      </c>
      <c r="BR9" s="1225">
        <v>150167</v>
      </c>
      <c r="BS9" s="1225">
        <f>482679-BQ9-BR9</f>
        <v>166542</v>
      </c>
      <c r="BT9" s="1225">
        <v>161456</v>
      </c>
      <c r="BU9" s="1225">
        <v>167138</v>
      </c>
      <c r="BV9" s="1225">
        <v>162034</v>
      </c>
      <c r="BW9" s="1225">
        <v>167731</v>
      </c>
      <c r="BX9" s="1225">
        <v>166698</v>
      </c>
      <c r="BY9" s="1225">
        <v>152866</v>
      </c>
      <c r="BZ9" s="1163">
        <v>158243</v>
      </c>
      <c r="CA9" s="1163">
        <v>153407</v>
      </c>
      <c r="CB9" s="1175">
        <v>155459</v>
      </c>
      <c r="CC9" s="1195">
        <f>SUM(BQ9:CB9)</f>
        <v>1927711</v>
      </c>
      <c r="CD9" s="1293">
        <v>190297</v>
      </c>
      <c r="CE9" s="1295">
        <v>178260</v>
      </c>
      <c r="CF9" s="1295">
        <v>190816</v>
      </c>
      <c r="CG9" s="1334">
        <v>184927</v>
      </c>
      <c r="CH9" s="1334">
        <v>191363</v>
      </c>
      <c r="CI9" s="1334">
        <v>185447</v>
      </c>
      <c r="CJ9" s="1334">
        <v>191896</v>
      </c>
      <c r="CK9" s="1334">
        <v>192182</v>
      </c>
      <c r="CL9" s="1334">
        <v>186241</v>
      </c>
      <c r="CM9" s="1369">
        <v>192718</v>
      </c>
      <c r="CN9" s="1369">
        <v>186769</v>
      </c>
      <c r="CO9" s="1370">
        <v>189117</v>
      </c>
      <c r="CP9" s="1294">
        <f>SUM(CD9:CO9)</f>
        <v>2260033</v>
      </c>
      <c r="CQ9" s="1392">
        <v>122727</v>
      </c>
      <c r="CR9" s="1394">
        <v>105481</v>
      </c>
      <c r="CS9" s="1394">
        <v>116895</v>
      </c>
      <c r="CT9" s="1394">
        <v>113241</v>
      </c>
      <c r="CU9" s="1394">
        <v>117122</v>
      </c>
      <c r="CV9" s="1394">
        <v>113448</v>
      </c>
      <c r="CW9" s="1394">
        <v>117349</v>
      </c>
      <c r="CX9" s="1394">
        <v>117461</v>
      </c>
      <c r="CY9" s="1394">
        <v>107551</v>
      </c>
      <c r="CZ9" s="1432">
        <v>106339</v>
      </c>
      <c r="DA9" s="1432">
        <v>103020</v>
      </c>
      <c r="DB9" s="1433">
        <v>110757</v>
      </c>
      <c r="DC9" s="1393">
        <f>SUM(CQ9:DB9)</f>
        <v>1351391</v>
      </c>
      <c r="DD9" s="1451">
        <v>171845</v>
      </c>
      <c r="DE9" s="1453">
        <v>155392</v>
      </c>
      <c r="DF9" s="1453">
        <v>172256</v>
      </c>
      <c r="DG9" s="1453">
        <v>166910</v>
      </c>
      <c r="DH9" s="1453">
        <v>172687</v>
      </c>
      <c r="DI9" s="1453">
        <v>131116</v>
      </c>
      <c r="DJ9" s="1453"/>
      <c r="DK9" s="1453"/>
      <c r="DL9" s="1453"/>
      <c r="DM9" s="1453"/>
      <c r="DN9" s="1453"/>
      <c r="DO9" s="1454"/>
      <c r="DP9" s="1452">
        <f>SUM(DD9:DO9)</f>
        <v>970206</v>
      </c>
    </row>
    <row r="10" spans="1:120" ht="15" customHeight="1">
      <c r="A10" s="626"/>
      <c r="B10" s="684" t="s">
        <v>429</v>
      </c>
      <c r="C10" s="685"/>
      <c r="D10" s="686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8">
        <v>303020</v>
      </c>
      <c r="P10" s="689">
        <f>SUM(D10:O10)</f>
        <v>303020</v>
      </c>
      <c r="Q10" s="686"/>
      <c r="R10" s="687"/>
      <c r="S10" s="687"/>
      <c r="T10" s="687"/>
      <c r="U10" s="687"/>
      <c r="V10" s="687"/>
      <c r="W10" s="687"/>
      <c r="X10" s="687"/>
      <c r="Y10" s="687"/>
      <c r="Z10" s="687"/>
      <c r="AA10" s="687"/>
      <c r="AB10" s="688">
        <v>512377</v>
      </c>
      <c r="AC10" s="690">
        <f>SUM(Q10:AB10)</f>
        <v>512377</v>
      </c>
      <c r="AD10" s="830"/>
      <c r="AE10" s="831"/>
      <c r="AF10" s="831"/>
      <c r="AG10" s="831"/>
      <c r="AH10" s="831"/>
      <c r="AI10" s="831"/>
      <c r="AJ10" s="831"/>
      <c r="AK10" s="831"/>
      <c r="AL10" s="831"/>
      <c r="AM10" s="831"/>
      <c r="AN10" s="831"/>
      <c r="AO10" s="832">
        <v>392847</v>
      </c>
      <c r="AP10" s="883">
        <f>SUM(AD10:AO10)</f>
        <v>392847</v>
      </c>
      <c r="AQ10" s="893"/>
      <c r="AR10" s="894"/>
      <c r="AS10" s="894"/>
      <c r="AT10" s="894"/>
      <c r="AU10" s="894"/>
      <c r="AV10" s="894"/>
      <c r="AW10" s="908"/>
      <c r="AX10" s="908"/>
      <c r="AY10" s="915"/>
      <c r="AZ10" s="1004"/>
      <c r="BA10" s="1004"/>
      <c r="BB10" s="1005">
        <v>384750</v>
      </c>
      <c r="BC10" s="883">
        <f>SUM(AQ10:BB10)</f>
        <v>384750</v>
      </c>
      <c r="BD10" s="1016"/>
      <c r="BE10" s="1004"/>
      <c r="BF10" s="1026"/>
      <c r="BG10" s="1040"/>
      <c r="BH10" s="1040"/>
      <c r="BI10" s="1040"/>
      <c r="BJ10" s="1164"/>
      <c r="BK10" s="1164"/>
      <c r="BL10" s="1164"/>
      <c r="BM10" s="1176"/>
      <c r="BN10" s="1176"/>
      <c r="BO10" s="1177">
        <f>310750+260480</f>
        <v>571230</v>
      </c>
      <c r="BP10" s="883">
        <f>SUM(BD10:BO10)</f>
        <v>571230</v>
      </c>
      <c r="BQ10" s="1226"/>
      <c r="BR10" s="1227"/>
      <c r="BS10" s="1227"/>
      <c r="BT10" s="1227"/>
      <c r="BU10" s="1227"/>
      <c r="BV10" s="1227"/>
      <c r="BW10" s="1227"/>
      <c r="BX10" s="1227"/>
      <c r="BY10" s="1227"/>
      <c r="BZ10" s="1176"/>
      <c r="CA10" s="1176"/>
      <c r="CB10" s="1177">
        <v>567680</v>
      </c>
      <c r="CC10" s="1196">
        <f>SUM(BQ10:CB10)</f>
        <v>567680</v>
      </c>
      <c r="CD10" s="1226"/>
      <c r="CE10" s="1296"/>
      <c r="CF10" s="1296"/>
      <c r="CG10" s="1335"/>
      <c r="CH10" s="1335"/>
      <c r="CI10" s="1335"/>
      <c r="CJ10" s="1335"/>
      <c r="CK10" s="1335"/>
      <c r="CL10" s="1335"/>
      <c r="CM10" s="1371"/>
      <c r="CN10" s="1371"/>
      <c r="CO10" s="1372">
        <f>451820+378730</f>
        <v>830550</v>
      </c>
      <c r="CP10" s="1297">
        <f>SUM(CD10:CO10)</f>
        <v>830550</v>
      </c>
      <c r="CQ10" s="1395"/>
      <c r="CR10" s="1396"/>
      <c r="CS10" s="1396"/>
      <c r="CT10" s="1396"/>
      <c r="CU10" s="1396"/>
      <c r="CV10" s="1396"/>
      <c r="CW10" s="1396"/>
      <c r="CX10" s="1396"/>
      <c r="CY10" s="1396"/>
      <c r="CZ10" s="1434"/>
      <c r="DA10" s="1434"/>
      <c r="DB10" s="1435">
        <v>738440</v>
      </c>
      <c r="DC10" s="1397">
        <f>SUM(CQ10:DB10)</f>
        <v>738440</v>
      </c>
      <c r="DD10" s="1395"/>
      <c r="DE10" s="1455"/>
      <c r="DF10" s="1455"/>
      <c r="DG10" s="1455"/>
      <c r="DH10" s="1455"/>
      <c r="DI10" s="1455"/>
      <c r="DJ10" s="1455"/>
      <c r="DK10" s="1455"/>
      <c r="DL10" s="1455"/>
      <c r="DM10" s="1455"/>
      <c r="DN10" s="1455"/>
      <c r="DO10" s="1456"/>
      <c r="DP10" s="1457">
        <f>SUM(DD10:DO10)</f>
        <v>0</v>
      </c>
    </row>
    <row r="11" spans="1:120" s="30" customFormat="1" ht="15" customHeight="1">
      <c r="A11" s="691" t="s">
        <v>109</v>
      </c>
      <c r="B11" s="692"/>
      <c r="C11" s="693">
        <f>SUM(C12:C16)</f>
        <v>48360747</v>
      </c>
      <c r="D11" s="694">
        <f>D12+D13-D14+D15-D16</f>
        <v>48499863</v>
      </c>
      <c r="E11" s="457">
        <f t="shared" ref="E11:O11" si="18">E12+E13-E14+E15-E16</f>
        <v>48625861</v>
      </c>
      <c r="F11" s="457">
        <f t="shared" si="18"/>
        <v>48765741</v>
      </c>
      <c r="G11" s="457">
        <f t="shared" si="18"/>
        <v>48901491</v>
      </c>
      <c r="H11" s="457">
        <f t="shared" si="18"/>
        <v>49042163</v>
      </c>
      <c r="I11" s="457">
        <f t="shared" si="18"/>
        <v>49178683</v>
      </c>
      <c r="J11" s="457">
        <f t="shared" si="18"/>
        <v>49320152</v>
      </c>
      <c r="K11" s="457">
        <f t="shared" si="18"/>
        <v>49462029</v>
      </c>
      <c r="L11" s="457">
        <f t="shared" si="18"/>
        <v>49599717</v>
      </c>
      <c r="M11" s="457">
        <f t="shared" si="18"/>
        <v>49742398</v>
      </c>
      <c r="N11" s="457">
        <f t="shared" si="18"/>
        <v>49880867</v>
      </c>
      <c r="O11" s="695">
        <f t="shared" si="18"/>
        <v>49873676</v>
      </c>
      <c r="P11" s="696">
        <f>P12+P13-P14+P15-P16</f>
        <v>49873676</v>
      </c>
      <c r="Q11" s="694">
        <f>Q12+Q13-Q14+Q15-Q16</f>
        <v>18870264</v>
      </c>
      <c r="R11" s="457">
        <f t="shared" ref="R11:AB11" si="19">R12+R13-R14+R15-R16</f>
        <v>18913101</v>
      </c>
      <c r="S11" s="457">
        <f t="shared" si="19"/>
        <v>18960641</v>
      </c>
      <c r="T11" s="457">
        <f t="shared" si="19"/>
        <v>19006762</v>
      </c>
      <c r="U11" s="457">
        <f t="shared" si="19"/>
        <v>19054538</v>
      </c>
      <c r="V11" s="457">
        <f t="shared" si="19"/>
        <v>19100887</v>
      </c>
      <c r="W11" s="457">
        <f t="shared" si="19"/>
        <v>19148900</v>
      </c>
      <c r="X11" s="457">
        <f t="shared" si="19"/>
        <v>19197033</v>
      </c>
      <c r="Y11" s="457">
        <f t="shared" si="19"/>
        <v>19243728</v>
      </c>
      <c r="Z11" s="457">
        <f t="shared" si="19"/>
        <v>19292100</v>
      </c>
      <c r="AA11" s="457">
        <f t="shared" si="19"/>
        <v>19339027</v>
      </c>
      <c r="AB11" s="695">
        <f t="shared" si="19"/>
        <v>19224269</v>
      </c>
      <c r="AC11" s="697">
        <f>AC12+AC13-AC14+AC15-AC16</f>
        <v>19224269</v>
      </c>
      <c r="AD11" s="833">
        <f>AD12+AD13-AD14+AD15-AD16</f>
        <v>19264518</v>
      </c>
      <c r="AE11" s="457">
        <f t="shared" ref="AE11:AO11" si="20">AE12+AE13-AE14+AE15-AE16</f>
        <v>19302246</v>
      </c>
      <c r="AF11" s="457">
        <f t="shared" si="20"/>
        <v>19342658</v>
      </c>
      <c r="AG11" s="457">
        <f t="shared" si="20"/>
        <v>19381847</v>
      </c>
      <c r="AH11" s="457">
        <f t="shared" si="20"/>
        <v>19422426</v>
      </c>
      <c r="AI11" s="457">
        <f t="shared" si="20"/>
        <v>19461776</v>
      </c>
      <c r="AJ11" s="457">
        <f t="shared" si="20"/>
        <v>19502522</v>
      </c>
      <c r="AK11" s="457">
        <f t="shared" si="20"/>
        <v>19543353</v>
      </c>
      <c r="AL11" s="457">
        <f t="shared" si="20"/>
        <v>19582949</v>
      </c>
      <c r="AM11" s="457">
        <f t="shared" si="20"/>
        <v>19623949</v>
      </c>
      <c r="AN11" s="457">
        <f t="shared" si="20"/>
        <v>19663707</v>
      </c>
      <c r="AO11" s="834">
        <f t="shared" si="20"/>
        <v>29586594</v>
      </c>
      <c r="AP11" s="697">
        <f>AP12+AP13-AP14+AP15-AP16</f>
        <v>29586594</v>
      </c>
      <c r="AQ11" s="895">
        <f>AQ12+AQ13-AQ14+AQ15-AQ16</f>
        <v>29637631</v>
      </c>
      <c r="AR11" s="896">
        <f t="shared" ref="AR11:BB11" si="21">AR12+AR13-AR14+AR15-AR16</f>
        <v>29683803</v>
      </c>
      <c r="AS11" s="896">
        <f t="shared" si="21"/>
        <v>29735007</v>
      </c>
      <c r="AT11" s="896">
        <f t="shared" si="21"/>
        <v>29784644</v>
      </c>
      <c r="AU11" s="896">
        <f t="shared" si="21"/>
        <v>29836022</v>
      </c>
      <c r="AV11" s="896">
        <f t="shared" si="21"/>
        <v>29885826</v>
      </c>
      <c r="AW11" s="896">
        <f t="shared" si="21"/>
        <v>29937379</v>
      </c>
      <c r="AX11" s="896">
        <f t="shared" si="21"/>
        <v>29989020</v>
      </c>
      <c r="AY11" s="896">
        <f t="shared" si="21"/>
        <v>30039080</v>
      </c>
      <c r="AZ11" s="896">
        <f t="shared" si="21"/>
        <v>30090897</v>
      </c>
      <c r="BA11" s="896">
        <f t="shared" si="21"/>
        <v>30141127</v>
      </c>
      <c r="BB11" s="1006">
        <f t="shared" si="21"/>
        <v>30114712</v>
      </c>
      <c r="BC11" s="697">
        <f t="shared" ref="BC11:BI11" si="22">BC12+BC13-BC14+BC15-BC16</f>
        <v>30114712</v>
      </c>
      <c r="BD11" s="1017">
        <f t="shared" si="22"/>
        <v>30089645</v>
      </c>
      <c r="BE11" s="1017">
        <f t="shared" si="22"/>
        <v>30138107</v>
      </c>
      <c r="BF11" s="1017">
        <f t="shared" si="22"/>
        <v>30191852</v>
      </c>
      <c r="BG11" s="1041">
        <f t="shared" si="22"/>
        <v>30243956</v>
      </c>
      <c r="BH11" s="1041">
        <f t="shared" si="22"/>
        <v>30297890</v>
      </c>
      <c r="BI11" s="1041">
        <f t="shared" si="22"/>
        <v>30350177</v>
      </c>
      <c r="BJ11" s="1165">
        <f t="shared" ref="BJ11:BX11" si="23">BJ12+BJ13-BJ14+BJ15-BJ16</f>
        <v>30404301</v>
      </c>
      <c r="BK11" s="1165">
        <f t="shared" si="23"/>
        <v>30458521</v>
      </c>
      <c r="BL11" s="1165">
        <f t="shared" si="23"/>
        <v>30511085</v>
      </c>
      <c r="BM11" s="1165">
        <f t="shared" si="23"/>
        <v>30565495</v>
      </c>
      <c r="BN11" s="1165">
        <f t="shared" si="23"/>
        <v>30618244</v>
      </c>
      <c r="BO11" s="1165">
        <f t="shared" si="23"/>
        <v>30596425</v>
      </c>
      <c r="BP11" s="697">
        <f t="shared" si="23"/>
        <v>30596425</v>
      </c>
      <c r="BQ11" s="1165">
        <f t="shared" si="23"/>
        <v>30579572</v>
      </c>
      <c r="BR11" s="1165">
        <f t="shared" si="23"/>
        <v>30634340</v>
      </c>
      <c r="BS11" s="1165">
        <f t="shared" si="23"/>
        <v>30695090</v>
      </c>
      <c r="BT11" s="1165">
        <f t="shared" si="23"/>
        <v>30753994</v>
      </c>
      <c r="BU11" s="1165">
        <f t="shared" si="23"/>
        <v>30814981</v>
      </c>
      <c r="BV11" s="1165">
        <f t="shared" si="23"/>
        <v>30874116</v>
      </c>
      <c r="BW11" s="1165">
        <f t="shared" si="23"/>
        <v>30935341</v>
      </c>
      <c r="BX11" s="1165">
        <f t="shared" si="23"/>
        <v>5990296</v>
      </c>
      <c r="BY11" s="1165">
        <f t="shared" ref="BY11:CK11" si="24">BY12+BY13-BY14+BY15-BY16</f>
        <v>6001792</v>
      </c>
      <c r="BZ11" s="1272">
        <f t="shared" si="24"/>
        <v>6013694</v>
      </c>
      <c r="CA11" s="1272">
        <f t="shared" si="24"/>
        <v>6025235</v>
      </c>
      <c r="CB11" s="1272">
        <f t="shared" si="24"/>
        <v>5979574</v>
      </c>
      <c r="CC11" s="1197">
        <f t="shared" si="24"/>
        <v>5979574</v>
      </c>
      <c r="CD11" s="1165">
        <f t="shared" si="24"/>
        <v>5933256</v>
      </c>
      <c r="CE11" s="1165">
        <f t="shared" si="24"/>
        <v>5943726</v>
      </c>
      <c r="CF11" s="1165">
        <f t="shared" si="24"/>
        <v>5954938</v>
      </c>
      <c r="CG11" s="1336">
        <f t="shared" si="24"/>
        <v>5965809</v>
      </c>
      <c r="CH11" s="1336">
        <f t="shared" si="24"/>
        <v>5977063</v>
      </c>
      <c r="CI11" s="1336">
        <f t="shared" si="24"/>
        <v>5987974</v>
      </c>
      <c r="CJ11" s="1336">
        <f t="shared" si="24"/>
        <v>5999270</v>
      </c>
      <c r="CK11" s="1336">
        <f t="shared" si="24"/>
        <v>6010586</v>
      </c>
      <c r="CL11" s="1336">
        <f>CL12+CL13-CL14+CL15-CL16</f>
        <v>6021558</v>
      </c>
      <c r="CM11" s="1336">
        <f>CM12+CM13-CM14+CM15-CM16</f>
        <v>6032918</v>
      </c>
      <c r="CN11" s="1336">
        <f>CN12+CN13-CN14+CN15-CN16</f>
        <v>6043931</v>
      </c>
      <c r="CO11" s="1336">
        <f>CO12+CO13-CO14+CO15-CO16</f>
        <v>6029573</v>
      </c>
      <c r="CP11" s="1298">
        <f>CP12+CP13-CP14+CP15-CP16</f>
        <v>6029573</v>
      </c>
      <c r="CQ11" s="1336">
        <f t="shared" ref="CQ11:CX11" si="25">CQ12+CQ13-CQ14+CQ15-CQ16</f>
        <v>6039019</v>
      </c>
      <c r="CR11" s="1336">
        <f t="shared" si="25"/>
        <v>6047562</v>
      </c>
      <c r="CS11" s="1336">
        <f t="shared" si="25"/>
        <v>6057035</v>
      </c>
      <c r="CT11" s="1336">
        <f t="shared" si="25"/>
        <v>6066216</v>
      </c>
      <c r="CU11" s="1336">
        <f t="shared" si="25"/>
        <v>6075719</v>
      </c>
      <c r="CV11" s="1336">
        <f t="shared" si="25"/>
        <v>6084929</v>
      </c>
      <c r="CW11" s="1336">
        <f t="shared" si="25"/>
        <v>6094460</v>
      </c>
      <c r="CX11" s="1336">
        <f t="shared" si="25"/>
        <v>6104007</v>
      </c>
      <c r="CY11" s="1336">
        <f>CY12+CY13-CY14+CY15-CY16</f>
        <v>6113260</v>
      </c>
      <c r="CZ11" s="1336">
        <f>CZ12+CZ13-CZ14+CZ15-CZ16</f>
        <v>6122837</v>
      </c>
      <c r="DA11" s="1336">
        <f>DA12+DA13-DA14+DA15-DA16</f>
        <v>6132117</v>
      </c>
      <c r="DB11" s="1336">
        <f>DB12+DB13-DB14+DB15-DB16</f>
        <v>6141905</v>
      </c>
      <c r="DC11" s="1298">
        <f>DC12+DC13-DC14+DC15-DC16</f>
        <v>6141905</v>
      </c>
      <c r="DD11" s="1336">
        <f t="shared" ref="DD11:DK11" si="26">DD12+DD13-DD14+DD15-DD16</f>
        <v>6126766</v>
      </c>
      <c r="DE11" s="1336">
        <f t="shared" si="26"/>
        <v>6136449</v>
      </c>
      <c r="DF11" s="1336">
        <f t="shared" si="26"/>
        <v>6147187</v>
      </c>
      <c r="DG11" s="1336">
        <f t="shared" si="26"/>
        <v>6157597</v>
      </c>
      <c r="DH11" s="1336">
        <f t="shared" si="26"/>
        <v>6168373</v>
      </c>
      <c r="DI11" s="1336">
        <f t="shared" si="26"/>
        <v>6178819</v>
      </c>
      <c r="DJ11" s="1336">
        <f t="shared" si="26"/>
        <v>6178819</v>
      </c>
      <c r="DK11" s="1336">
        <f t="shared" si="26"/>
        <v>6178819</v>
      </c>
      <c r="DL11" s="1336">
        <f>DL12+DL13-DL14+DL15-DL16</f>
        <v>6178819</v>
      </c>
      <c r="DM11" s="1336">
        <f>DM12+DM13-DM14+DM15-DM16</f>
        <v>6178819</v>
      </c>
      <c r="DN11" s="1336">
        <f>DN12+DN13-DN14+DN15-DN16</f>
        <v>6178819</v>
      </c>
      <c r="DO11" s="1336">
        <f>DO12+DO13-DO14+DO15-DO16</f>
        <v>6178819</v>
      </c>
      <c r="DP11" s="1298">
        <f>DP12+DP13-DP14+DP15-DP16</f>
        <v>6178819</v>
      </c>
    </row>
    <row r="12" spans="1:120" ht="15" customHeight="1">
      <c r="A12" s="626"/>
      <c r="B12" s="678" t="s">
        <v>425</v>
      </c>
      <c r="C12" s="679"/>
      <c r="D12" s="680">
        <f t="shared" ref="D12:O12" si="27">C11</f>
        <v>48360747</v>
      </c>
      <c r="E12" s="622">
        <f t="shared" si="27"/>
        <v>48499863</v>
      </c>
      <c r="F12" s="622">
        <f t="shared" si="27"/>
        <v>48625861</v>
      </c>
      <c r="G12" s="622">
        <f t="shared" si="27"/>
        <v>48765741</v>
      </c>
      <c r="H12" s="622">
        <f t="shared" si="27"/>
        <v>48901491</v>
      </c>
      <c r="I12" s="622">
        <f t="shared" si="27"/>
        <v>49042163</v>
      </c>
      <c r="J12" s="622">
        <f t="shared" si="27"/>
        <v>49178683</v>
      </c>
      <c r="K12" s="622">
        <f t="shared" si="27"/>
        <v>49320152</v>
      </c>
      <c r="L12" s="622">
        <f t="shared" si="27"/>
        <v>49462029</v>
      </c>
      <c r="M12" s="622">
        <f t="shared" si="27"/>
        <v>49599717</v>
      </c>
      <c r="N12" s="622">
        <f t="shared" si="27"/>
        <v>49742398</v>
      </c>
      <c r="O12" s="681">
        <f t="shared" si="27"/>
        <v>49880867</v>
      </c>
      <c r="P12" s="682">
        <f>D12</f>
        <v>48360747</v>
      </c>
      <c r="Q12" s="680">
        <f t="shared" ref="Q12:AB12" si="28">P11</f>
        <v>49873676</v>
      </c>
      <c r="R12" s="622">
        <f t="shared" si="28"/>
        <v>18870264</v>
      </c>
      <c r="S12" s="622">
        <f t="shared" si="28"/>
        <v>18913101</v>
      </c>
      <c r="T12" s="622">
        <f t="shared" si="28"/>
        <v>18960641</v>
      </c>
      <c r="U12" s="622">
        <f t="shared" si="28"/>
        <v>19006762</v>
      </c>
      <c r="V12" s="622">
        <f t="shared" si="28"/>
        <v>19054538</v>
      </c>
      <c r="W12" s="622">
        <f t="shared" si="28"/>
        <v>19100887</v>
      </c>
      <c r="X12" s="622">
        <f t="shared" si="28"/>
        <v>19148900</v>
      </c>
      <c r="Y12" s="622">
        <f t="shared" si="28"/>
        <v>19197033</v>
      </c>
      <c r="Z12" s="622">
        <f t="shared" si="28"/>
        <v>19243728</v>
      </c>
      <c r="AA12" s="622">
        <f t="shared" si="28"/>
        <v>19292100</v>
      </c>
      <c r="AB12" s="681">
        <f t="shared" si="28"/>
        <v>19339027</v>
      </c>
      <c r="AC12" s="683">
        <f>Q12</f>
        <v>49873676</v>
      </c>
      <c r="AD12" s="873">
        <f t="shared" ref="AD12:AO12" si="29">AC11</f>
        <v>19224269</v>
      </c>
      <c r="AE12" s="872">
        <f t="shared" si="29"/>
        <v>19264518</v>
      </c>
      <c r="AF12" s="872">
        <f t="shared" si="29"/>
        <v>19302246</v>
      </c>
      <c r="AG12" s="872">
        <f t="shared" si="29"/>
        <v>19342658</v>
      </c>
      <c r="AH12" s="872">
        <f t="shared" si="29"/>
        <v>19381847</v>
      </c>
      <c r="AI12" s="872">
        <f t="shared" si="29"/>
        <v>19422426</v>
      </c>
      <c r="AJ12" s="872">
        <f t="shared" si="29"/>
        <v>19461776</v>
      </c>
      <c r="AK12" s="872">
        <f t="shared" si="29"/>
        <v>19502522</v>
      </c>
      <c r="AL12" s="872">
        <f t="shared" si="29"/>
        <v>19543353</v>
      </c>
      <c r="AM12" s="872">
        <f t="shared" si="29"/>
        <v>19582949</v>
      </c>
      <c r="AN12" s="872">
        <f t="shared" si="29"/>
        <v>19623949</v>
      </c>
      <c r="AO12" s="871">
        <f t="shared" si="29"/>
        <v>19663707</v>
      </c>
      <c r="AP12" s="884">
        <f>AD12</f>
        <v>19224269</v>
      </c>
      <c r="AQ12" s="891">
        <f t="shared" ref="AQ12:AX12" si="30">AP11</f>
        <v>29586594</v>
      </c>
      <c r="AR12" s="892">
        <f t="shared" si="30"/>
        <v>29637631</v>
      </c>
      <c r="AS12" s="892">
        <f t="shared" si="30"/>
        <v>29683803</v>
      </c>
      <c r="AT12" s="892">
        <f t="shared" si="30"/>
        <v>29735007</v>
      </c>
      <c r="AU12" s="892">
        <f t="shared" si="30"/>
        <v>29784644</v>
      </c>
      <c r="AV12" s="892">
        <f t="shared" si="30"/>
        <v>29836022</v>
      </c>
      <c r="AW12" s="907">
        <f t="shared" si="30"/>
        <v>29885826</v>
      </c>
      <c r="AX12" s="907">
        <f t="shared" si="30"/>
        <v>29937379</v>
      </c>
      <c r="AY12" s="914">
        <f>AX11</f>
        <v>29989020</v>
      </c>
      <c r="AZ12" s="1002">
        <f>AY11</f>
        <v>30039080</v>
      </c>
      <c r="BA12" s="1002">
        <f>AZ11</f>
        <v>30090897</v>
      </c>
      <c r="BB12" s="1003">
        <f>BA11</f>
        <v>30141127</v>
      </c>
      <c r="BC12" s="884">
        <f>AQ12</f>
        <v>29586594</v>
      </c>
      <c r="BD12" s="1015">
        <f t="shared" ref="BD12:BJ12" si="31">BC11</f>
        <v>30114712</v>
      </c>
      <c r="BE12" s="1015">
        <f t="shared" si="31"/>
        <v>30089645</v>
      </c>
      <c r="BF12" s="1024">
        <f t="shared" si="31"/>
        <v>30138107</v>
      </c>
      <c r="BG12" s="1038">
        <f t="shared" si="31"/>
        <v>30191852</v>
      </c>
      <c r="BH12" s="1038">
        <f t="shared" si="31"/>
        <v>30243956</v>
      </c>
      <c r="BI12" s="1038">
        <f t="shared" si="31"/>
        <v>30297890</v>
      </c>
      <c r="BJ12" s="1162">
        <f t="shared" si="31"/>
        <v>30350177</v>
      </c>
      <c r="BK12" s="1162">
        <f>BJ11</f>
        <v>30404301</v>
      </c>
      <c r="BL12" s="1162">
        <f>BK11</f>
        <v>30458521</v>
      </c>
      <c r="BM12" s="1162">
        <f>BL11</f>
        <v>30511085</v>
      </c>
      <c r="BN12" s="1162">
        <f>BM11</f>
        <v>30565495</v>
      </c>
      <c r="BO12" s="1162">
        <f>BN11</f>
        <v>30618244</v>
      </c>
      <c r="BP12" s="884">
        <f>BD12</f>
        <v>30114712</v>
      </c>
      <c r="BQ12" s="1224">
        <f t="shared" ref="BQ12:CB12" si="32">BP11</f>
        <v>30596425</v>
      </c>
      <c r="BR12" s="1224">
        <f t="shared" si="32"/>
        <v>30579572</v>
      </c>
      <c r="BS12" s="1224">
        <f t="shared" si="32"/>
        <v>30634340</v>
      </c>
      <c r="BT12" s="1224">
        <f t="shared" si="32"/>
        <v>30695090</v>
      </c>
      <c r="BU12" s="1224">
        <f t="shared" si="32"/>
        <v>30753994</v>
      </c>
      <c r="BV12" s="1224">
        <f t="shared" si="32"/>
        <v>30814981</v>
      </c>
      <c r="BW12" s="1224">
        <f t="shared" si="32"/>
        <v>30874116</v>
      </c>
      <c r="BX12" s="1224">
        <f t="shared" si="32"/>
        <v>30935341</v>
      </c>
      <c r="BY12" s="1224">
        <f t="shared" si="32"/>
        <v>5990296</v>
      </c>
      <c r="BZ12" s="1194">
        <f t="shared" si="32"/>
        <v>6001792</v>
      </c>
      <c r="CA12" s="1194">
        <f t="shared" si="32"/>
        <v>6013694</v>
      </c>
      <c r="CB12" s="1194">
        <f t="shared" si="32"/>
        <v>6025235</v>
      </c>
      <c r="CC12" s="1195">
        <f>BQ12</f>
        <v>30596425</v>
      </c>
      <c r="CD12" s="1293">
        <f>CC11</f>
        <v>5979574</v>
      </c>
      <c r="CE12" s="1293">
        <f>CD11</f>
        <v>5933256</v>
      </c>
      <c r="CF12" s="1293">
        <f>CE11</f>
        <v>5943726</v>
      </c>
      <c r="CG12" s="1333">
        <f t="shared" ref="CG12:CO12" si="33">CF11</f>
        <v>5954938</v>
      </c>
      <c r="CH12" s="1333">
        <f t="shared" si="33"/>
        <v>5965809</v>
      </c>
      <c r="CI12" s="1333">
        <f t="shared" si="33"/>
        <v>5977063</v>
      </c>
      <c r="CJ12" s="1333">
        <f t="shared" si="33"/>
        <v>5987974</v>
      </c>
      <c r="CK12" s="1333">
        <f t="shared" si="33"/>
        <v>5999270</v>
      </c>
      <c r="CL12" s="1333">
        <f t="shared" si="33"/>
        <v>6010586</v>
      </c>
      <c r="CM12" s="1368">
        <f t="shared" si="33"/>
        <v>6021558</v>
      </c>
      <c r="CN12" s="1368">
        <f t="shared" si="33"/>
        <v>6032918</v>
      </c>
      <c r="CO12" s="1368">
        <f t="shared" si="33"/>
        <v>6043931</v>
      </c>
      <c r="CP12" s="1294">
        <f>CD12</f>
        <v>5979574</v>
      </c>
      <c r="CQ12" s="1392">
        <f t="shared" ref="CQ12:DB12" si="34">CP11</f>
        <v>6029573</v>
      </c>
      <c r="CR12" s="1392">
        <f t="shared" si="34"/>
        <v>6039019</v>
      </c>
      <c r="CS12" s="1392">
        <f t="shared" si="34"/>
        <v>6047562</v>
      </c>
      <c r="CT12" s="1392">
        <f t="shared" si="34"/>
        <v>6057035</v>
      </c>
      <c r="CU12" s="1392">
        <f t="shared" si="34"/>
        <v>6066216</v>
      </c>
      <c r="CV12" s="1392">
        <f t="shared" si="34"/>
        <v>6075719</v>
      </c>
      <c r="CW12" s="1392">
        <f t="shared" si="34"/>
        <v>6084929</v>
      </c>
      <c r="CX12" s="1392">
        <f t="shared" si="34"/>
        <v>6094460</v>
      </c>
      <c r="CY12" s="1392">
        <f t="shared" si="34"/>
        <v>6104007</v>
      </c>
      <c r="CZ12" s="1431">
        <f t="shared" si="34"/>
        <v>6113260</v>
      </c>
      <c r="DA12" s="1431">
        <f t="shared" si="34"/>
        <v>6122837</v>
      </c>
      <c r="DB12" s="1431">
        <f t="shared" si="34"/>
        <v>6132117</v>
      </c>
      <c r="DC12" s="1393">
        <f>CQ12</f>
        <v>6029573</v>
      </c>
      <c r="DD12" s="1451">
        <f t="shared" ref="DD12:DO12" si="35">DC11</f>
        <v>6141905</v>
      </c>
      <c r="DE12" s="1451">
        <f t="shared" si="35"/>
        <v>6126766</v>
      </c>
      <c r="DF12" s="1451">
        <f t="shared" si="35"/>
        <v>6136449</v>
      </c>
      <c r="DG12" s="1451">
        <f t="shared" si="35"/>
        <v>6147187</v>
      </c>
      <c r="DH12" s="1451">
        <f t="shared" si="35"/>
        <v>6157597</v>
      </c>
      <c r="DI12" s="1451">
        <f t="shared" si="35"/>
        <v>6168373</v>
      </c>
      <c r="DJ12" s="1451">
        <f t="shared" si="35"/>
        <v>6178819</v>
      </c>
      <c r="DK12" s="1451">
        <f t="shared" si="35"/>
        <v>6178819</v>
      </c>
      <c r="DL12" s="1451">
        <f t="shared" si="35"/>
        <v>6178819</v>
      </c>
      <c r="DM12" s="1451">
        <f t="shared" si="35"/>
        <v>6178819</v>
      </c>
      <c r="DN12" s="1451">
        <f t="shared" si="35"/>
        <v>6178819</v>
      </c>
      <c r="DO12" s="1451">
        <f t="shared" si="35"/>
        <v>6178819</v>
      </c>
      <c r="DP12" s="1452">
        <f>DD12</f>
        <v>6141905</v>
      </c>
    </row>
    <row r="13" spans="1:120" ht="15" customHeight="1">
      <c r="A13" s="626"/>
      <c r="B13" s="678" t="s">
        <v>430</v>
      </c>
      <c r="C13" s="679">
        <v>48338346</v>
      </c>
      <c r="D13" s="680"/>
      <c r="E13" s="622"/>
      <c r="F13" s="622"/>
      <c r="G13" s="622"/>
      <c r="H13" s="622"/>
      <c r="I13" s="622"/>
      <c r="J13" s="622"/>
      <c r="K13" s="622"/>
      <c r="L13" s="622"/>
      <c r="M13" s="622"/>
      <c r="N13" s="622"/>
      <c r="O13" s="681"/>
      <c r="P13" s="682">
        <f>SUM(D13:O13)</f>
        <v>0</v>
      </c>
      <c r="Q13" s="680"/>
      <c r="R13" s="622"/>
      <c r="S13" s="622"/>
      <c r="T13" s="622"/>
      <c r="U13" s="622"/>
      <c r="V13" s="622"/>
      <c r="W13" s="622"/>
      <c r="X13" s="622"/>
      <c r="Y13" s="622"/>
      <c r="Z13" s="622"/>
      <c r="AA13" s="622"/>
      <c r="AB13" s="681"/>
      <c r="AC13" s="683">
        <f>SUM(Q13:AB13)</f>
        <v>0</v>
      </c>
      <c r="AD13" s="873"/>
      <c r="AE13" s="872"/>
      <c r="AF13" s="872"/>
      <c r="AG13" s="872"/>
      <c r="AH13" s="872"/>
      <c r="AI13" s="872"/>
      <c r="AJ13" s="872"/>
      <c r="AK13" s="872"/>
      <c r="AL13" s="872"/>
      <c r="AM13" s="872"/>
      <c r="AN13" s="872"/>
      <c r="AO13" s="871">
        <v>10000000</v>
      </c>
      <c r="AP13" s="884">
        <f>SUM(AD13:AO13)</f>
        <v>10000000</v>
      </c>
      <c r="AQ13" s="891"/>
      <c r="AR13" s="892"/>
      <c r="AS13" s="892"/>
      <c r="AT13" s="892"/>
      <c r="AU13" s="892"/>
      <c r="AV13" s="892"/>
      <c r="AW13" s="907"/>
      <c r="AX13" s="907"/>
      <c r="AY13" s="914"/>
      <c r="AZ13" s="1002"/>
      <c r="BA13" s="1002"/>
      <c r="BB13" s="1003"/>
      <c r="BC13" s="884">
        <f>SUM(AQ13:BB13)</f>
        <v>0</v>
      </c>
      <c r="BD13" s="1015"/>
      <c r="BE13" s="1002"/>
      <c r="BF13" s="1025"/>
      <c r="BG13" s="1039"/>
      <c r="BH13" s="1039"/>
      <c r="BI13" s="1039"/>
      <c r="BJ13" s="1163"/>
      <c r="BK13" s="1163"/>
      <c r="BL13" s="1163"/>
      <c r="BM13" s="1163"/>
      <c r="BN13" s="1163"/>
      <c r="BO13" s="1175"/>
      <c r="BP13" s="884">
        <f>SUM(BD13:BO13)</f>
        <v>0</v>
      </c>
      <c r="BQ13" s="1224"/>
      <c r="BR13" s="1225"/>
      <c r="BS13" s="1225"/>
      <c r="BT13" s="1225"/>
      <c r="BU13" s="1225"/>
      <c r="BV13" s="1225"/>
      <c r="BW13" s="1225"/>
      <c r="BX13" s="1225"/>
      <c r="BY13" s="1225"/>
      <c r="BZ13" s="1163"/>
      <c r="CA13" s="1163"/>
      <c r="CB13" s="1175"/>
      <c r="CC13" s="1195">
        <f>SUM(BQ13:CB13)</f>
        <v>0</v>
      </c>
      <c r="CD13" s="1293"/>
      <c r="CE13" s="1295"/>
      <c r="CF13" s="1295"/>
      <c r="CG13" s="1334"/>
      <c r="CH13" s="1334"/>
      <c r="CI13" s="1334"/>
      <c r="CJ13" s="1334"/>
      <c r="CK13" s="1334"/>
      <c r="CL13" s="1334"/>
      <c r="CM13" s="1369"/>
      <c r="CN13" s="1369"/>
      <c r="CO13" s="1370"/>
      <c r="CP13" s="1294">
        <f>SUM(CD13:CO13)</f>
        <v>0</v>
      </c>
      <c r="CQ13" s="1392"/>
      <c r="CR13" s="1394"/>
      <c r="CS13" s="1394"/>
      <c r="CT13" s="1394"/>
      <c r="CU13" s="1394"/>
      <c r="CV13" s="1394"/>
      <c r="CW13" s="1394"/>
      <c r="CX13" s="1394"/>
      <c r="CY13" s="1394"/>
      <c r="CZ13" s="1432"/>
      <c r="DA13" s="1432"/>
      <c r="DB13" s="1433"/>
      <c r="DC13" s="1393">
        <f>SUM(CQ13:DB13)</f>
        <v>0</v>
      </c>
      <c r="DD13" s="1451"/>
      <c r="DE13" s="1453"/>
      <c r="DF13" s="1453"/>
      <c r="DG13" s="1453"/>
      <c r="DH13" s="1453"/>
      <c r="DI13" s="1453"/>
      <c r="DJ13" s="1453"/>
      <c r="DK13" s="1453"/>
      <c r="DL13" s="1453"/>
      <c r="DM13" s="1453"/>
      <c r="DN13" s="1453"/>
      <c r="DO13" s="1454"/>
      <c r="DP13" s="1452">
        <f>SUM(DD13:DO13)</f>
        <v>0</v>
      </c>
    </row>
    <row r="14" spans="1:120" ht="15" customHeight="1">
      <c r="A14" s="626"/>
      <c r="B14" s="678" t="s">
        <v>427</v>
      </c>
      <c r="C14" s="679"/>
      <c r="D14" s="680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81"/>
      <c r="P14" s="682">
        <f>SUM(D14:O14)</f>
        <v>0</v>
      </c>
      <c r="Q14" s="680">
        <v>30927084</v>
      </c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81"/>
      <c r="AC14" s="683">
        <f>SUM(Q14:AB14)</f>
        <v>30927084</v>
      </c>
      <c r="AD14" s="873"/>
      <c r="AE14" s="872"/>
      <c r="AF14" s="872"/>
      <c r="AG14" s="872"/>
      <c r="AH14" s="872"/>
      <c r="AI14" s="872"/>
      <c r="AJ14" s="872"/>
      <c r="AK14" s="872"/>
      <c r="AL14" s="872"/>
      <c r="AM14" s="872"/>
      <c r="AN14" s="872"/>
      <c r="AO14" s="871"/>
      <c r="AP14" s="884">
        <f>SUM(AD14:AO14)</f>
        <v>0</v>
      </c>
      <c r="AQ14" s="891"/>
      <c r="AR14" s="892"/>
      <c r="AS14" s="892"/>
      <c r="AT14" s="892"/>
      <c r="AU14" s="892"/>
      <c r="AV14" s="892"/>
      <c r="AW14" s="907"/>
      <c r="AX14" s="907"/>
      <c r="AY14" s="914"/>
      <c r="AZ14" s="1002"/>
      <c r="BA14" s="1002"/>
      <c r="BB14" s="1003"/>
      <c r="BC14" s="884">
        <f>SUM(AQ14:BB14)</f>
        <v>0</v>
      </c>
      <c r="BD14" s="1015"/>
      <c r="BE14" s="1002"/>
      <c r="BF14" s="1025"/>
      <c r="BG14" s="1039"/>
      <c r="BH14" s="1039"/>
      <c r="BI14" s="1039"/>
      <c r="BJ14" s="1163"/>
      <c r="BK14" s="1163"/>
      <c r="BL14" s="1163"/>
      <c r="BM14" s="1163"/>
      <c r="BN14" s="1163"/>
      <c r="BO14" s="1175"/>
      <c r="BP14" s="884">
        <f>SUM(BD14:BO14)</f>
        <v>0</v>
      </c>
      <c r="BQ14" s="1224"/>
      <c r="BR14" s="1225"/>
      <c r="BS14" s="1225"/>
      <c r="BT14" s="1225"/>
      <c r="BU14" s="1225"/>
      <c r="BV14" s="1225"/>
      <c r="BW14" s="1225"/>
      <c r="BX14" s="1225">
        <v>25000000</v>
      </c>
      <c r="BY14" s="1225"/>
      <c r="BZ14" s="1163"/>
      <c r="CA14" s="1163"/>
      <c r="CB14" s="1175"/>
      <c r="CC14" s="1195">
        <f>SUM(BQ14:CB14)</f>
        <v>25000000</v>
      </c>
      <c r="CD14" s="1293"/>
      <c r="CE14" s="1295"/>
      <c r="CF14" s="1295"/>
      <c r="CG14" s="1334"/>
      <c r="CH14" s="1334"/>
      <c r="CI14" s="1334"/>
      <c r="CJ14" s="1334"/>
      <c r="CK14" s="1334"/>
      <c r="CL14" s="1334"/>
      <c r="CM14" s="1369"/>
      <c r="CN14" s="1369"/>
      <c r="CO14" s="1370"/>
      <c r="CP14" s="1294">
        <f>SUM(CD14:CO14)</f>
        <v>0</v>
      </c>
      <c r="CQ14" s="1392"/>
      <c r="CR14" s="1394"/>
      <c r="CS14" s="1394"/>
      <c r="CT14" s="1394"/>
      <c r="CU14" s="1394"/>
      <c r="CV14" s="1394"/>
      <c r="CW14" s="1394"/>
      <c r="CX14" s="1394"/>
      <c r="CY14" s="1394"/>
      <c r="CZ14" s="1432"/>
      <c r="DA14" s="1432"/>
      <c r="DB14" s="1433"/>
      <c r="DC14" s="1393">
        <f>SUM(CQ14:DB14)</f>
        <v>0</v>
      </c>
      <c r="DD14" s="1451"/>
      <c r="DE14" s="1453"/>
      <c r="DF14" s="1453"/>
      <c r="DG14" s="1453"/>
      <c r="DH14" s="1453"/>
      <c r="DI14" s="1453"/>
      <c r="DJ14" s="1453"/>
      <c r="DK14" s="1453"/>
      <c r="DL14" s="1453"/>
      <c r="DM14" s="1453"/>
      <c r="DN14" s="1453"/>
      <c r="DO14" s="1454"/>
      <c r="DP14" s="1452">
        <f>SUM(DD14:DO14)</f>
        <v>0</v>
      </c>
    </row>
    <row r="15" spans="1:120" ht="15" customHeight="1">
      <c r="A15" s="626"/>
      <c r="B15" s="678" t="s">
        <v>428</v>
      </c>
      <c r="C15" s="679">
        <v>22401</v>
      </c>
      <c r="D15" s="680">
        <v>139116</v>
      </c>
      <c r="E15" s="622">
        <v>125998</v>
      </c>
      <c r="F15" s="622">
        <v>139880</v>
      </c>
      <c r="G15" s="622">
        <v>135750</v>
      </c>
      <c r="H15" s="622">
        <v>140672</v>
      </c>
      <c r="I15" s="622">
        <v>136520</v>
      </c>
      <c r="J15" s="622">
        <v>141469</v>
      </c>
      <c r="K15" s="622">
        <v>141877</v>
      </c>
      <c r="L15" s="622">
        <v>137688</v>
      </c>
      <c r="M15" s="622">
        <v>142681</v>
      </c>
      <c r="N15" s="622">
        <v>138469</v>
      </c>
      <c r="O15" s="681">
        <v>140509</v>
      </c>
      <c r="P15" s="682">
        <f>SUM(D15:O15)</f>
        <v>1660629</v>
      </c>
      <c r="Q15" s="680">
        <v>120052</v>
      </c>
      <c r="R15" s="622">
        <v>42837</v>
      </c>
      <c r="S15" s="622">
        <v>47540</v>
      </c>
      <c r="T15" s="622">
        <v>46121</v>
      </c>
      <c r="U15" s="622">
        <v>47776</v>
      </c>
      <c r="V15" s="622">
        <v>46349</v>
      </c>
      <c r="W15" s="622">
        <v>48013</v>
      </c>
      <c r="X15" s="622">
        <v>48133</v>
      </c>
      <c r="Y15" s="622">
        <v>46695</v>
      </c>
      <c r="Z15" s="622">
        <v>48372</v>
      </c>
      <c r="AA15" s="622">
        <v>46927</v>
      </c>
      <c r="AB15" s="681">
        <v>47272</v>
      </c>
      <c r="AC15" s="683">
        <f>SUM(Q15:AB15)</f>
        <v>636087</v>
      </c>
      <c r="AD15" s="873">
        <v>40249</v>
      </c>
      <c r="AE15" s="872">
        <v>37728</v>
      </c>
      <c r="AF15" s="872">
        <v>40412</v>
      </c>
      <c r="AG15" s="872">
        <v>39189</v>
      </c>
      <c r="AH15" s="872">
        <v>40579</v>
      </c>
      <c r="AI15" s="872">
        <v>39350</v>
      </c>
      <c r="AJ15" s="872">
        <v>40746</v>
      </c>
      <c r="AK15" s="872">
        <v>40831</v>
      </c>
      <c r="AL15" s="872">
        <v>39596</v>
      </c>
      <c r="AM15" s="872">
        <v>41000</v>
      </c>
      <c r="AN15" s="872">
        <v>39758</v>
      </c>
      <c r="AO15" s="871">
        <v>42754</v>
      </c>
      <c r="AP15" s="884">
        <f>SUM(AD15:AO15)</f>
        <v>482192</v>
      </c>
      <c r="AQ15" s="891">
        <v>51037</v>
      </c>
      <c r="AR15" s="892">
        <v>46172</v>
      </c>
      <c r="AS15" s="892">
        <v>51204</v>
      </c>
      <c r="AT15" s="892">
        <v>49637</v>
      </c>
      <c r="AU15" s="892">
        <v>51378</v>
      </c>
      <c r="AV15" s="892">
        <v>49804</v>
      </c>
      <c r="AW15" s="907">
        <v>51553</v>
      </c>
      <c r="AX15" s="907">
        <v>51641</v>
      </c>
      <c r="AY15" s="914">
        <v>50060</v>
      </c>
      <c r="AZ15" s="1002">
        <v>51817</v>
      </c>
      <c r="BA15" s="1002">
        <v>50230</v>
      </c>
      <c r="BB15" s="1003">
        <v>52253</v>
      </c>
      <c r="BC15" s="884">
        <f>SUM(AQ15:BB15)</f>
        <v>606786</v>
      </c>
      <c r="BD15" s="1015">
        <v>53601</v>
      </c>
      <c r="BE15" s="1002">
        <v>48462</v>
      </c>
      <c r="BF15" s="1025">
        <v>53745</v>
      </c>
      <c r="BG15" s="1039">
        <v>52104</v>
      </c>
      <c r="BH15" s="1039">
        <v>53934</v>
      </c>
      <c r="BI15" s="1039">
        <v>52287</v>
      </c>
      <c r="BJ15" s="1163">
        <v>54124</v>
      </c>
      <c r="BK15" s="1163">
        <v>54220</v>
      </c>
      <c r="BL15" s="1163">
        <v>52564</v>
      </c>
      <c r="BM15" s="1163">
        <v>54410</v>
      </c>
      <c r="BN15" s="1163">
        <v>52749</v>
      </c>
      <c r="BO15" s="1175">
        <v>55564</v>
      </c>
      <c r="BP15" s="884">
        <f>SUM(BD15:BO15)</f>
        <v>637764</v>
      </c>
      <c r="BQ15" s="1224">
        <v>60530</v>
      </c>
      <c r="BR15" s="1225">
        <v>54768</v>
      </c>
      <c r="BS15" s="1225">
        <v>60750</v>
      </c>
      <c r="BT15" s="1225">
        <v>58904</v>
      </c>
      <c r="BU15" s="1225">
        <v>60987</v>
      </c>
      <c r="BV15" s="1225">
        <v>59135</v>
      </c>
      <c r="BW15" s="1225">
        <v>61225</v>
      </c>
      <c r="BX15" s="1225">
        <v>54955</v>
      </c>
      <c r="BY15" s="1225">
        <v>11496</v>
      </c>
      <c r="BZ15" s="1163">
        <v>11902</v>
      </c>
      <c r="CA15" s="1163">
        <v>11541</v>
      </c>
      <c r="CB15" s="1175">
        <v>11837</v>
      </c>
      <c r="CC15" s="1195">
        <f>SUM(BQ15:CB15)</f>
        <v>518030</v>
      </c>
      <c r="CD15" s="1293">
        <v>11181</v>
      </c>
      <c r="CE15" s="1295">
        <v>10470</v>
      </c>
      <c r="CF15" s="1295">
        <v>11212</v>
      </c>
      <c r="CG15" s="1334">
        <v>10871</v>
      </c>
      <c r="CH15" s="1334">
        <v>11254</v>
      </c>
      <c r="CI15" s="1334">
        <v>10911</v>
      </c>
      <c r="CJ15" s="1334">
        <v>11296</v>
      </c>
      <c r="CK15" s="1334">
        <v>11316</v>
      </c>
      <c r="CL15" s="1334">
        <v>10972</v>
      </c>
      <c r="CM15" s="1369">
        <v>11360</v>
      </c>
      <c r="CN15" s="1369">
        <v>11013</v>
      </c>
      <c r="CO15" s="1370">
        <v>11089</v>
      </c>
      <c r="CP15" s="1294">
        <f>SUM(CD15:CO15)</f>
        <v>132945</v>
      </c>
      <c r="CQ15" s="1392">
        <v>9446</v>
      </c>
      <c r="CR15" s="1394">
        <v>8543</v>
      </c>
      <c r="CS15" s="1394">
        <v>9473</v>
      </c>
      <c r="CT15" s="1394">
        <v>9181</v>
      </c>
      <c r="CU15" s="1394">
        <v>9503</v>
      </c>
      <c r="CV15" s="1394">
        <v>9210</v>
      </c>
      <c r="CW15" s="1394">
        <v>9531</v>
      </c>
      <c r="CX15" s="1394">
        <v>9547</v>
      </c>
      <c r="CY15" s="1394">
        <v>9253</v>
      </c>
      <c r="CZ15" s="1432">
        <v>9577</v>
      </c>
      <c r="DA15" s="1432">
        <v>9280</v>
      </c>
      <c r="DB15" s="1433">
        <v>9788</v>
      </c>
      <c r="DC15" s="1393">
        <f>SUM(CQ15:DB15)</f>
        <v>112332</v>
      </c>
      <c r="DD15" s="1451">
        <v>10711</v>
      </c>
      <c r="DE15" s="1453">
        <v>9683</v>
      </c>
      <c r="DF15" s="1453">
        <v>10738</v>
      </c>
      <c r="DG15" s="1453">
        <v>10410</v>
      </c>
      <c r="DH15" s="1453">
        <v>10776</v>
      </c>
      <c r="DI15" s="1453">
        <v>10446</v>
      </c>
      <c r="DJ15" s="1453"/>
      <c r="DK15" s="1453"/>
      <c r="DL15" s="1453"/>
      <c r="DM15" s="1453"/>
      <c r="DN15" s="1453"/>
      <c r="DO15" s="1454"/>
      <c r="DP15" s="1452">
        <f>SUM(DD15:DO15)</f>
        <v>62764</v>
      </c>
    </row>
    <row r="16" spans="1:120" ht="15" customHeight="1">
      <c r="A16" s="458"/>
      <c r="B16" s="698" t="s">
        <v>429</v>
      </c>
      <c r="C16" s="699"/>
      <c r="D16" s="700"/>
      <c r="E16" s="701"/>
      <c r="F16" s="701"/>
      <c r="G16" s="701"/>
      <c r="H16" s="701"/>
      <c r="I16" s="701"/>
      <c r="J16" s="701"/>
      <c r="K16" s="701"/>
      <c r="L16" s="701"/>
      <c r="M16" s="701"/>
      <c r="N16" s="701"/>
      <c r="O16" s="702">
        <v>147700</v>
      </c>
      <c r="P16" s="703">
        <f>SUM(D16:O16)</f>
        <v>147700</v>
      </c>
      <c r="Q16" s="700">
        <v>196380</v>
      </c>
      <c r="R16" s="701"/>
      <c r="S16" s="701"/>
      <c r="T16" s="701"/>
      <c r="U16" s="701"/>
      <c r="V16" s="701"/>
      <c r="W16" s="701"/>
      <c r="X16" s="701"/>
      <c r="Y16" s="701"/>
      <c r="Z16" s="701"/>
      <c r="AA16" s="701"/>
      <c r="AB16" s="702">
        <v>162030</v>
      </c>
      <c r="AC16" s="704">
        <f>SUM(Q16:AB16)</f>
        <v>358410</v>
      </c>
      <c r="AD16" s="835"/>
      <c r="AE16" s="836"/>
      <c r="AF16" s="836"/>
      <c r="AG16" s="836"/>
      <c r="AH16" s="836"/>
      <c r="AI16" s="836"/>
      <c r="AJ16" s="836"/>
      <c r="AK16" s="836"/>
      <c r="AL16" s="836"/>
      <c r="AM16" s="836"/>
      <c r="AN16" s="836"/>
      <c r="AO16" s="837">
        <v>119867</v>
      </c>
      <c r="AP16" s="704">
        <f>SUM(AD16:AO16)</f>
        <v>119867</v>
      </c>
      <c r="AQ16" s="897"/>
      <c r="AR16" s="898"/>
      <c r="AS16" s="898"/>
      <c r="AT16" s="898"/>
      <c r="AU16" s="898"/>
      <c r="AV16" s="898"/>
      <c r="AW16" s="898"/>
      <c r="AX16" s="898"/>
      <c r="AY16" s="916"/>
      <c r="AZ16" s="1007"/>
      <c r="BA16" s="1007"/>
      <c r="BB16" s="1008">
        <v>78668</v>
      </c>
      <c r="BC16" s="704">
        <f>SUM(AQ16:BB16)</f>
        <v>78668</v>
      </c>
      <c r="BD16" s="1019">
        <v>78668</v>
      </c>
      <c r="BE16" s="1007"/>
      <c r="BF16" s="1027"/>
      <c r="BG16" s="1042"/>
      <c r="BH16" s="1042"/>
      <c r="BI16" s="1042"/>
      <c r="BJ16" s="1166"/>
      <c r="BK16" s="1166"/>
      <c r="BL16" s="1166"/>
      <c r="BM16" s="1166"/>
      <c r="BN16" s="1166"/>
      <c r="BO16" s="1178">
        <v>77383</v>
      </c>
      <c r="BP16" s="704">
        <f>SUM(BD16:BO16)</f>
        <v>156051</v>
      </c>
      <c r="BQ16" s="1228">
        <v>77383</v>
      </c>
      <c r="BR16" s="1229"/>
      <c r="BS16" s="1229"/>
      <c r="BT16" s="1229"/>
      <c r="BU16" s="1229"/>
      <c r="BV16" s="1229"/>
      <c r="BW16" s="1229"/>
      <c r="BX16" s="1229"/>
      <c r="BY16" s="1229"/>
      <c r="BZ16" s="1198"/>
      <c r="CA16" s="1198"/>
      <c r="CB16" s="1199">
        <v>57498</v>
      </c>
      <c r="CC16" s="1200">
        <f>SUM(BQ16:CB16)</f>
        <v>134881</v>
      </c>
      <c r="CD16" s="1299">
        <v>57499</v>
      </c>
      <c r="CE16" s="1300"/>
      <c r="CF16" s="1300"/>
      <c r="CG16" s="1337"/>
      <c r="CH16" s="1337"/>
      <c r="CI16" s="1337"/>
      <c r="CJ16" s="1337"/>
      <c r="CK16" s="1337"/>
      <c r="CL16" s="1337"/>
      <c r="CM16" s="1373"/>
      <c r="CN16" s="1373"/>
      <c r="CO16" s="1374">
        <f>15268+10179</f>
        <v>25447</v>
      </c>
      <c r="CP16" s="1301">
        <f>SUM(CD16:CO16)</f>
        <v>82946</v>
      </c>
      <c r="CQ16" s="1398"/>
      <c r="CR16" s="1399"/>
      <c r="CS16" s="1399"/>
      <c r="CT16" s="1399"/>
      <c r="CU16" s="1399"/>
      <c r="CV16" s="1399"/>
      <c r="CW16" s="1399"/>
      <c r="CX16" s="1399"/>
      <c r="CY16" s="1399"/>
      <c r="CZ16" s="1436"/>
      <c r="DA16" s="1436"/>
      <c r="DB16" s="1437"/>
      <c r="DC16" s="1400">
        <f>SUM(CQ16:DB16)</f>
        <v>0</v>
      </c>
      <c r="DD16" s="1458">
        <v>25850</v>
      </c>
      <c r="DE16" s="1459"/>
      <c r="DF16" s="1459"/>
      <c r="DG16" s="1459"/>
      <c r="DH16" s="1459"/>
      <c r="DI16" s="1459"/>
      <c r="DJ16" s="1459"/>
      <c r="DK16" s="1459"/>
      <c r="DL16" s="1459"/>
      <c r="DM16" s="1459"/>
      <c r="DN16" s="1459"/>
      <c r="DO16" s="1460"/>
      <c r="DP16" s="1461">
        <f>SUM(DD16:DO16)</f>
        <v>25850</v>
      </c>
    </row>
    <row r="17" spans="1:120" s="30" customFormat="1" ht="15" customHeight="1">
      <c r="A17" s="452" t="s">
        <v>117</v>
      </c>
      <c r="B17" s="453"/>
      <c r="C17" s="454">
        <f>SUM(C18:C22)</f>
        <v>40406480</v>
      </c>
      <c r="D17" s="621">
        <f>D18+D19-D20+D21-D22</f>
        <v>40524709</v>
      </c>
      <c r="E17" s="459">
        <f t="shared" ref="E17:O17" si="36">E18+E19-E20+E21-E22</f>
        <v>40631795</v>
      </c>
      <c r="F17" s="459">
        <f t="shared" si="36"/>
        <v>40750684</v>
      </c>
      <c r="G17" s="459">
        <f t="shared" si="36"/>
        <v>40866069</v>
      </c>
      <c r="H17" s="459">
        <f t="shared" si="36"/>
        <v>40985645</v>
      </c>
      <c r="I17" s="459">
        <f t="shared" si="36"/>
        <v>41101696</v>
      </c>
      <c r="J17" s="459">
        <f t="shared" si="36"/>
        <v>41221962</v>
      </c>
      <c r="K17" s="459">
        <f t="shared" si="36"/>
        <v>41342579</v>
      </c>
      <c r="L17" s="459">
        <f t="shared" si="36"/>
        <v>41459642</v>
      </c>
      <c r="M17" s="459">
        <f t="shared" si="36"/>
        <v>41580956</v>
      </c>
      <c r="N17" s="459">
        <f t="shared" si="36"/>
        <v>41698694</v>
      </c>
      <c r="O17" s="460">
        <f t="shared" si="36"/>
        <v>-167440</v>
      </c>
      <c r="P17" s="455">
        <f>P18+P19-P20+P21-P22</f>
        <v>41531254</v>
      </c>
      <c r="Q17" s="621">
        <f>Q18+Q19-Q20+Q21-Q22</f>
        <v>15636074</v>
      </c>
      <c r="R17" s="459">
        <f t="shared" ref="R17:AB17" si="37">R18+R19-R20+R21-R22</f>
        <v>15678548</v>
      </c>
      <c r="S17" s="459">
        <f t="shared" si="37"/>
        <v>15725707</v>
      </c>
      <c r="T17" s="459">
        <f t="shared" si="37"/>
        <v>15771480</v>
      </c>
      <c r="U17" s="459">
        <f t="shared" si="37"/>
        <v>15818919</v>
      </c>
      <c r="V17" s="459">
        <f t="shared" si="37"/>
        <v>15864963</v>
      </c>
      <c r="W17" s="459">
        <f t="shared" si="37"/>
        <v>15912683</v>
      </c>
      <c r="X17" s="459">
        <f t="shared" si="37"/>
        <v>15960547</v>
      </c>
      <c r="Y17" s="459">
        <f t="shared" si="37"/>
        <v>16007003</v>
      </c>
      <c r="Z17" s="459">
        <f t="shared" si="37"/>
        <v>16055151</v>
      </c>
      <c r="AA17" s="459">
        <f t="shared" si="37"/>
        <v>16101883</v>
      </c>
      <c r="AB17" s="460">
        <f t="shared" si="37"/>
        <v>46017586</v>
      </c>
      <c r="AC17" s="456">
        <f>AC18+AC19-AC20+AC21-AC22</f>
        <v>46017586</v>
      </c>
      <c r="AD17" s="876">
        <f>AD18+AD19-AD20+AD21-AD22</f>
        <v>46106303</v>
      </c>
      <c r="AE17" s="459">
        <f t="shared" ref="AE17:AO17" si="38">AE18+AE19-AE20+AE21-AE22</f>
        <v>46189451</v>
      </c>
      <c r="AF17" s="459">
        <f t="shared" si="38"/>
        <v>46278497</v>
      </c>
      <c r="AG17" s="459">
        <f t="shared" si="38"/>
        <v>46364837</v>
      </c>
      <c r="AH17" s="459">
        <f t="shared" si="38"/>
        <v>46454221</v>
      </c>
      <c r="AI17" s="459">
        <f t="shared" si="38"/>
        <v>46540889</v>
      </c>
      <c r="AJ17" s="459">
        <f t="shared" si="38"/>
        <v>46630613</v>
      </c>
      <c r="AK17" s="459">
        <f t="shared" si="38"/>
        <v>46720512</v>
      </c>
      <c r="AL17" s="459">
        <f t="shared" si="38"/>
        <v>46807674</v>
      </c>
      <c r="AM17" s="459">
        <f t="shared" si="38"/>
        <v>46897914</v>
      </c>
      <c r="AN17" s="459">
        <f t="shared" si="38"/>
        <v>46985410</v>
      </c>
      <c r="AO17" s="838">
        <f t="shared" si="38"/>
        <v>46791703</v>
      </c>
      <c r="AP17" s="456">
        <f>AP18+AP19-AP20+AP21-AP22</f>
        <v>46791703</v>
      </c>
      <c r="AQ17" s="875">
        <f>AQ18+AQ19-AQ20+AQ21-AQ22</f>
        <v>46878610</v>
      </c>
      <c r="AR17" s="868">
        <f t="shared" ref="AR17:BB17" si="39">AR18+AR19-AR20+AR21-AR22</f>
        <v>46957245</v>
      </c>
      <c r="AS17" s="868">
        <f t="shared" si="39"/>
        <v>47044460</v>
      </c>
      <c r="AT17" s="868">
        <f t="shared" si="39"/>
        <v>47129016</v>
      </c>
      <c r="AU17" s="868">
        <f t="shared" si="39"/>
        <v>47216550</v>
      </c>
      <c r="AV17" s="868">
        <f t="shared" si="39"/>
        <v>47301418</v>
      </c>
      <c r="AW17" s="868">
        <f t="shared" si="39"/>
        <v>47389273</v>
      </c>
      <c r="AX17" s="868">
        <f t="shared" si="39"/>
        <v>47477295</v>
      </c>
      <c r="AY17" s="868">
        <f t="shared" si="39"/>
        <v>47562632</v>
      </c>
      <c r="AZ17" s="868">
        <f t="shared" si="39"/>
        <v>47650973</v>
      </c>
      <c r="BA17" s="868">
        <f t="shared" si="39"/>
        <v>47736623</v>
      </c>
      <c r="BB17" s="869">
        <f t="shared" si="39"/>
        <v>47526878</v>
      </c>
      <c r="BC17" s="456">
        <f t="shared" ref="BC17:BI17" si="40">BC18+BC19-BC20+BC21-BC22</f>
        <v>47526878</v>
      </c>
      <c r="BD17" s="875">
        <f t="shared" si="40"/>
        <v>47611376</v>
      </c>
      <c r="BE17" s="875">
        <f t="shared" si="40"/>
        <v>47687827</v>
      </c>
      <c r="BF17" s="875">
        <f t="shared" si="40"/>
        <v>47772612</v>
      </c>
      <c r="BG17" s="875">
        <f t="shared" si="40"/>
        <v>47854805</v>
      </c>
      <c r="BH17" s="875">
        <f t="shared" si="40"/>
        <v>47939887</v>
      </c>
      <c r="BI17" s="875">
        <f t="shared" si="40"/>
        <v>48022368</v>
      </c>
      <c r="BJ17" s="875">
        <f t="shared" ref="BJ17:BX17" si="41">BJ18+BJ19-BJ20+BJ21-BJ22</f>
        <v>48107748</v>
      </c>
      <c r="BK17" s="875">
        <f t="shared" si="41"/>
        <v>48193280</v>
      </c>
      <c r="BL17" s="875">
        <f t="shared" si="41"/>
        <v>48276197</v>
      </c>
      <c r="BM17" s="875">
        <f t="shared" si="41"/>
        <v>48362028</v>
      </c>
      <c r="BN17" s="875">
        <f t="shared" si="41"/>
        <v>48445236</v>
      </c>
      <c r="BO17" s="875">
        <f t="shared" si="41"/>
        <v>48286821</v>
      </c>
      <c r="BP17" s="456">
        <f t="shared" si="41"/>
        <v>48286821</v>
      </c>
      <c r="BQ17" s="875">
        <f t="shared" si="41"/>
        <v>48376567</v>
      </c>
      <c r="BR17" s="875">
        <f t="shared" si="41"/>
        <v>48457771</v>
      </c>
      <c r="BS17" s="875">
        <f t="shared" si="41"/>
        <v>48547836</v>
      </c>
      <c r="BT17" s="875">
        <f t="shared" si="41"/>
        <v>48635155</v>
      </c>
      <c r="BU17" s="875">
        <f t="shared" si="41"/>
        <v>48725552</v>
      </c>
      <c r="BV17" s="875">
        <f t="shared" si="41"/>
        <v>48813192</v>
      </c>
      <c r="BW17" s="875">
        <f t="shared" si="41"/>
        <v>48903920</v>
      </c>
      <c r="BX17" s="875">
        <f t="shared" si="41"/>
        <v>8985412</v>
      </c>
      <c r="BY17" s="875">
        <f t="shared" ref="BY17:CL17" si="42">BY18+BY19-BY20+BY21-BY22</f>
        <v>9002930</v>
      </c>
      <c r="BZ17" s="1270">
        <f t="shared" si="42"/>
        <v>9021070</v>
      </c>
      <c r="CA17" s="1270">
        <f t="shared" si="42"/>
        <v>9038657</v>
      </c>
      <c r="CB17" s="1270">
        <f t="shared" si="42"/>
        <v>8966272</v>
      </c>
      <c r="CC17" s="1193">
        <f t="shared" si="42"/>
        <v>8966272</v>
      </c>
      <c r="CD17" s="1270">
        <f t="shared" si="42"/>
        <v>8893136</v>
      </c>
      <c r="CE17" s="1270">
        <f t="shared" si="42"/>
        <v>8909381</v>
      </c>
      <c r="CF17" s="1270">
        <f t="shared" si="42"/>
        <v>8926779</v>
      </c>
      <c r="CG17" s="1332">
        <f t="shared" si="42"/>
        <v>8943648</v>
      </c>
      <c r="CH17" s="1332">
        <f t="shared" si="42"/>
        <v>8961112</v>
      </c>
      <c r="CI17" s="1332">
        <f t="shared" si="42"/>
        <v>8978046</v>
      </c>
      <c r="CJ17" s="1332">
        <f t="shared" si="42"/>
        <v>8995578</v>
      </c>
      <c r="CK17" s="1332">
        <f t="shared" si="42"/>
        <v>9013145</v>
      </c>
      <c r="CL17" s="1332">
        <f t="shared" si="42"/>
        <v>9030177</v>
      </c>
      <c r="CM17" s="1332">
        <f>CM18+CM19-CM20+CM21-CM22</f>
        <v>9047811</v>
      </c>
      <c r="CN17" s="1332">
        <f>CN18+CN19-CN20+CN21-CN22</f>
        <v>9064908</v>
      </c>
      <c r="CO17" s="1332">
        <f>CO18+CO19-CO20+CO21-CO22</f>
        <v>9059299</v>
      </c>
      <c r="CP17" s="1193">
        <f>CP18+CP19-CP20+CP21-CP22</f>
        <v>9059299</v>
      </c>
      <c r="CQ17" s="1332">
        <f t="shared" ref="CQ17:CY17" si="43">CQ18+CQ19-CQ20+CQ21-CQ22</f>
        <v>6047872</v>
      </c>
      <c r="CR17" s="1332">
        <f t="shared" si="43"/>
        <v>6056383</v>
      </c>
      <c r="CS17" s="1332">
        <f t="shared" si="43"/>
        <v>6065819</v>
      </c>
      <c r="CT17" s="1332">
        <f t="shared" si="43"/>
        <v>6074965</v>
      </c>
      <c r="CU17" s="1332">
        <f t="shared" si="43"/>
        <v>6084430</v>
      </c>
      <c r="CV17" s="1332">
        <f t="shared" si="43"/>
        <v>6093604</v>
      </c>
      <c r="CW17" s="1332">
        <f t="shared" si="43"/>
        <v>6103099</v>
      </c>
      <c r="CX17" s="1332">
        <f t="shared" si="43"/>
        <v>6112608</v>
      </c>
      <c r="CY17" s="1332">
        <f t="shared" si="43"/>
        <v>6121824</v>
      </c>
      <c r="CZ17" s="1332">
        <f>CZ18+CZ19-CZ20+CZ21-CZ22</f>
        <v>6131363</v>
      </c>
      <c r="DA17" s="1332">
        <f>DA18+DA19-DA20+DA21-DA22</f>
        <v>6140608</v>
      </c>
      <c r="DB17" s="1332">
        <f>DB18+DB19-DB20+DB21-DB22</f>
        <v>6134374</v>
      </c>
      <c r="DC17" s="1193">
        <f>DC18+DC19-DC20+DC21-DC22</f>
        <v>6134374</v>
      </c>
      <c r="DD17" s="1332">
        <f t="shared" ref="DD17:DL17" si="44">DD18+DD19-DD20+DD21-DD22</f>
        <v>6129412</v>
      </c>
      <c r="DE17" s="1332">
        <f t="shared" si="44"/>
        <v>6139330</v>
      </c>
      <c r="DF17" s="1332">
        <f t="shared" si="44"/>
        <v>6150329</v>
      </c>
      <c r="DG17" s="1332">
        <f t="shared" si="44"/>
        <v>6160993</v>
      </c>
      <c r="DH17" s="1332">
        <f t="shared" si="44"/>
        <v>6172031</v>
      </c>
      <c r="DI17" s="1332">
        <f t="shared" si="44"/>
        <v>6182732</v>
      </c>
      <c r="DJ17" s="1332">
        <f t="shared" si="44"/>
        <v>6182732</v>
      </c>
      <c r="DK17" s="1332">
        <f t="shared" si="44"/>
        <v>6182732</v>
      </c>
      <c r="DL17" s="1332">
        <f t="shared" si="44"/>
        <v>6182732</v>
      </c>
      <c r="DM17" s="1332">
        <f>DM18+DM19-DM20+DM21-DM22</f>
        <v>6182732</v>
      </c>
      <c r="DN17" s="1332">
        <f>DN18+DN19-DN20+DN21-DN22</f>
        <v>6182732</v>
      </c>
      <c r="DO17" s="1332">
        <f>DO18+DO19-DO20+DO21-DO22</f>
        <v>6182732</v>
      </c>
      <c r="DP17" s="1193">
        <f>DP18+DP19-DP20+DP21-DP22</f>
        <v>6182732</v>
      </c>
    </row>
    <row r="18" spans="1:120" ht="15" customHeight="1">
      <c r="A18" s="626"/>
      <c r="B18" s="678" t="s">
        <v>425</v>
      </c>
      <c r="C18" s="679"/>
      <c r="D18" s="680">
        <f t="shared" ref="D18:I18" si="45">C17</f>
        <v>40406480</v>
      </c>
      <c r="E18" s="622">
        <f t="shared" si="45"/>
        <v>40524709</v>
      </c>
      <c r="F18" s="622">
        <f t="shared" si="45"/>
        <v>40631795</v>
      </c>
      <c r="G18" s="622">
        <f t="shared" si="45"/>
        <v>40750684</v>
      </c>
      <c r="H18" s="622">
        <f t="shared" si="45"/>
        <v>40866069</v>
      </c>
      <c r="I18" s="622">
        <f t="shared" si="45"/>
        <v>40985645</v>
      </c>
      <c r="J18" s="622">
        <f>I17</f>
        <v>41101696</v>
      </c>
      <c r="K18" s="622">
        <f>J17</f>
        <v>41221962</v>
      </c>
      <c r="L18" s="622">
        <f>K17</f>
        <v>41342579</v>
      </c>
      <c r="M18" s="622">
        <f>L17</f>
        <v>41459642</v>
      </c>
      <c r="N18" s="622">
        <f>M17</f>
        <v>41580956</v>
      </c>
      <c r="O18" s="681"/>
      <c r="P18" s="682">
        <f>D18</f>
        <v>40406480</v>
      </c>
      <c r="Q18" s="680">
        <f t="shared" ref="Q18:AB18" si="46">P17</f>
        <v>41531254</v>
      </c>
      <c r="R18" s="622">
        <f t="shared" si="46"/>
        <v>15636074</v>
      </c>
      <c r="S18" s="622">
        <f t="shared" si="46"/>
        <v>15678548</v>
      </c>
      <c r="T18" s="622">
        <f t="shared" si="46"/>
        <v>15725707</v>
      </c>
      <c r="U18" s="622">
        <f t="shared" si="46"/>
        <v>15771480</v>
      </c>
      <c r="V18" s="622">
        <f t="shared" si="46"/>
        <v>15818919</v>
      </c>
      <c r="W18" s="622">
        <f t="shared" si="46"/>
        <v>15864963</v>
      </c>
      <c r="X18" s="622">
        <f t="shared" si="46"/>
        <v>15912683</v>
      </c>
      <c r="Y18" s="622">
        <f t="shared" si="46"/>
        <v>15960547</v>
      </c>
      <c r="Z18" s="622">
        <f t="shared" si="46"/>
        <v>16007003</v>
      </c>
      <c r="AA18" s="622">
        <f t="shared" si="46"/>
        <v>16055151</v>
      </c>
      <c r="AB18" s="681">
        <f t="shared" si="46"/>
        <v>16101883</v>
      </c>
      <c r="AC18" s="683">
        <f>Q18</f>
        <v>41531254</v>
      </c>
      <c r="AD18" s="873">
        <f t="shared" ref="AD18:AO18" si="47">AC17</f>
        <v>46017586</v>
      </c>
      <c r="AE18" s="872">
        <f t="shared" si="47"/>
        <v>46106303</v>
      </c>
      <c r="AF18" s="872">
        <f t="shared" si="47"/>
        <v>46189451</v>
      </c>
      <c r="AG18" s="872">
        <f t="shared" si="47"/>
        <v>46278497</v>
      </c>
      <c r="AH18" s="872">
        <f t="shared" si="47"/>
        <v>46364837</v>
      </c>
      <c r="AI18" s="872">
        <f t="shared" si="47"/>
        <v>46454221</v>
      </c>
      <c r="AJ18" s="872">
        <f t="shared" si="47"/>
        <v>46540889</v>
      </c>
      <c r="AK18" s="872">
        <f t="shared" si="47"/>
        <v>46630613</v>
      </c>
      <c r="AL18" s="872">
        <f t="shared" si="47"/>
        <v>46720512</v>
      </c>
      <c r="AM18" s="872">
        <f t="shared" si="47"/>
        <v>46807674</v>
      </c>
      <c r="AN18" s="872">
        <f t="shared" si="47"/>
        <v>46897914</v>
      </c>
      <c r="AO18" s="871">
        <f t="shared" si="47"/>
        <v>46985410</v>
      </c>
      <c r="AP18" s="884">
        <f>AD18</f>
        <v>46017586</v>
      </c>
      <c r="AQ18" s="891">
        <f t="shared" ref="AQ18:AX18" si="48">AP17</f>
        <v>46791703</v>
      </c>
      <c r="AR18" s="892">
        <f t="shared" si="48"/>
        <v>46878610</v>
      </c>
      <c r="AS18" s="892">
        <f t="shared" si="48"/>
        <v>46957245</v>
      </c>
      <c r="AT18" s="892">
        <f t="shared" si="48"/>
        <v>47044460</v>
      </c>
      <c r="AU18" s="892">
        <f t="shared" si="48"/>
        <v>47129016</v>
      </c>
      <c r="AV18" s="892">
        <f t="shared" si="48"/>
        <v>47216550</v>
      </c>
      <c r="AW18" s="907">
        <f t="shared" si="48"/>
        <v>47301418</v>
      </c>
      <c r="AX18" s="907">
        <f t="shared" si="48"/>
        <v>47389273</v>
      </c>
      <c r="AY18" s="914">
        <f>AX17</f>
        <v>47477295</v>
      </c>
      <c r="AZ18" s="1002">
        <f>AY17</f>
        <v>47562632</v>
      </c>
      <c r="BA18" s="1002">
        <f>AZ17</f>
        <v>47650973</v>
      </c>
      <c r="BB18" s="1003">
        <f>BA17</f>
        <v>47736623</v>
      </c>
      <c r="BC18" s="884">
        <f>AQ18</f>
        <v>46791703</v>
      </c>
      <c r="BD18" s="1015">
        <f t="shared" ref="BD18:BJ18" si="49">BC17</f>
        <v>47526878</v>
      </c>
      <c r="BE18" s="1015">
        <f t="shared" si="49"/>
        <v>47611376</v>
      </c>
      <c r="BF18" s="1024">
        <f t="shared" si="49"/>
        <v>47687827</v>
      </c>
      <c r="BG18" s="1038">
        <f t="shared" si="49"/>
        <v>47772612</v>
      </c>
      <c r="BH18" s="1038">
        <f t="shared" si="49"/>
        <v>47854805</v>
      </c>
      <c r="BI18" s="1038">
        <f t="shared" si="49"/>
        <v>47939887</v>
      </c>
      <c r="BJ18" s="1162">
        <f t="shared" si="49"/>
        <v>48022368</v>
      </c>
      <c r="BK18" s="1162">
        <f>BJ17</f>
        <v>48107748</v>
      </c>
      <c r="BL18" s="1162">
        <f>BK17</f>
        <v>48193280</v>
      </c>
      <c r="BM18" s="1162">
        <f>BL17</f>
        <v>48276197</v>
      </c>
      <c r="BN18" s="1162">
        <f>BM17</f>
        <v>48362028</v>
      </c>
      <c r="BO18" s="1162">
        <f>BN17</f>
        <v>48445236</v>
      </c>
      <c r="BP18" s="884">
        <f>BD18</f>
        <v>47526878</v>
      </c>
      <c r="BQ18" s="1224">
        <f t="shared" ref="BQ18:CB18" si="50">BP17</f>
        <v>48286821</v>
      </c>
      <c r="BR18" s="1224">
        <f t="shared" si="50"/>
        <v>48376567</v>
      </c>
      <c r="BS18" s="1224">
        <f t="shared" si="50"/>
        <v>48457771</v>
      </c>
      <c r="BT18" s="1224">
        <f t="shared" si="50"/>
        <v>48547836</v>
      </c>
      <c r="BU18" s="1224">
        <f t="shared" si="50"/>
        <v>48635155</v>
      </c>
      <c r="BV18" s="1224">
        <f t="shared" si="50"/>
        <v>48725552</v>
      </c>
      <c r="BW18" s="1224">
        <f t="shared" si="50"/>
        <v>48813192</v>
      </c>
      <c r="BX18" s="1224">
        <f t="shared" si="50"/>
        <v>48903920</v>
      </c>
      <c r="BY18" s="1224">
        <f t="shared" si="50"/>
        <v>8985412</v>
      </c>
      <c r="BZ18" s="1194">
        <f t="shared" si="50"/>
        <v>9002930</v>
      </c>
      <c r="CA18" s="1194">
        <f t="shared" si="50"/>
        <v>9021070</v>
      </c>
      <c r="CB18" s="1194">
        <f t="shared" si="50"/>
        <v>9038657</v>
      </c>
      <c r="CC18" s="1195">
        <f>BQ18</f>
        <v>48286821</v>
      </c>
      <c r="CD18" s="1293">
        <f>CC17</f>
        <v>8966272</v>
      </c>
      <c r="CE18" s="1293">
        <f>CD17</f>
        <v>8893136</v>
      </c>
      <c r="CF18" s="1293">
        <f>CE17</f>
        <v>8909381</v>
      </c>
      <c r="CG18" s="1333">
        <f t="shared" ref="CG18:CO18" si="51">CF17</f>
        <v>8926779</v>
      </c>
      <c r="CH18" s="1333">
        <f t="shared" si="51"/>
        <v>8943648</v>
      </c>
      <c r="CI18" s="1333">
        <f t="shared" si="51"/>
        <v>8961112</v>
      </c>
      <c r="CJ18" s="1333">
        <f t="shared" si="51"/>
        <v>8978046</v>
      </c>
      <c r="CK18" s="1333">
        <f t="shared" si="51"/>
        <v>8995578</v>
      </c>
      <c r="CL18" s="1333">
        <f t="shared" si="51"/>
        <v>9013145</v>
      </c>
      <c r="CM18" s="1368">
        <f t="shared" si="51"/>
        <v>9030177</v>
      </c>
      <c r="CN18" s="1368">
        <f t="shared" si="51"/>
        <v>9047811</v>
      </c>
      <c r="CO18" s="1368">
        <f t="shared" si="51"/>
        <v>9064908</v>
      </c>
      <c r="CP18" s="1294">
        <f>CD18</f>
        <v>8966272</v>
      </c>
      <c r="CQ18" s="1392">
        <f t="shared" ref="CQ18:DB18" si="52">CP17</f>
        <v>9059299</v>
      </c>
      <c r="CR18" s="1392">
        <f t="shared" si="52"/>
        <v>6047872</v>
      </c>
      <c r="CS18" s="1392">
        <f t="shared" si="52"/>
        <v>6056383</v>
      </c>
      <c r="CT18" s="1392">
        <f t="shared" si="52"/>
        <v>6065819</v>
      </c>
      <c r="CU18" s="1392">
        <f t="shared" si="52"/>
        <v>6074965</v>
      </c>
      <c r="CV18" s="1392">
        <f t="shared" si="52"/>
        <v>6084430</v>
      </c>
      <c r="CW18" s="1392">
        <f t="shared" si="52"/>
        <v>6093604</v>
      </c>
      <c r="CX18" s="1392">
        <f t="shared" si="52"/>
        <v>6103099</v>
      </c>
      <c r="CY18" s="1392">
        <f t="shared" si="52"/>
        <v>6112608</v>
      </c>
      <c r="CZ18" s="1431">
        <f t="shared" si="52"/>
        <v>6121824</v>
      </c>
      <c r="DA18" s="1431">
        <f t="shared" si="52"/>
        <v>6131363</v>
      </c>
      <c r="DB18" s="1431">
        <f t="shared" si="52"/>
        <v>6140608</v>
      </c>
      <c r="DC18" s="1393">
        <f>CQ18</f>
        <v>9059299</v>
      </c>
      <c r="DD18" s="1451">
        <f t="shared" ref="DD18:DO18" si="53">DC17</f>
        <v>6134374</v>
      </c>
      <c r="DE18" s="1451">
        <f t="shared" si="53"/>
        <v>6129412</v>
      </c>
      <c r="DF18" s="1451">
        <f t="shared" si="53"/>
        <v>6139330</v>
      </c>
      <c r="DG18" s="1451">
        <f t="shared" si="53"/>
        <v>6150329</v>
      </c>
      <c r="DH18" s="1451">
        <f t="shared" si="53"/>
        <v>6160993</v>
      </c>
      <c r="DI18" s="1451">
        <f t="shared" si="53"/>
        <v>6172031</v>
      </c>
      <c r="DJ18" s="1451">
        <f t="shared" si="53"/>
        <v>6182732</v>
      </c>
      <c r="DK18" s="1451">
        <f t="shared" si="53"/>
        <v>6182732</v>
      </c>
      <c r="DL18" s="1451">
        <f t="shared" si="53"/>
        <v>6182732</v>
      </c>
      <c r="DM18" s="1451">
        <f t="shared" si="53"/>
        <v>6182732</v>
      </c>
      <c r="DN18" s="1451">
        <f t="shared" si="53"/>
        <v>6182732</v>
      </c>
      <c r="DO18" s="1451">
        <f t="shared" si="53"/>
        <v>6182732</v>
      </c>
      <c r="DP18" s="1452">
        <f>DD18</f>
        <v>6134374</v>
      </c>
    </row>
    <row r="19" spans="1:120" ht="15" customHeight="1">
      <c r="A19" s="626"/>
      <c r="B19" s="678" t="s">
        <v>430</v>
      </c>
      <c r="C19" s="679">
        <v>40387443</v>
      </c>
      <c r="D19" s="680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81"/>
      <c r="P19" s="682">
        <f>SUM(D19:O19)</f>
        <v>0</v>
      </c>
      <c r="Q19" s="680"/>
      <c r="R19" s="622"/>
      <c r="S19" s="622"/>
      <c r="T19" s="622"/>
      <c r="U19" s="622"/>
      <c r="V19" s="622"/>
      <c r="W19" s="622"/>
      <c r="X19" s="622"/>
      <c r="Y19" s="622"/>
      <c r="Z19" s="622"/>
      <c r="AA19" s="622"/>
      <c r="AB19" s="681">
        <v>30000000</v>
      </c>
      <c r="AC19" s="683">
        <f>SUM(Q19:AB19)</f>
        <v>30000000</v>
      </c>
      <c r="AD19" s="873"/>
      <c r="AE19" s="872"/>
      <c r="AF19" s="872"/>
      <c r="AG19" s="872"/>
      <c r="AH19" s="872"/>
      <c r="AI19" s="872"/>
      <c r="AJ19" s="872"/>
      <c r="AK19" s="872"/>
      <c r="AL19" s="872"/>
      <c r="AM19" s="872"/>
      <c r="AN19" s="872"/>
      <c r="AO19" s="871"/>
      <c r="AP19" s="884">
        <f>SUM(AD19:AO19)</f>
        <v>0</v>
      </c>
      <c r="AQ19" s="891"/>
      <c r="AR19" s="892"/>
      <c r="AS19" s="892"/>
      <c r="AT19" s="892"/>
      <c r="AU19" s="892"/>
      <c r="AV19" s="892"/>
      <c r="AW19" s="907"/>
      <c r="AX19" s="907"/>
      <c r="AY19" s="914"/>
      <c r="AZ19" s="1002"/>
      <c r="BA19" s="1002"/>
      <c r="BB19" s="1003"/>
      <c r="BC19" s="884">
        <f>SUM(AQ19:BB19)</f>
        <v>0</v>
      </c>
      <c r="BD19" s="1015"/>
      <c r="BE19" s="1002"/>
      <c r="BF19" s="1025"/>
      <c r="BG19" s="1039"/>
      <c r="BH19" s="1039"/>
      <c r="BI19" s="1039"/>
      <c r="BJ19" s="1163"/>
      <c r="BK19" s="1163"/>
      <c r="BL19" s="1163"/>
      <c r="BM19" s="1163"/>
      <c r="BN19" s="1163"/>
      <c r="BO19" s="1175"/>
      <c r="BP19" s="884">
        <f>SUM(BD19:BO19)</f>
        <v>0</v>
      </c>
      <c r="BQ19" s="1224"/>
      <c r="BR19" s="1225"/>
      <c r="BS19" s="1225"/>
      <c r="BT19" s="1225"/>
      <c r="BU19" s="1225"/>
      <c r="BV19" s="1225"/>
      <c r="BW19" s="1225"/>
      <c r="BX19" s="1225"/>
      <c r="BY19" s="1225"/>
      <c r="BZ19" s="1163"/>
      <c r="CA19" s="1163"/>
      <c r="CB19" s="1175"/>
      <c r="CC19" s="1195">
        <f>SUM(BQ19:CB19)</f>
        <v>0</v>
      </c>
      <c r="CD19" s="1293"/>
      <c r="CE19" s="1295"/>
      <c r="CF19" s="1295"/>
      <c r="CG19" s="1334"/>
      <c r="CH19" s="1334"/>
      <c r="CI19" s="1334"/>
      <c r="CJ19" s="1334"/>
      <c r="CK19" s="1334"/>
      <c r="CL19" s="1334"/>
      <c r="CM19" s="1369"/>
      <c r="CN19" s="1369"/>
      <c r="CO19" s="1370"/>
      <c r="CP19" s="1294">
        <f>SUM(CD19:CO19)</f>
        <v>0</v>
      </c>
      <c r="CQ19" s="1392"/>
      <c r="CR19" s="1394"/>
      <c r="CS19" s="1394"/>
      <c r="CT19" s="1394"/>
      <c r="CU19" s="1394"/>
      <c r="CV19" s="1394"/>
      <c r="CW19" s="1394"/>
      <c r="CX19" s="1394"/>
      <c r="CY19" s="1394"/>
      <c r="CZ19" s="1432"/>
      <c r="DA19" s="1432"/>
      <c r="DB19" s="1433"/>
      <c r="DC19" s="1393">
        <f>SUM(CQ19:DB19)</f>
        <v>0</v>
      </c>
      <c r="DD19" s="1451"/>
      <c r="DE19" s="1453"/>
      <c r="DF19" s="1453"/>
      <c r="DG19" s="1453"/>
      <c r="DH19" s="1453"/>
      <c r="DI19" s="1453"/>
      <c r="DJ19" s="1453"/>
      <c r="DK19" s="1453"/>
      <c r="DL19" s="1453"/>
      <c r="DM19" s="1453"/>
      <c r="DN19" s="1453"/>
      <c r="DO19" s="1454"/>
      <c r="DP19" s="1452">
        <f>SUM(DD19:DO19)</f>
        <v>0</v>
      </c>
    </row>
    <row r="20" spans="1:120" ht="15" customHeight="1">
      <c r="A20" s="626"/>
      <c r="B20" s="678" t="s">
        <v>431</v>
      </c>
      <c r="C20" s="679"/>
      <c r="D20" s="680"/>
      <c r="E20" s="622"/>
      <c r="F20" s="622"/>
      <c r="G20" s="622"/>
      <c r="H20" s="622"/>
      <c r="I20" s="622"/>
      <c r="J20" s="622"/>
      <c r="K20" s="622"/>
      <c r="L20" s="622"/>
      <c r="M20" s="622"/>
      <c r="N20" s="622"/>
      <c r="O20" s="681"/>
      <c r="P20" s="682">
        <f>SUM(D20:O20)</f>
        <v>0</v>
      </c>
      <c r="Q20" s="680">
        <v>26000646</v>
      </c>
      <c r="R20" s="622"/>
      <c r="S20" s="622"/>
      <c r="T20" s="622"/>
      <c r="U20" s="622"/>
      <c r="V20" s="622"/>
      <c r="W20" s="622"/>
      <c r="X20" s="622"/>
      <c r="Y20" s="622"/>
      <c r="Z20" s="622"/>
      <c r="AA20" s="622"/>
      <c r="AB20" s="681"/>
      <c r="AC20" s="683">
        <f>SUM(Q20:AB20)</f>
        <v>26000646</v>
      </c>
      <c r="AD20" s="873"/>
      <c r="AE20" s="872"/>
      <c r="AF20" s="872"/>
      <c r="AG20" s="872"/>
      <c r="AH20" s="872"/>
      <c r="AI20" s="872"/>
      <c r="AJ20" s="872"/>
      <c r="AK20" s="872"/>
      <c r="AL20" s="872"/>
      <c r="AM20" s="872"/>
      <c r="AN20" s="872"/>
      <c r="AO20" s="871"/>
      <c r="AP20" s="884">
        <f>SUM(AD20:AO20)</f>
        <v>0</v>
      </c>
      <c r="AQ20" s="891"/>
      <c r="AR20" s="892"/>
      <c r="AS20" s="892"/>
      <c r="AT20" s="892"/>
      <c r="AU20" s="892"/>
      <c r="AV20" s="892"/>
      <c r="AW20" s="907"/>
      <c r="AX20" s="907"/>
      <c r="AY20" s="914"/>
      <c r="AZ20" s="1002"/>
      <c r="BA20" s="1002"/>
      <c r="BB20" s="1003"/>
      <c r="BC20" s="884">
        <f>SUM(AQ20:BB20)</f>
        <v>0</v>
      </c>
      <c r="BD20" s="1015"/>
      <c r="BE20" s="1002"/>
      <c r="BF20" s="1025"/>
      <c r="BG20" s="1039"/>
      <c r="BH20" s="1039"/>
      <c r="BI20" s="1039"/>
      <c r="BJ20" s="1163"/>
      <c r="BK20" s="1163"/>
      <c r="BL20" s="1163"/>
      <c r="BM20" s="1163"/>
      <c r="BN20" s="1163"/>
      <c r="BO20" s="1175"/>
      <c r="BP20" s="884">
        <f>SUM(BD20:BO20)</f>
        <v>0</v>
      </c>
      <c r="BQ20" s="1224"/>
      <c r="BR20" s="1225"/>
      <c r="BS20" s="1225"/>
      <c r="BT20" s="1225"/>
      <c r="BU20" s="1225"/>
      <c r="BV20" s="1225"/>
      <c r="BW20" s="1225"/>
      <c r="BX20" s="1225">
        <v>40000000</v>
      </c>
      <c r="BY20" s="1225"/>
      <c r="BZ20" s="1163"/>
      <c r="CA20" s="1163"/>
      <c r="CB20" s="1175"/>
      <c r="CC20" s="1195">
        <f>SUM(BQ20:CB20)</f>
        <v>40000000</v>
      </c>
      <c r="CD20" s="1293"/>
      <c r="CE20" s="1295"/>
      <c r="CF20" s="1295"/>
      <c r="CG20" s="1334"/>
      <c r="CH20" s="1334"/>
      <c r="CI20" s="1334"/>
      <c r="CJ20" s="1334"/>
      <c r="CK20" s="1334"/>
      <c r="CL20" s="1334"/>
      <c r="CM20" s="1369"/>
      <c r="CN20" s="1369"/>
      <c r="CO20" s="1370"/>
      <c r="CP20" s="1294">
        <f>SUM(CD20:CO20)</f>
        <v>0</v>
      </c>
      <c r="CQ20" s="1392">
        <v>3000000</v>
      </c>
      <c r="CR20" s="1394"/>
      <c r="CS20" s="1394"/>
      <c r="CT20" s="1394"/>
      <c r="CU20" s="1394"/>
      <c r="CV20" s="1394"/>
      <c r="CW20" s="1394"/>
      <c r="CX20" s="1394"/>
      <c r="CY20" s="1394"/>
      <c r="CZ20" s="1432"/>
      <c r="DA20" s="1432"/>
      <c r="DB20" s="1433"/>
      <c r="DC20" s="1393">
        <f>SUM(CQ20:DB20)</f>
        <v>3000000</v>
      </c>
      <c r="DD20" s="1451"/>
      <c r="DE20" s="1453"/>
      <c r="DF20" s="1453"/>
      <c r="DG20" s="1453"/>
      <c r="DH20" s="1453"/>
      <c r="DI20" s="1453"/>
      <c r="DJ20" s="1453"/>
      <c r="DK20" s="1453"/>
      <c r="DL20" s="1453"/>
      <c r="DM20" s="1453"/>
      <c r="DN20" s="1453"/>
      <c r="DO20" s="1454"/>
      <c r="DP20" s="1452">
        <f>SUM(DD20:DO20)</f>
        <v>0</v>
      </c>
    </row>
    <row r="21" spans="1:120" ht="15" customHeight="1">
      <c r="A21" s="626"/>
      <c r="B21" s="678" t="s">
        <v>428</v>
      </c>
      <c r="C21" s="679">
        <v>19037</v>
      </c>
      <c r="D21" s="680">
        <v>118229</v>
      </c>
      <c r="E21" s="622">
        <v>107086</v>
      </c>
      <c r="F21" s="622">
        <v>118889</v>
      </c>
      <c r="G21" s="622">
        <v>115385</v>
      </c>
      <c r="H21" s="622">
        <v>119576</v>
      </c>
      <c r="I21" s="622">
        <v>116051</v>
      </c>
      <c r="J21" s="622">
        <v>120266</v>
      </c>
      <c r="K21" s="622">
        <v>120617</v>
      </c>
      <c r="L21" s="622">
        <v>117063</v>
      </c>
      <c r="M21" s="622">
        <v>121314</v>
      </c>
      <c r="N21" s="622">
        <v>117738</v>
      </c>
      <c r="O21" s="681">
        <v>119945</v>
      </c>
      <c r="P21" s="682">
        <f>SUM(D21:O21)</f>
        <v>1412159</v>
      </c>
      <c r="Q21" s="680">
        <v>105466</v>
      </c>
      <c r="R21" s="622">
        <v>42474</v>
      </c>
      <c r="S21" s="622">
        <v>47159</v>
      </c>
      <c r="T21" s="622">
        <v>45773</v>
      </c>
      <c r="U21" s="622">
        <v>47439</v>
      </c>
      <c r="V21" s="622">
        <v>46044</v>
      </c>
      <c r="W21" s="622">
        <v>47720</v>
      </c>
      <c r="X21" s="622">
        <v>47864</v>
      </c>
      <c r="Y21" s="622">
        <v>46456</v>
      </c>
      <c r="Z21" s="622">
        <v>48148</v>
      </c>
      <c r="AA21" s="622">
        <v>46732</v>
      </c>
      <c r="AB21" s="681">
        <v>51192</v>
      </c>
      <c r="AC21" s="683">
        <f>SUM(Q21:AB21)</f>
        <v>622467</v>
      </c>
      <c r="AD21" s="873">
        <v>88717</v>
      </c>
      <c r="AE21" s="872">
        <v>83148</v>
      </c>
      <c r="AF21" s="872">
        <v>89046</v>
      </c>
      <c r="AG21" s="872">
        <v>86340</v>
      </c>
      <c r="AH21" s="872">
        <v>89384</v>
      </c>
      <c r="AI21" s="872">
        <v>86668</v>
      </c>
      <c r="AJ21" s="872">
        <v>89724</v>
      </c>
      <c r="AK21" s="872">
        <v>89899</v>
      </c>
      <c r="AL21" s="872">
        <v>87162</v>
      </c>
      <c r="AM21" s="872">
        <v>90240</v>
      </c>
      <c r="AN21" s="872">
        <v>87496</v>
      </c>
      <c r="AO21" s="871">
        <v>90198</v>
      </c>
      <c r="AP21" s="884">
        <f>SUM(AD21:AO21)</f>
        <v>1058022</v>
      </c>
      <c r="AQ21" s="891">
        <v>86907</v>
      </c>
      <c r="AR21" s="892">
        <v>78635</v>
      </c>
      <c r="AS21" s="892">
        <v>87215</v>
      </c>
      <c r="AT21" s="892">
        <v>84556</v>
      </c>
      <c r="AU21" s="892">
        <v>87534</v>
      </c>
      <c r="AV21" s="892">
        <v>84868</v>
      </c>
      <c r="AW21" s="907">
        <v>87855</v>
      </c>
      <c r="AX21" s="907">
        <v>88022</v>
      </c>
      <c r="AY21" s="914">
        <v>85337</v>
      </c>
      <c r="AZ21" s="1002">
        <v>88341</v>
      </c>
      <c r="BA21" s="1002">
        <v>85650</v>
      </c>
      <c r="BB21" s="1003">
        <v>88086</v>
      </c>
      <c r="BC21" s="884">
        <f>SUM(AQ21:BB21)</f>
        <v>1033006</v>
      </c>
      <c r="BD21" s="1015">
        <v>84498</v>
      </c>
      <c r="BE21" s="1002">
        <v>76451</v>
      </c>
      <c r="BF21" s="1025">
        <v>84785</v>
      </c>
      <c r="BG21" s="1039">
        <v>82193</v>
      </c>
      <c r="BH21" s="1039">
        <v>85082</v>
      </c>
      <c r="BI21" s="1039">
        <v>82481</v>
      </c>
      <c r="BJ21" s="1163">
        <v>85380</v>
      </c>
      <c r="BK21" s="1163">
        <v>85532</v>
      </c>
      <c r="BL21" s="1163">
        <v>82917</v>
      </c>
      <c r="BM21" s="1163">
        <v>85831</v>
      </c>
      <c r="BN21" s="1163">
        <v>83208</v>
      </c>
      <c r="BO21" s="1175">
        <v>86452</v>
      </c>
      <c r="BP21" s="884">
        <f>SUM(BD21:BO21)</f>
        <v>1004810</v>
      </c>
      <c r="BQ21" s="1224">
        <v>89746</v>
      </c>
      <c r="BR21" s="1225">
        <v>81204</v>
      </c>
      <c r="BS21" s="1225">
        <v>90065</v>
      </c>
      <c r="BT21" s="1225">
        <v>87319</v>
      </c>
      <c r="BU21" s="1225">
        <v>90397</v>
      </c>
      <c r="BV21" s="1225">
        <v>87640</v>
      </c>
      <c r="BW21" s="1225">
        <v>90728</v>
      </c>
      <c r="BX21" s="1225">
        <v>81492</v>
      </c>
      <c r="BY21" s="1225">
        <v>17518</v>
      </c>
      <c r="BZ21" s="1163">
        <v>18140</v>
      </c>
      <c r="CA21" s="1163">
        <v>17587</v>
      </c>
      <c r="CB21" s="1175">
        <v>18129</v>
      </c>
      <c r="CC21" s="1195">
        <f>SUM(BQ21:CB21)</f>
        <v>769965</v>
      </c>
      <c r="CD21" s="1293">
        <v>17378</v>
      </c>
      <c r="CE21" s="1295">
        <v>16245</v>
      </c>
      <c r="CF21" s="1295">
        <v>17398</v>
      </c>
      <c r="CG21" s="1334">
        <v>16869</v>
      </c>
      <c r="CH21" s="1334">
        <v>17464</v>
      </c>
      <c r="CI21" s="1334">
        <v>16934</v>
      </c>
      <c r="CJ21" s="1334">
        <v>17532</v>
      </c>
      <c r="CK21" s="1334">
        <v>17567</v>
      </c>
      <c r="CL21" s="1334">
        <v>17032</v>
      </c>
      <c r="CM21" s="1369">
        <v>17634</v>
      </c>
      <c r="CN21" s="1369">
        <v>17097</v>
      </c>
      <c r="CO21" s="1370">
        <v>17349</v>
      </c>
      <c r="CP21" s="1294">
        <f>SUM(CD21:CO21)</f>
        <v>206499</v>
      </c>
      <c r="CQ21" s="1392">
        <v>11531</v>
      </c>
      <c r="CR21" s="1394">
        <v>8511</v>
      </c>
      <c r="CS21" s="1394">
        <v>9436</v>
      </c>
      <c r="CT21" s="1394">
        <v>9146</v>
      </c>
      <c r="CU21" s="1394">
        <v>9465</v>
      </c>
      <c r="CV21" s="1394">
        <v>9174</v>
      </c>
      <c r="CW21" s="1394">
        <v>9495</v>
      </c>
      <c r="CX21" s="1394">
        <v>9509</v>
      </c>
      <c r="CY21" s="1394">
        <v>9216</v>
      </c>
      <c r="CZ21" s="1432">
        <v>9539</v>
      </c>
      <c r="DA21" s="1432">
        <v>9245</v>
      </c>
      <c r="DB21" s="1433">
        <v>9702</v>
      </c>
      <c r="DC21" s="1393">
        <f>SUM(CQ21:DB21)</f>
        <v>113969</v>
      </c>
      <c r="DD21" s="1451">
        <v>10974</v>
      </c>
      <c r="DE21" s="1453">
        <v>9918</v>
      </c>
      <c r="DF21" s="1453">
        <v>10999</v>
      </c>
      <c r="DG21" s="1453">
        <v>10664</v>
      </c>
      <c r="DH21" s="1453">
        <v>11038</v>
      </c>
      <c r="DI21" s="1453">
        <v>10701</v>
      </c>
      <c r="DJ21" s="1453"/>
      <c r="DK21" s="1453"/>
      <c r="DL21" s="1453"/>
      <c r="DM21" s="1453"/>
      <c r="DN21" s="1453"/>
      <c r="DO21" s="1454"/>
      <c r="DP21" s="1452">
        <f>SUM(DD21:DO21)</f>
        <v>64294</v>
      </c>
    </row>
    <row r="22" spans="1:120" ht="15" customHeight="1">
      <c r="A22" s="626"/>
      <c r="B22" s="684" t="s">
        <v>432</v>
      </c>
      <c r="C22" s="685"/>
      <c r="D22" s="686"/>
      <c r="E22" s="687"/>
      <c r="F22" s="687"/>
      <c r="G22" s="687"/>
      <c r="H22" s="687"/>
      <c r="I22" s="687"/>
      <c r="J22" s="687"/>
      <c r="K22" s="687"/>
      <c r="L22" s="687"/>
      <c r="M22" s="687"/>
      <c r="N22" s="687"/>
      <c r="O22" s="688">
        <v>287385</v>
      </c>
      <c r="P22" s="689">
        <f>SUM(D22:O22)</f>
        <v>287385</v>
      </c>
      <c r="Q22" s="686"/>
      <c r="R22" s="687"/>
      <c r="S22" s="687"/>
      <c r="T22" s="687"/>
      <c r="U22" s="687"/>
      <c r="V22" s="687"/>
      <c r="W22" s="687"/>
      <c r="X22" s="687"/>
      <c r="Y22" s="687"/>
      <c r="Z22" s="687"/>
      <c r="AA22" s="687"/>
      <c r="AB22" s="688">
        <v>135489</v>
      </c>
      <c r="AC22" s="690">
        <f>SUM(Q22:AB22)</f>
        <v>135489</v>
      </c>
      <c r="AD22" s="830"/>
      <c r="AE22" s="831"/>
      <c r="AF22" s="831"/>
      <c r="AG22" s="831"/>
      <c r="AH22" s="831"/>
      <c r="AI22" s="831"/>
      <c r="AJ22" s="831"/>
      <c r="AK22" s="831"/>
      <c r="AL22" s="831"/>
      <c r="AM22" s="831"/>
      <c r="AN22" s="831"/>
      <c r="AO22" s="832">
        <v>283905</v>
      </c>
      <c r="AP22" s="883">
        <f>SUM(AD22:AO22)</f>
        <v>283905</v>
      </c>
      <c r="AQ22" s="893"/>
      <c r="AR22" s="894"/>
      <c r="AS22" s="894"/>
      <c r="AT22" s="894"/>
      <c r="AU22" s="894"/>
      <c r="AV22" s="894"/>
      <c r="AW22" s="908"/>
      <c r="AX22" s="908"/>
      <c r="AY22" s="915"/>
      <c r="AZ22" s="1004"/>
      <c r="BA22" s="1004"/>
      <c r="BB22" s="1005">
        <v>297831</v>
      </c>
      <c r="BC22" s="883">
        <f>SUM(AQ22:BB22)</f>
        <v>297831</v>
      </c>
      <c r="BD22" s="1016"/>
      <c r="BE22" s="1004"/>
      <c r="BF22" s="1026"/>
      <c r="BG22" s="1040"/>
      <c r="BH22" s="1040"/>
      <c r="BI22" s="1040"/>
      <c r="BJ22" s="1164"/>
      <c r="BK22" s="1164"/>
      <c r="BL22" s="1164"/>
      <c r="BM22" s="1176"/>
      <c r="BN22" s="1176"/>
      <c r="BO22" s="1177">
        <v>244867</v>
      </c>
      <c r="BP22" s="883">
        <f>SUM(BD22:BO22)</f>
        <v>244867</v>
      </c>
      <c r="BQ22" s="1226"/>
      <c r="BR22" s="1230"/>
      <c r="BS22" s="1230"/>
      <c r="BT22" s="1230"/>
      <c r="BU22" s="1230"/>
      <c r="BV22" s="1230"/>
      <c r="BW22" s="1230"/>
      <c r="BX22" s="1230"/>
      <c r="BY22" s="1230"/>
      <c r="BZ22" s="1176"/>
      <c r="CA22" s="1176"/>
      <c r="CB22" s="1177">
        <v>90514</v>
      </c>
      <c r="CC22" s="1196">
        <f>SUM(BQ22:CB22)</f>
        <v>90514</v>
      </c>
      <c r="CD22" s="1226">
        <v>90514</v>
      </c>
      <c r="CE22" s="1296"/>
      <c r="CF22" s="1296"/>
      <c r="CG22" s="1335"/>
      <c r="CH22" s="1335"/>
      <c r="CI22" s="1335"/>
      <c r="CJ22" s="1335"/>
      <c r="CK22" s="1335"/>
      <c r="CL22" s="1335"/>
      <c r="CM22" s="1371"/>
      <c r="CN22" s="1371"/>
      <c r="CO22" s="1372">
        <v>22958</v>
      </c>
      <c r="CP22" s="1297">
        <f>SUM(CD22:CO22)</f>
        <v>113472</v>
      </c>
      <c r="CQ22" s="1395">
        <v>22958</v>
      </c>
      <c r="CR22" s="1396"/>
      <c r="CS22" s="1396"/>
      <c r="CT22" s="1396"/>
      <c r="CU22" s="1396"/>
      <c r="CV22" s="1396"/>
      <c r="CW22" s="1396"/>
      <c r="CX22" s="1396"/>
      <c r="CY22" s="1396"/>
      <c r="CZ22" s="1434"/>
      <c r="DA22" s="1434"/>
      <c r="DB22" s="1435">
        <v>15936</v>
      </c>
      <c r="DC22" s="1397">
        <f>SUM(CQ22:DB22)</f>
        <v>38894</v>
      </c>
      <c r="DD22" s="1395">
        <v>15936</v>
      </c>
      <c r="DE22" s="1455"/>
      <c r="DF22" s="1455"/>
      <c r="DG22" s="1455"/>
      <c r="DH22" s="1455"/>
      <c r="DI22" s="1455"/>
      <c r="DJ22" s="1455"/>
      <c r="DK22" s="1455"/>
      <c r="DL22" s="1455"/>
      <c r="DM22" s="1455"/>
      <c r="DN22" s="1455"/>
      <c r="DO22" s="1456"/>
      <c r="DP22" s="1457">
        <f>SUM(DD22:DO22)</f>
        <v>15936</v>
      </c>
    </row>
    <row r="23" spans="1:120" s="30" customFormat="1" ht="15" customHeight="1">
      <c r="A23" s="691" t="s">
        <v>111</v>
      </c>
      <c r="B23" s="692"/>
      <c r="C23" s="693">
        <f>SUM(C24:C28)</f>
        <v>44775021</v>
      </c>
      <c r="D23" s="694">
        <f>D24+D25-D26+D27-D28</f>
        <v>44902725</v>
      </c>
      <c r="E23" s="457">
        <f t="shared" ref="E23:O23" si="54">E24+E25-E26+E27-E28</f>
        <v>45018071</v>
      </c>
      <c r="F23" s="457">
        <f t="shared" si="54"/>
        <v>45145775</v>
      </c>
      <c r="G23" s="457">
        <f t="shared" si="54"/>
        <v>45269359</v>
      </c>
      <c r="H23" s="457">
        <f t="shared" si="54"/>
        <v>45397063</v>
      </c>
      <c r="I23" s="457">
        <f t="shared" si="54"/>
        <v>45520647</v>
      </c>
      <c r="J23" s="457">
        <f t="shared" si="54"/>
        <v>45648351</v>
      </c>
      <c r="K23" s="457">
        <f t="shared" si="54"/>
        <v>45776055</v>
      </c>
      <c r="L23" s="457">
        <f t="shared" si="54"/>
        <v>45899639</v>
      </c>
      <c r="M23" s="457">
        <f t="shared" si="54"/>
        <v>46027343</v>
      </c>
      <c r="N23" s="457">
        <f t="shared" si="54"/>
        <v>46150928</v>
      </c>
      <c r="O23" s="695">
        <f t="shared" si="54"/>
        <v>-191002</v>
      </c>
      <c r="P23" s="696">
        <f>P24+P25-P26+P27-P28</f>
        <v>45959926</v>
      </c>
      <c r="Q23" s="694">
        <f>Q24+Q25-Q26+Q27-Q28</f>
        <v>16858728</v>
      </c>
      <c r="R23" s="457">
        <f t="shared" ref="R23:AB23" si="55">R24+R25-R26+R27-R28</f>
        <v>16900019</v>
      </c>
      <c r="S23" s="457">
        <f t="shared" si="55"/>
        <v>16945658</v>
      </c>
      <c r="T23" s="457">
        <f t="shared" si="55"/>
        <v>16989778</v>
      </c>
      <c r="U23" s="457">
        <f t="shared" si="55"/>
        <v>17035369</v>
      </c>
      <c r="V23" s="457">
        <f t="shared" si="55"/>
        <v>17079414</v>
      </c>
      <c r="W23" s="457">
        <f t="shared" si="55"/>
        <v>17124881</v>
      </c>
      <c r="X23" s="457">
        <f t="shared" si="55"/>
        <v>17170348</v>
      </c>
      <c r="Y23" s="457">
        <f t="shared" si="55"/>
        <v>17214348</v>
      </c>
      <c r="Z23" s="457">
        <f t="shared" si="55"/>
        <v>17259815</v>
      </c>
      <c r="AA23" s="457">
        <f t="shared" si="55"/>
        <v>17303815</v>
      </c>
      <c r="AB23" s="695">
        <f t="shared" si="55"/>
        <v>47228345</v>
      </c>
      <c r="AC23" s="697">
        <f>AC24+AC25-AC26+AC27-AC28</f>
        <v>47228345</v>
      </c>
      <c r="AD23" s="833">
        <f>AD24+AD25-AD26+AD27-AD28</f>
        <v>47304113</v>
      </c>
      <c r="AE23" s="457">
        <f t="shared" ref="AE23:AO23" si="56">AE24+AE25-AE26+AE27-AE28</f>
        <v>47374900</v>
      </c>
      <c r="AF23" s="457">
        <f t="shared" si="56"/>
        <v>47455606</v>
      </c>
      <c r="AG23" s="457">
        <f t="shared" si="56"/>
        <v>47528884</v>
      </c>
      <c r="AH23" s="457">
        <f t="shared" si="56"/>
        <v>47607121</v>
      </c>
      <c r="AI23" s="457">
        <f t="shared" si="56"/>
        <v>47680314</v>
      </c>
      <c r="AJ23" s="457">
        <f t="shared" si="56"/>
        <v>47758428</v>
      </c>
      <c r="AK23" s="457">
        <f t="shared" si="56"/>
        <v>47834071</v>
      </c>
      <c r="AL23" s="457">
        <f t="shared" si="56"/>
        <v>47907229</v>
      </c>
      <c r="AM23" s="457">
        <f t="shared" si="56"/>
        <v>47985342</v>
      </c>
      <c r="AN23" s="457">
        <f t="shared" si="56"/>
        <v>48058500</v>
      </c>
      <c r="AO23" s="834">
        <f t="shared" si="56"/>
        <v>47843918</v>
      </c>
      <c r="AP23" s="697">
        <f>AP24+AP25-AP26+AP27-AP28</f>
        <v>47843918</v>
      </c>
      <c r="AQ23" s="895">
        <f>AQ24+AQ25-AQ26+AQ27-AQ28</f>
        <v>47919252</v>
      </c>
      <c r="AR23" s="896">
        <f t="shared" ref="AR23:BB23" si="57">AR24+AR25-AR26+AR27-AR28</f>
        <v>47988743</v>
      </c>
      <c r="AS23" s="896">
        <f t="shared" si="57"/>
        <v>48069898</v>
      </c>
      <c r="AT23" s="896">
        <f t="shared" si="57"/>
        <v>48142756</v>
      </c>
      <c r="AU23" s="896">
        <f t="shared" si="57"/>
        <v>48220559</v>
      </c>
      <c r="AV23" s="896">
        <f t="shared" si="57"/>
        <v>48293417</v>
      </c>
      <c r="AW23" s="896">
        <f t="shared" si="57"/>
        <v>48371221</v>
      </c>
      <c r="AX23" s="896">
        <f t="shared" si="57"/>
        <v>48446555</v>
      </c>
      <c r="AY23" s="896">
        <f t="shared" si="57"/>
        <v>48519415</v>
      </c>
      <c r="AZ23" s="896">
        <f t="shared" si="57"/>
        <v>48597220</v>
      </c>
      <c r="BA23" s="896">
        <f t="shared" si="57"/>
        <v>48670078</v>
      </c>
      <c r="BB23" s="1006">
        <f t="shared" si="57"/>
        <v>68465784</v>
      </c>
      <c r="BC23" s="697">
        <f t="shared" ref="BC23:BI23" si="58">BC24+BC25-BC26+BC27-BC28</f>
        <v>68465784</v>
      </c>
      <c r="BD23" s="1017">
        <f t="shared" si="58"/>
        <v>68574164</v>
      </c>
      <c r="BE23" s="1017">
        <f t="shared" si="58"/>
        <v>68673474</v>
      </c>
      <c r="BF23" s="1017">
        <f t="shared" si="58"/>
        <v>68790922</v>
      </c>
      <c r="BG23" s="1041">
        <f t="shared" si="58"/>
        <v>68895740</v>
      </c>
      <c r="BH23" s="1041">
        <f t="shared" si="58"/>
        <v>69007687</v>
      </c>
      <c r="BI23" s="1041">
        <f t="shared" si="58"/>
        <v>69112505</v>
      </c>
      <c r="BJ23" s="1165">
        <f t="shared" ref="BJ23:BX23" si="59">BJ24+BJ25-BJ26+BJ27-BJ28</f>
        <v>69224452</v>
      </c>
      <c r="BK23" s="1165">
        <f t="shared" si="59"/>
        <v>69332834</v>
      </c>
      <c r="BL23" s="1165">
        <f t="shared" si="59"/>
        <v>69437655</v>
      </c>
      <c r="BM23" s="1165">
        <f t="shared" si="59"/>
        <v>69549601</v>
      </c>
      <c r="BN23" s="1165">
        <f t="shared" si="59"/>
        <v>69654420</v>
      </c>
      <c r="BO23" s="1165">
        <f t="shared" si="59"/>
        <v>69355472</v>
      </c>
      <c r="BP23" s="697">
        <f t="shared" si="59"/>
        <v>69355472</v>
      </c>
      <c r="BQ23" s="1165">
        <f t="shared" si="59"/>
        <v>69463218</v>
      </c>
      <c r="BR23" s="1165">
        <f t="shared" si="59"/>
        <v>69560336</v>
      </c>
      <c r="BS23" s="1165">
        <f t="shared" si="59"/>
        <v>69678706</v>
      </c>
      <c r="BT23" s="1165">
        <f t="shared" si="59"/>
        <v>69782908</v>
      </c>
      <c r="BU23" s="1165">
        <f t="shared" si="59"/>
        <v>69894195</v>
      </c>
      <c r="BV23" s="1165">
        <f t="shared" si="59"/>
        <v>69998398</v>
      </c>
      <c r="BW23" s="1165">
        <f t="shared" si="59"/>
        <v>70109684</v>
      </c>
      <c r="BX23" s="1165">
        <f t="shared" si="59"/>
        <v>50145123</v>
      </c>
      <c r="BY23" s="1165">
        <f t="shared" ref="BY23:CK23" si="60">BY24+BY25-BY26+BY27-BY28</f>
        <v>50219413</v>
      </c>
      <c r="BZ23" s="1272">
        <f t="shared" si="60"/>
        <v>50298664</v>
      </c>
      <c r="CA23" s="1272">
        <f t="shared" si="60"/>
        <v>50372844</v>
      </c>
      <c r="CB23" s="1272">
        <f t="shared" si="60"/>
        <v>50086213</v>
      </c>
      <c r="CC23" s="1197">
        <f t="shared" si="60"/>
        <v>50086213</v>
      </c>
      <c r="CD23" s="1165">
        <f t="shared" si="60"/>
        <v>50165410</v>
      </c>
      <c r="CE23" s="1165">
        <f t="shared" si="60"/>
        <v>50241983</v>
      </c>
      <c r="CF23" s="1165">
        <f t="shared" si="60"/>
        <v>50323726</v>
      </c>
      <c r="CG23" s="1336">
        <f t="shared" si="60"/>
        <v>50400223</v>
      </c>
      <c r="CH23" s="1336">
        <f t="shared" si="60"/>
        <v>50481910</v>
      </c>
      <c r="CI23" s="1336">
        <f t="shared" si="60"/>
        <v>50558361</v>
      </c>
      <c r="CJ23" s="1336">
        <f t="shared" si="60"/>
        <v>50640006</v>
      </c>
      <c r="CK23" s="1336">
        <f t="shared" si="60"/>
        <v>50719059</v>
      </c>
      <c r="CL23" s="1336">
        <f>CL24+CL25-CL26+CL27-CL28</f>
        <v>50795509</v>
      </c>
      <c r="CM23" s="1336">
        <f>CM24+CM25-CM26+CM27-CM28</f>
        <v>50877158</v>
      </c>
      <c r="CN23" s="1336">
        <f>CN24+CN25-CN26+CN27-CN28</f>
        <v>50953612</v>
      </c>
      <c r="CO23" s="1336">
        <f>CO24+CO25-CO26+CO27-CO28</f>
        <v>95747971</v>
      </c>
      <c r="CP23" s="1298">
        <f>CP24+CP25-CP26+CP27-CP28</f>
        <v>95747971</v>
      </c>
      <c r="CQ23" s="1336">
        <f t="shared" ref="CQ23:CX23" si="61">CQ24+CQ25-CQ26+CQ27-CQ28</f>
        <v>38824880</v>
      </c>
      <c r="CR23" s="1336">
        <f t="shared" si="61"/>
        <v>38882844</v>
      </c>
      <c r="CS23" s="1336">
        <f t="shared" si="61"/>
        <v>38944753</v>
      </c>
      <c r="CT23" s="1336">
        <f t="shared" si="61"/>
        <v>39002722</v>
      </c>
      <c r="CU23" s="1336">
        <f t="shared" si="61"/>
        <v>39064627</v>
      </c>
      <c r="CV23" s="1336">
        <f t="shared" si="61"/>
        <v>39122602</v>
      </c>
      <c r="CW23" s="1336">
        <f t="shared" si="61"/>
        <v>39184522</v>
      </c>
      <c r="CX23" s="1336">
        <f t="shared" si="61"/>
        <v>39244483</v>
      </c>
      <c r="CY23" s="1336">
        <f>CY24+CY25-CY26+CY27-CY28</f>
        <v>32767525</v>
      </c>
      <c r="CZ23" s="1336">
        <f>CZ24+CZ25-CZ26+CZ27-CZ28</f>
        <v>32818955</v>
      </c>
      <c r="DA23" s="1336">
        <f>DA24+DA25-DA26+DA27-DA28</f>
        <v>32867139</v>
      </c>
      <c r="DB23" s="1336">
        <f>DB24+DB25-DB26+DB27-DB28</f>
        <v>62692165</v>
      </c>
      <c r="DC23" s="1298">
        <f>DC24+DC25-DC26+DC27-DC28</f>
        <v>62692165</v>
      </c>
      <c r="DD23" s="1336">
        <f t="shared" ref="DD23:DK23" si="62">DD24+DD25-DD26+DD27-DD28</f>
        <v>62798049</v>
      </c>
      <c r="DE23" s="1336">
        <f t="shared" si="62"/>
        <v>62900446</v>
      </c>
      <c r="DF23" s="1336">
        <f t="shared" si="62"/>
        <v>63009818</v>
      </c>
      <c r="DG23" s="1336">
        <f t="shared" si="62"/>
        <v>63112252</v>
      </c>
      <c r="DH23" s="1336">
        <f t="shared" si="62"/>
        <v>63211857</v>
      </c>
      <c r="DI23" s="1336">
        <f t="shared" si="62"/>
        <v>56303677</v>
      </c>
      <c r="DJ23" s="1336">
        <f t="shared" si="62"/>
        <v>56303677</v>
      </c>
      <c r="DK23" s="1336">
        <f t="shared" si="62"/>
        <v>56303677</v>
      </c>
      <c r="DL23" s="1336">
        <f>DL24+DL25-DL26+DL27-DL28</f>
        <v>56303677</v>
      </c>
      <c r="DM23" s="1336">
        <f>DM24+DM25-DM26+DM27-DM28</f>
        <v>56303677</v>
      </c>
      <c r="DN23" s="1336">
        <f>DN24+DN25-DN26+DN27-DN28</f>
        <v>56303677</v>
      </c>
      <c r="DO23" s="1336">
        <f>DO24+DO25-DO26+DO27-DO28</f>
        <v>56303677</v>
      </c>
      <c r="DP23" s="1298">
        <f>DP24+DP25-DP26+DP27-DP28</f>
        <v>56303677</v>
      </c>
    </row>
    <row r="24" spans="1:120" ht="15" customHeight="1">
      <c r="A24" s="626"/>
      <c r="B24" s="678" t="s">
        <v>425</v>
      </c>
      <c r="C24" s="679"/>
      <c r="D24" s="680">
        <f t="shared" ref="D24:I24" si="63">C23</f>
        <v>44775021</v>
      </c>
      <c r="E24" s="622">
        <f t="shared" si="63"/>
        <v>44902725</v>
      </c>
      <c r="F24" s="622">
        <f t="shared" si="63"/>
        <v>45018071</v>
      </c>
      <c r="G24" s="622">
        <f t="shared" si="63"/>
        <v>45145775</v>
      </c>
      <c r="H24" s="622">
        <f t="shared" si="63"/>
        <v>45269359</v>
      </c>
      <c r="I24" s="622">
        <f t="shared" si="63"/>
        <v>45397063</v>
      </c>
      <c r="J24" s="622">
        <f>I23</f>
        <v>45520647</v>
      </c>
      <c r="K24" s="622">
        <f>J23</f>
        <v>45648351</v>
      </c>
      <c r="L24" s="622">
        <f>K23</f>
        <v>45776055</v>
      </c>
      <c r="M24" s="622">
        <f>L23</f>
        <v>45899639</v>
      </c>
      <c r="N24" s="622">
        <f>M23</f>
        <v>46027343</v>
      </c>
      <c r="O24" s="681"/>
      <c r="P24" s="682">
        <f>D24</f>
        <v>44775021</v>
      </c>
      <c r="Q24" s="680">
        <f t="shared" ref="Q24:AB24" si="64">P23</f>
        <v>45959926</v>
      </c>
      <c r="R24" s="622">
        <f t="shared" si="64"/>
        <v>16858728</v>
      </c>
      <c r="S24" s="622">
        <f t="shared" si="64"/>
        <v>16900019</v>
      </c>
      <c r="T24" s="622">
        <f t="shared" si="64"/>
        <v>16945658</v>
      </c>
      <c r="U24" s="622">
        <f t="shared" si="64"/>
        <v>16989778</v>
      </c>
      <c r="V24" s="622">
        <f t="shared" si="64"/>
        <v>17035369</v>
      </c>
      <c r="W24" s="622">
        <f t="shared" si="64"/>
        <v>17079414</v>
      </c>
      <c r="X24" s="622">
        <f t="shared" si="64"/>
        <v>17124881</v>
      </c>
      <c r="Y24" s="622">
        <f t="shared" si="64"/>
        <v>17170348</v>
      </c>
      <c r="Z24" s="622">
        <f t="shared" si="64"/>
        <v>17214348</v>
      </c>
      <c r="AA24" s="622">
        <f t="shared" si="64"/>
        <v>17259815</v>
      </c>
      <c r="AB24" s="681">
        <f t="shared" si="64"/>
        <v>17303815</v>
      </c>
      <c r="AC24" s="683">
        <f>Q24</f>
        <v>45959926</v>
      </c>
      <c r="AD24" s="873">
        <f t="shared" ref="AD24:AO24" si="65">AC23</f>
        <v>47228345</v>
      </c>
      <c r="AE24" s="872">
        <f t="shared" si="65"/>
        <v>47304113</v>
      </c>
      <c r="AF24" s="872">
        <f t="shared" si="65"/>
        <v>47374900</v>
      </c>
      <c r="AG24" s="872">
        <f t="shared" si="65"/>
        <v>47455606</v>
      </c>
      <c r="AH24" s="872">
        <f t="shared" si="65"/>
        <v>47528884</v>
      </c>
      <c r="AI24" s="872">
        <f t="shared" si="65"/>
        <v>47607121</v>
      </c>
      <c r="AJ24" s="872">
        <f t="shared" si="65"/>
        <v>47680314</v>
      </c>
      <c r="AK24" s="872">
        <f t="shared" si="65"/>
        <v>47758428</v>
      </c>
      <c r="AL24" s="872">
        <f t="shared" si="65"/>
        <v>47834071</v>
      </c>
      <c r="AM24" s="872">
        <f t="shared" si="65"/>
        <v>47907229</v>
      </c>
      <c r="AN24" s="872">
        <f t="shared" si="65"/>
        <v>47985342</v>
      </c>
      <c r="AO24" s="871">
        <f t="shared" si="65"/>
        <v>48058500</v>
      </c>
      <c r="AP24" s="884">
        <f>AD24</f>
        <v>47228345</v>
      </c>
      <c r="AQ24" s="891">
        <f t="shared" ref="AQ24:AX24" si="66">AP23</f>
        <v>47843918</v>
      </c>
      <c r="AR24" s="892">
        <f t="shared" si="66"/>
        <v>47919252</v>
      </c>
      <c r="AS24" s="892">
        <f t="shared" si="66"/>
        <v>47988743</v>
      </c>
      <c r="AT24" s="892">
        <f t="shared" si="66"/>
        <v>48069898</v>
      </c>
      <c r="AU24" s="892">
        <f t="shared" si="66"/>
        <v>48142756</v>
      </c>
      <c r="AV24" s="892">
        <f t="shared" si="66"/>
        <v>48220559</v>
      </c>
      <c r="AW24" s="907">
        <f t="shared" si="66"/>
        <v>48293417</v>
      </c>
      <c r="AX24" s="907">
        <f t="shared" si="66"/>
        <v>48371221</v>
      </c>
      <c r="AY24" s="914">
        <f>AX23</f>
        <v>48446555</v>
      </c>
      <c r="AZ24" s="1002">
        <f>AY23</f>
        <v>48519415</v>
      </c>
      <c r="BA24" s="1002">
        <f>AZ23</f>
        <v>48597220</v>
      </c>
      <c r="BB24" s="1003">
        <f>BA23</f>
        <v>48670078</v>
      </c>
      <c r="BC24" s="884">
        <f>AQ24</f>
        <v>47843918</v>
      </c>
      <c r="BD24" s="1015">
        <f t="shared" ref="BD24:BJ24" si="67">BC23</f>
        <v>68465784</v>
      </c>
      <c r="BE24" s="1015">
        <f t="shared" si="67"/>
        <v>68574164</v>
      </c>
      <c r="BF24" s="1024">
        <f t="shared" si="67"/>
        <v>68673474</v>
      </c>
      <c r="BG24" s="1038">
        <f t="shared" si="67"/>
        <v>68790922</v>
      </c>
      <c r="BH24" s="1038">
        <f t="shared" si="67"/>
        <v>68895740</v>
      </c>
      <c r="BI24" s="1038">
        <f t="shared" si="67"/>
        <v>69007687</v>
      </c>
      <c r="BJ24" s="1162">
        <f t="shared" si="67"/>
        <v>69112505</v>
      </c>
      <c r="BK24" s="1162">
        <f>BJ23</f>
        <v>69224452</v>
      </c>
      <c r="BL24" s="1162">
        <f>BK23</f>
        <v>69332834</v>
      </c>
      <c r="BM24" s="1162">
        <f>BL23</f>
        <v>69437655</v>
      </c>
      <c r="BN24" s="1162">
        <f>BM23</f>
        <v>69549601</v>
      </c>
      <c r="BO24" s="1162">
        <f>BN23</f>
        <v>69654420</v>
      </c>
      <c r="BP24" s="884">
        <f>BD24</f>
        <v>68465784</v>
      </c>
      <c r="BQ24" s="1224">
        <f t="shared" ref="BQ24:CB24" si="68">BP23</f>
        <v>69355472</v>
      </c>
      <c r="BR24" s="1224">
        <f t="shared" si="68"/>
        <v>69463218</v>
      </c>
      <c r="BS24" s="1224">
        <f t="shared" si="68"/>
        <v>69560336</v>
      </c>
      <c r="BT24" s="1224">
        <f t="shared" si="68"/>
        <v>69678706</v>
      </c>
      <c r="BU24" s="1224">
        <f t="shared" si="68"/>
        <v>69782908</v>
      </c>
      <c r="BV24" s="1224">
        <f t="shared" si="68"/>
        <v>69894195</v>
      </c>
      <c r="BW24" s="1224">
        <f t="shared" si="68"/>
        <v>69998398</v>
      </c>
      <c r="BX24" s="1224">
        <f t="shared" si="68"/>
        <v>70109684</v>
      </c>
      <c r="BY24" s="1224">
        <f t="shared" si="68"/>
        <v>50145123</v>
      </c>
      <c r="BZ24" s="1194">
        <f t="shared" si="68"/>
        <v>50219413</v>
      </c>
      <c r="CA24" s="1194">
        <f t="shared" si="68"/>
        <v>50298664</v>
      </c>
      <c r="CB24" s="1194">
        <f t="shared" si="68"/>
        <v>50372844</v>
      </c>
      <c r="CC24" s="1195">
        <f>BQ24</f>
        <v>69355472</v>
      </c>
      <c r="CD24" s="1293">
        <f>CC23</f>
        <v>50086213</v>
      </c>
      <c r="CE24" s="1293">
        <f>CD23</f>
        <v>50165410</v>
      </c>
      <c r="CF24" s="1293">
        <f>CE23</f>
        <v>50241983</v>
      </c>
      <c r="CG24" s="1333">
        <f t="shared" ref="CG24:CO24" si="69">CF23</f>
        <v>50323726</v>
      </c>
      <c r="CH24" s="1333">
        <f t="shared" si="69"/>
        <v>50400223</v>
      </c>
      <c r="CI24" s="1333">
        <f t="shared" si="69"/>
        <v>50481910</v>
      </c>
      <c r="CJ24" s="1333">
        <f t="shared" si="69"/>
        <v>50558361</v>
      </c>
      <c r="CK24" s="1333">
        <f t="shared" si="69"/>
        <v>50640006</v>
      </c>
      <c r="CL24" s="1333">
        <f t="shared" si="69"/>
        <v>50719059</v>
      </c>
      <c r="CM24" s="1368">
        <f t="shared" si="69"/>
        <v>50795509</v>
      </c>
      <c r="CN24" s="1368">
        <f t="shared" si="69"/>
        <v>50877158</v>
      </c>
      <c r="CO24" s="1368">
        <f t="shared" si="69"/>
        <v>50953612</v>
      </c>
      <c r="CP24" s="1294">
        <f>CD24</f>
        <v>50086213</v>
      </c>
      <c r="CQ24" s="1392">
        <f t="shared" ref="CQ24:DB24" si="70">CP23</f>
        <v>95747971</v>
      </c>
      <c r="CR24" s="1392">
        <f t="shared" si="70"/>
        <v>38824880</v>
      </c>
      <c r="CS24" s="1392">
        <f t="shared" si="70"/>
        <v>38882844</v>
      </c>
      <c r="CT24" s="1392">
        <f t="shared" si="70"/>
        <v>38944753</v>
      </c>
      <c r="CU24" s="1392">
        <f t="shared" si="70"/>
        <v>39002722</v>
      </c>
      <c r="CV24" s="1392">
        <f t="shared" si="70"/>
        <v>39064627</v>
      </c>
      <c r="CW24" s="1392">
        <f t="shared" si="70"/>
        <v>39122602</v>
      </c>
      <c r="CX24" s="1392">
        <f t="shared" si="70"/>
        <v>39184522</v>
      </c>
      <c r="CY24" s="1392">
        <f t="shared" si="70"/>
        <v>39244483</v>
      </c>
      <c r="CZ24" s="1431">
        <f t="shared" si="70"/>
        <v>32767525</v>
      </c>
      <c r="DA24" s="1431">
        <f t="shared" si="70"/>
        <v>32818955</v>
      </c>
      <c r="DB24" s="1431">
        <f t="shared" si="70"/>
        <v>32867139</v>
      </c>
      <c r="DC24" s="1393">
        <f>CQ24</f>
        <v>95747971</v>
      </c>
      <c r="DD24" s="1451">
        <f t="shared" ref="DD24:DO24" si="71">DC23</f>
        <v>62692165</v>
      </c>
      <c r="DE24" s="1451">
        <f t="shared" si="71"/>
        <v>62798049</v>
      </c>
      <c r="DF24" s="1451">
        <f t="shared" si="71"/>
        <v>62900446</v>
      </c>
      <c r="DG24" s="1451">
        <f t="shared" si="71"/>
        <v>63009818</v>
      </c>
      <c r="DH24" s="1451">
        <f t="shared" si="71"/>
        <v>63112252</v>
      </c>
      <c r="DI24" s="1451">
        <f t="shared" si="71"/>
        <v>63211857</v>
      </c>
      <c r="DJ24" s="1451">
        <f t="shared" si="71"/>
        <v>56303677</v>
      </c>
      <c r="DK24" s="1451">
        <f t="shared" si="71"/>
        <v>56303677</v>
      </c>
      <c r="DL24" s="1451">
        <f t="shared" si="71"/>
        <v>56303677</v>
      </c>
      <c r="DM24" s="1451">
        <f t="shared" si="71"/>
        <v>56303677</v>
      </c>
      <c r="DN24" s="1451">
        <f t="shared" si="71"/>
        <v>56303677</v>
      </c>
      <c r="DO24" s="1451">
        <f t="shared" si="71"/>
        <v>56303677</v>
      </c>
      <c r="DP24" s="1452">
        <f>DD24</f>
        <v>62692165</v>
      </c>
    </row>
    <row r="25" spans="1:120" ht="15" customHeight="1">
      <c r="A25" s="626"/>
      <c r="B25" s="678" t="s">
        <v>430</v>
      </c>
      <c r="C25" s="679">
        <v>44750305</v>
      </c>
      <c r="D25" s="680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81"/>
      <c r="P25" s="682">
        <f>SUM(D25:O25)</f>
        <v>0</v>
      </c>
      <c r="Q25" s="680"/>
      <c r="R25" s="622"/>
      <c r="S25" s="622"/>
      <c r="T25" s="622"/>
      <c r="U25" s="622"/>
      <c r="V25" s="622"/>
      <c r="W25" s="622"/>
      <c r="X25" s="622"/>
      <c r="Y25" s="622"/>
      <c r="Z25" s="622"/>
      <c r="AA25" s="622"/>
      <c r="AB25" s="681">
        <v>30000000</v>
      </c>
      <c r="AC25" s="683">
        <f>SUM(Q25:AB25)</f>
        <v>30000000</v>
      </c>
      <c r="AD25" s="873"/>
      <c r="AE25" s="872"/>
      <c r="AF25" s="872"/>
      <c r="AG25" s="872"/>
      <c r="AH25" s="872"/>
      <c r="AI25" s="872"/>
      <c r="AJ25" s="872"/>
      <c r="AK25" s="872"/>
      <c r="AL25" s="872"/>
      <c r="AM25" s="872"/>
      <c r="AN25" s="872"/>
      <c r="AO25" s="871"/>
      <c r="AP25" s="884">
        <f>SUM(AD25:AO25)</f>
        <v>0</v>
      </c>
      <c r="AQ25" s="891"/>
      <c r="AR25" s="892"/>
      <c r="AS25" s="892"/>
      <c r="AT25" s="892"/>
      <c r="AU25" s="892"/>
      <c r="AV25" s="892"/>
      <c r="AW25" s="907"/>
      <c r="AX25" s="907"/>
      <c r="AY25" s="914"/>
      <c r="AZ25" s="1002"/>
      <c r="BA25" s="1002"/>
      <c r="BB25" s="1003">
        <v>20000000</v>
      </c>
      <c r="BC25" s="884">
        <f>SUM(AQ25:BB25)</f>
        <v>20000000</v>
      </c>
      <c r="BD25" s="1015"/>
      <c r="BE25" s="1002"/>
      <c r="BF25" s="1025"/>
      <c r="BG25" s="1039"/>
      <c r="BH25" s="1039"/>
      <c r="BI25" s="1039"/>
      <c r="BJ25" s="1163"/>
      <c r="BK25" s="1163"/>
      <c r="BL25" s="1163"/>
      <c r="BM25" s="1163"/>
      <c r="BN25" s="1163"/>
      <c r="BO25" s="1175"/>
      <c r="BP25" s="884">
        <f>SUM(BD25:BO25)</f>
        <v>0</v>
      </c>
      <c r="BQ25" s="1224"/>
      <c r="BR25" s="1225"/>
      <c r="BS25" s="1225"/>
      <c r="BT25" s="1225"/>
      <c r="BU25" s="1225"/>
      <c r="BV25" s="1225"/>
      <c r="BW25" s="1225"/>
      <c r="BX25" s="1225"/>
      <c r="BY25" s="1225"/>
      <c r="BZ25" s="1163"/>
      <c r="CA25" s="1163"/>
      <c r="CB25" s="1163"/>
      <c r="CC25" s="1195">
        <f>SUM(BQ25:CB25)</f>
        <v>0</v>
      </c>
      <c r="CD25" s="1293"/>
      <c r="CE25" s="1295"/>
      <c r="CF25" s="1295"/>
      <c r="CG25" s="1334"/>
      <c r="CH25" s="1334"/>
      <c r="CI25" s="1334"/>
      <c r="CJ25" s="1334"/>
      <c r="CK25" s="1334"/>
      <c r="CL25" s="1334"/>
      <c r="CM25" s="1369"/>
      <c r="CN25" s="1369"/>
      <c r="CO25" s="1369">
        <v>45000000</v>
      </c>
      <c r="CP25" s="1294">
        <f>SUM(CD25:CO25)</f>
        <v>45000000</v>
      </c>
      <c r="CQ25" s="1392"/>
      <c r="CR25" s="1394"/>
      <c r="CS25" s="1394"/>
      <c r="CT25" s="1394"/>
      <c r="CU25" s="1394"/>
      <c r="CV25" s="1394"/>
      <c r="CW25" s="1394"/>
      <c r="CX25" s="1394"/>
      <c r="CY25" s="1394"/>
      <c r="CZ25" s="1432"/>
      <c r="DA25" s="1432"/>
      <c r="DB25" s="1432">
        <v>30000000</v>
      </c>
      <c r="DC25" s="1393">
        <f>SUM(CQ25:DB25)</f>
        <v>30000000</v>
      </c>
      <c r="DD25" s="1451"/>
      <c r="DE25" s="1453"/>
      <c r="DF25" s="1453"/>
      <c r="DG25" s="1453"/>
      <c r="DH25" s="1453"/>
      <c r="DI25" s="1453"/>
      <c r="DJ25" s="1453"/>
      <c r="DK25" s="1453"/>
      <c r="DL25" s="1453"/>
      <c r="DM25" s="1453"/>
      <c r="DN25" s="1453"/>
      <c r="DO25" s="1453"/>
      <c r="DP25" s="1452">
        <f>SUM(DD25:DO25)</f>
        <v>0</v>
      </c>
    </row>
    <row r="26" spans="1:120" ht="15" customHeight="1">
      <c r="A26" s="626"/>
      <c r="B26" s="678" t="s">
        <v>431</v>
      </c>
      <c r="C26" s="679"/>
      <c r="D26" s="680"/>
      <c r="E26" s="622"/>
      <c r="F26" s="622"/>
      <c r="G26" s="622"/>
      <c r="H26" s="622"/>
      <c r="I26" s="622"/>
      <c r="J26" s="622"/>
      <c r="K26" s="622"/>
      <c r="L26" s="622"/>
      <c r="M26" s="622"/>
      <c r="N26" s="622"/>
      <c r="O26" s="681"/>
      <c r="P26" s="682">
        <f>SUM(D26:O26)</f>
        <v>0</v>
      </c>
      <c r="Q26" s="680">
        <v>28792278</v>
      </c>
      <c r="R26" s="622"/>
      <c r="S26" s="622"/>
      <c r="T26" s="622"/>
      <c r="U26" s="622"/>
      <c r="V26" s="622"/>
      <c r="W26" s="622"/>
      <c r="X26" s="622"/>
      <c r="Y26" s="622"/>
      <c r="Z26" s="622"/>
      <c r="AA26" s="622"/>
      <c r="AB26" s="681"/>
      <c r="AC26" s="683">
        <f>SUM(Q26:AB26)</f>
        <v>28792278</v>
      </c>
      <c r="AD26" s="873"/>
      <c r="AE26" s="872"/>
      <c r="AF26" s="872"/>
      <c r="AG26" s="872"/>
      <c r="AH26" s="872"/>
      <c r="AI26" s="872"/>
      <c r="AJ26" s="872"/>
      <c r="AK26" s="872"/>
      <c r="AL26" s="872"/>
      <c r="AM26" s="872"/>
      <c r="AN26" s="872"/>
      <c r="AO26" s="871"/>
      <c r="AP26" s="884">
        <f>SUM(AD26:AO26)</f>
        <v>0</v>
      </c>
      <c r="AQ26" s="891"/>
      <c r="AR26" s="892"/>
      <c r="AS26" s="892"/>
      <c r="AT26" s="892"/>
      <c r="AU26" s="892"/>
      <c r="AV26" s="892"/>
      <c r="AW26" s="907"/>
      <c r="AX26" s="907"/>
      <c r="AY26" s="914"/>
      <c r="AZ26" s="1002"/>
      <c r="BA26" s="1002"/>
      <c r="BB26" s="1003"/>
      <c r="BC26" s="884">
        <f>SUM(AQ26:BB26)</f>
        <v>0</v>
      </c>
      <c r="BD26" s="1015"/>
      <c r="BE26" s="1002"/>
      <c r="BF26" s="1025"/>
      <c r="BG26" s="1039"/>
      <c r="BH26" s="1039"/>
      <c r="BI26" s="1039"/>
      <c r="BJ26" s="1163"/>
      <c r="BK26" s="1163"/>
      <c r="BL26" s="1163"/>
      <c r="BM26" s="1163"/>
      <c r="BN26" s="1163"/>
      <c r="BO26" s="1175"/>
      <c r="BP26" s="884">
        <f>SUM(BD26:BO26)</f>
        <v>0</v>
      </c>
      <c r="BQ26" s="1224"/>
      <c r="BR26" s="1225"/>
      <c r="BS26" s="1225"/>
      <c r="BT26" s="1225"/>
      <c r="BU26" s="1225"/>
      <c r="BV26" s="1225"/>
      <c r="BW26" s="1225"/>
      <c r="BX26" s="1225">
        <v>20000000</v>
      </c>
      <c r="BY26" s="1225"/>
      <c r="BZ26" s="1163"/>
      <c r="CA26" s="1163"/>
      <c r="CB26" s="1175"/>
      <c r="CC26" s="1195">
        <f>SUM(BQ26:CB26)</f>
        <v>20000000</v>
      </c>
      <c r="CD26" s="1293"/>
      <c r="CE26" s="1295"/>
      <c r="CF26" s="1295"/>
      <c r="CG26" s="1334"/>
      <c r="CH26" s="1334"/>
      <c r="CI26" s="1334"/>
      <c r="CJ26" s="1334"/>
      <c r="CK26" s="1334"/>
      <c r="CL26" s="1334"/>
      <c r="CM26" s="1369"/>
      <c r="CN26" s="1369"/>
      <c r="CO26" s="1370"/>
      <c r="CP26" s="1294">
        <f>SUM(CD26:CO26)</f>
        <v>0</v>
      </c>
      <c r="CQ26" s="1392">
        <v>57000000</v>
      </c>
      <c r="CR26" s="1394"/>
      <c r="CS26" s="1394"/>
      <c r="CT26" s="1394"/>
      <c r="CU26" s="1394"/>
      <c r="CV26" s="1394"/>
      <c r="CW26" s="1394"/>
      <c r="CX26" s="1394"/>
      <c r="CY26" s="1394">
        <v>6523053</v>
      </c>
      <c r="CZ26" s="1432"/>
      <c r="DA26" s="1432"/>
      <c r="DB26" s="1433"/>
      <c r="DC26" s="1393">
        <f>SUM(CQ26:DB26)</f>
        <v>63523053</v>
      </c>
      <c r="DD26" s="1451"/>
      <c r="DE26" s="1453"/>
      <c r="DF26" s="1453"/>
      <c r="DG26" s="1453"/>
      <c r="DH26" s="1453"/>
      <c r="DI26" s="1453">
        <v>7000000</v>
      </c>
      <c r="DJ26" s="1453"/>
      <c r="DK26" s="1453"/>
      <c r="DL26" s="1453"/>
      <c r="DM26" s="1453"/>
      <c r="DN26" s="1453"/>
      <c r="DO26" s="1454"/>
      <c r="DP26" s="1452">
        <f>SUM(DD26:DO26)</f>
        <v>7000000</v>
      </c>
    </row>
    <row r="27" spans="1:120" ht="15" customHeight="1">
      <c r="A27" s="626"/>
      <c r="B27" s="678" t="s">
        <v>428</v>
      </c>
      <c r="C27" s="679">
        <v>24716</v>
      </c>
      <c r="D27" s="680">
        <v>127704</v>
      </c>
      <c r="E27" s="622">
        <v>115346</v>
      </c>
      <c r="F27" s="622">
        <v>127704</v>
      </c>
      <c r="G27" s="622">
        <v>123584</v>
      </c>
      <c r="H27" s="622">
        <v>127704</v>
      </c>
      <c r="I27" s="622">
        <v>123584</v>
      </c>
      <c r="J27" s="622">
        <v>127704</v>
      </c>
      <c r="K27" s="622">
        <v>127704</v>
      </c>
      <c r="L27" s="622">
        <v>123584</v>
      </c>
      <c r="M27" s="622">
        <v>127704</v>
      </c>
      <c r="N27" s="622">
        <v>123585</v>
      </c>
      <c r="O27" s="681">
        <v>127526</v>
      </c>
      <c r="P27" s="682">
        <f>SUM(D27:O27)</f>
        <v>1503433</v>
      </c>
      <c r="Q27" s="680">
        <v>-308920</v>
      </c>
      <c r="R27" s="622">
        <v>41291</v>
      </c>
      <c r="S27" s="622">
        <v>45639</v>
      </c>
      <c r="T27" s="622">
        <v>44120</v>
      </c>
      <c r="U27" s="622">
        <v>45591</v>
      </c>
      <c r="V27" s="622">
        <v>44045</v>
      </c>
      <c r="W27" s="622">
        <v>45467</v>
      </c>
      <c r="X27" s="622">
        <v>45467</v>
      </c>
      <c r="Y27" s="622">
        <v>44000</v>
      </c>
      <c r="Z27" s="622">
        <v>45467</v>
      </c>
      <c r="AA27" s="622">
        <v>44000</v>
      </c>
      <c r="AB27" s="681">
        <v>49207</v>
      </c>
      <c r="AC27" s="683">
        <f>SUM(Q27:AB27)</f>
        <v>185374</v>
      </c>
      <c r="AD27" s="873">
        <v>75768</v>
      </c>
      <c r="AE27" s="872">
        <v>70787</v>
      </c>
      <c r="AF27" s="872">
        <v>80706</v>
      </c>
      <c r="AG27" s="872">
        <v>73278</v>
      </c>
      <c r="AH27" s="872">
        <v>78237</v>
      </c>
      <c r="AI27" s="872">
        <v>73193</v>
      </c>
      <c r="AJ27" s="872">
        <v>78114</v>
      </c>
      <c r="AK27" s="872">
        <v>75643</v>
      </c>
      <c r="AL27" s="872">
        <v>73158</v>
      </c>
      <c r="AM27" s="872">
        <v>78113</v>
      </c>
      <c r="AN27" s="872">
        <v>73158</v>
      </c>
      <c r="AO27" s="871">
        <v>78053</v>
      </c>
      <c r="AP27" s="884">
        <f>SUM(AD27:AO27)</f>
        <v>908208</v>
      </c>
      <c r="AQ27" s="891">
        <v>75334</v>
      </c>
      <c r="AR27" s="892">
        <v>69491</v>
      </c>
      <c r="AS27" s="892">
        <v>81155</v>
      </c>
      <c r="AT27" s="892">
        <v>72858</v>
      </c>
      <c r="AU27" s="892">
        <v>77803</v>
      </c>
      <c r="AV27" s="892">
        <v>72858</v>
      </c>
      <c r="AW27" s="907">
        <v>77804</v>
      </c>
      <c r="AX27" s="907">
        <v>75334</v>
      </c>
      <c r="AY27" s="914">
        <v>72860</v>
      </c>
      <c r="AZ27" s="1002">
        <v>77805</v>
      </c>
      <c r="BA27" s="1002">
        <v>72858</v>
      </c>
      <c r="BB27" s="1003">
        <v>82989</v>
      </c>
      <c r="BC27" s="884">
        <f>SUM(AQ27:BB27)</f>
        <v>909149</v>
      </c>
      <c r="BD27" s="1015">
        <v>108380</v>
      </c>
      <c r="BE27" s="1002">
        <v>99310</v>
      </c>
      <c r="BF27" s="1025">
        <v>117448</v>
      </c>
      <c r="BG27" s="1039">
        <v>104818</v>
      </c>
      <c r="BH27" s="1039">
        <v>111947</v>
      </c>
      <c r="BI27" s="1039">
        <v>104818</v>
      </c>
      <c r="BJ27" s="1163">
        <v>111947</v>
      </c>
      <c r="BK27" s="1163">
        <v>108382</v>
      </c>
      <c r="BL27" s="1163">
        <v>104821</v>
      </c>
      <c r="BM27" s="1163">
        <v>111946</v>
      </c>
      <c r="BN27" s="1163">
        <v>104819</v>
      </c>
      <c r="BO27" s="1175">
        <v>111861</v>
      </c>
      <c r="BP27" s="884">
        <f>SUM(BD27:BO27)</f>
        <v>1300497</v>
      </c>
      <c r="BQ27" s="1224">
        <v>107746</v>
      </c>
      <c r="BR27" s="1225">
        <v>97118</v>
      </c>
      <c r="BS27" s="1225">
        <v>118370</v>
      </c>
      <c r="BT27" s="1225">
        <v>104202</v>
      </c>
      <c r="BU27" s="1225">
        <v>111287</v>
      </c>
      <c r="BV27" s="1225">
        <v>104203</v>
      </c>
      <c r="BW27" s="1225">
        <v>111286</v>
      </c>
      <c r="BX27" s="1225">
        <v>35439</v>
      </c>
      <c r="BY27" s="1225">
        <v>74290</v>
      </c>
      <c r="BZ27" s="1163">
        <v>79251</v>
      </c>
      <c r="CA27" s="1163">
        <v>74180</v>
      </c>
      <c r="CB27" s="1175">
        <v>79312</v>
      </c>
      <c r="CC27" s="1195">
        <f>SUM(BQ27:CB27)</f>
        <v>1096684</v>
      </c>
      <c r="CD27" s="1293">
        <v>79197</v>
      </c>
      <c r="CE27" s="1295">
        <v>76573</v>
      </c>
      <c r="CF27" s="1295">
        <v>81743</v>
      </c>
      <c r="CG27" s="1334">
        <v>76497</v>
      </c>
      <c r="CH27" s="1334">
        <v>81687</v>
      </c>
      <c r="CI27" s="1334">
        <v>76451</v>
      </c>
      <c r="CJ27" s="1334">
        <v>81645</v>
      </c>
      <c r="CK27" s="1334">
        <v>79053</v>
      </c>
      <c r="CL27" s="1334">
        <v>76450</v>
      </c>
      <c r="CM27" s="1369">
        <v>81649</v>
      </c>
      <c r="CN27" s="1369">
        <v>76454</v>
      </c>
      <c r="CO27" s="1370">
        <v>86519</v>
      </c>
      <c r="CP27" s="1294">
        <f>SUM(CD27:CO27)</f>
        <v>953918</v>
      </c>
      <c r="CQ27" s="1392">
        <v>76909</v>
      </c>
      <c r="CR27" s="1394">
        <v>57964</v>
      </c>
      <c r="CS27" s="1394">
        <v>61909</v>
      </c>
      <c r="CT27" s="1394">
        <v>57969</v>
      </c>
      <c r="CU27" s="1394">
        <v>61905</v>
      </c>
      <c r="CV27" s="1394">
        <v>57975</v>
      </c>
      <c r="CW27" s="1394">
        <v>61920</v>
      </c>
      <c r="CX27" s="1394">
        <v>59961</v>
      </c>
      <c r="CY27" s="1394">
        <v>46095</v>
      </c>
      <c r="CZ27" s="1432">
        <v>51430</v>
      </c>
      <c r="DA27" s="1432">
        <v>48184</v>
      </c>
      <c r="DB27" s="1433">
        <v>56066</v>
      </c>
      <c r="DC27" s="1393">
        <f>SUM(CQ27:DB27)</f>
        <v>698287</v>
      </c>
      <c r="DD27" s="1451">
        <v>105884</v>
      </c>
      <c r="DE27" s="1453">
        <v>102397</v>
      </c>
      <c r="DF27" s="1453">
        <v>109372</v>
      </c>
      <c r="DG27" s="1453">
        <v>102434</v>
      </c>
      <c r="DH27" s="1453">
        <v>99605</v>
      </c>
      <c r="DI27" s="1453">
        <v>91820</v>
      </c>
      <c r="DJ27" s="1453"/>
      <c r="DK27" s="1453"/>
      <c r="DL27" s="1453"/>
      <c r="DM27" s="1453"/>
      <c r="DN27" s="1453"/>
      <c r="DO27" s="1454"/>
      <c r="DP27" s="1452">
        <f>SUM(DD27:DO27)</f>
        <v>611512</v>
      </c>
    </row>
    <row r="28" spans="1:120" ht="15" customHeight="1">
      <c r="A28" s="458"/>
      <c r="B28" s="698" t="s">
        <v>432</v>
      </c>
      <c r="C28" s="699"/>
      <c r="D28" s="700"/>
      <c r="E28" s="701"/>
      <c r="F28" s="701"/>
      <c r="G28" s="701"/>
      <c r="H28" s="701"/>
      <c r="I28" s="701"/>
      <c r="J28" s="701"/>
      <c r="K28" s="701"/>
      <c r="L28" s="701"/>
      <c r="M28" s="701"/>
      <c r="N28" s="701"/>
      <c r="O28" s="702">
        <v>318528</v>
      </c>
      <c r="P28" s="703">
        <f>SUM(D28:O28)</f>
        <v>318528</v>
      </c>
      <c r="Q28" s="700"/>
      <c r="R28" s="701"/>
      <c r="S28" s="701"/>
      <c r="T28" s="701"/>
      <c r="U28" s="701"/>
      <c r="V28" s="701"/>
      <c r="W28" s="701"/>
      <c r="X28" s="701"/>
      <c r="Y28" s="701"/>
      <c r="Z28" s="701"/>
      <c r="AA28" s="701"/>
      <c r="AB28" s="702">
        <v>124677</v>
      </c>
      <c r="AC28" s="704">
        <f>SUM(Q28:AB28)</f>
        <v>124677</v>
      </c>
      <c r="AD28" s="835"/>
      <c r="AE28" s="836"/>
      <c r="AF28" s="836"/>
      <c r="AG28" s="836"/>
      <c r="AH28" s="836"/>
      <c r="AI28" s="836"/>
      <c r="AJ28" s="836"/>
      <c r="AK28" s="836"/>
      <c r="AL28" s="836"/>
      <c r="AM28" s="836"/>
      <c r="AN28" s="836"/>
      <c r="AO28" s="837">
        <v>292635</v>
      </c>
      <c r="AP28" s="704">
        <f>SUM(AD28:AO28)</f>
        <v>292635</v>
      </c>
      <c r="AQ28" s="897"/>
      <c r="AR28" s="898"/>
      <c r="AS28" s="898"/>
      <c r="AT28" s="898"/>
      <c r="AU28" s="898"/>
      <c r="AV28" s="898"/>
      <c r="AW28" s="898"/>
      <c r="AX28" s="898"/>
      <c r="AY28" s="916"/>
      <c r="AZ28" s="1007"/>
      <c r="BA28" s="1007"/>
      <c r="BB28" s="1008">
        <v>287283</v>
      </c>
      <c r="BC28" s="704">
        <f>SUM(AQ28:BB28)</f>
        <v>287283</v>
      </c>
      <c r="BD28" s="1019"/>
      <c r="BE28" s="1007"/>
      <c r="BF28" s="1027"/>
      <c r="BG28" s="1042"/>
      <c r="BH28" s="1042"/>
      <c r="BI28" s="1042"/>
      <c r="BJ28" s="1166"/>
      <c r="BK28" s="1166"/>
      <c r="BL28" s="1166"/>
      <c r="BM28" s="1166"/>
      <c r="BN28" s="1166"/>
      <c r="BO28" s="1178">
        <v>410809</v>
      </c>
      <c r="BP28" s="704">
        <f>SUM(BD28:BO28)</f>
        <v>410809</v>
      </c>
      <c r="BQ28" s="1228"/>
      <c r="BR28" s="1229"/>
      <c r="BS28" s="1229"/>
      <c r="BT28" s="1229"/>
      <c r="BU28" s="1229"/>
      <c r="BV28" s="1229"/>
      <c r="BW28" s="1229"/>
      <c r="BX28" s="1229"/>
      <c r="BY28" s="1229"/>
      <c r="BZ28" s="1198"/>
      <c r="CA28" s="1198"/>
      <c r="CB28" s="1199">
        <v>365943</v>
      </c>
      <c r="CC28" s="1200">
        <f>SUM(BQ28:CB28)</f>
        <v>365943</v>
      </c>
      <c r="CD28" s="1299"/>
      <c r="CE28" s="1300"/>
      <c r="CF28" s="1300"/>
      <c r="CG28" s="1337"/>
      <c r="CH28" s="1337"/>
      <c r="CI28" s="1337"/>
      <c r="CJ28" s="1337"/>
      <c r="CK28" s="1337"/>
      <c r="CL28" s="1337"/>
      <c r="CM28" s="1373"/>
      <c r="CN28" s="1373"/>
      <c r="CO28" s="1374">
        <v>292160</v>
      </c>
      <c r="CP28" s="1301">
        <f>SUM(CD28:CO28)</f>
        <v>292160</v>
      </c>
      <c r="CQ28" s="1398"/>
      <c r="CR28" s="1399"/>
      <c r="CS28" s="1399"/>
      <c r="CT28" s="1399"/>
      <c r="CU28" s="1399"/>
      <c r="CV28" s="1399"/>
      <c r="CW28" s="1399"/>
      <c r="CX28" s="1399"/>
      <c r="CY28" s="1399"/>
      <c r="CZ28" s="1436"/>
      <c r="DA28" s="1436"/>
      <c r="DB28" s="1437">
        <v>231040</v>
      </c>
      <c r="DC28" s="1400">
        <f>SUM(CQ28:DB28)</f>
        <v>231040</v>
      </c>
      <c r="DD28" s="1458"/>
      <c r="DE28" s="1459"/>
      <c r="DF28" s="1459"/>
      <c r="DG28" s="1459"/>
      <c r="DH28" s="1459"/>
      <c r="DI28" s="1459"/>
      <c r="DJ28" s="1459"/>
      <c r="DK28" s="1459"/>
      <c r="DL28" s="1459"/>
      <c r="DM28" s="1459"/>
      <c r="DN28" s="1459"/>
      <c r="DO28" s="1460"/>
      <c r="DP28" s="1461">
        <f>SUM(DD28:DO28)</f>
        <v>0</v>
      </c>
    </row>
    <row r="29" spans="1:120" s="30" customFormat="1" ht="15" hidden="1" customHeight="1">
      <c r="A29" s="452" t="s">
        <v>112</v>
      </c>
      <c r="B29" s="453"/>
      <c r="C29" s="454">
        <f>SUM(C30:C34)</f>
        <v>29503809</v>
      </c>
      <c r="D29" s="621">
        <f>D30+D31-D32+D33-D34</f>
        <v>29579064</v>
      </c>
      <c r="E29" s="459">
        <f t="shared" ref="E29:O29" si="72">E30+E31-E32+E33-E34</f>
        <v>29647049</v>
      </c>
      <c r="F29" s="459">
        <f t="shared" si="72"/>
        <v>29722309</v>
      </c>
      <c r="G29" s="459">
        <f t="shared" si="72"/>
        <v>29795144</v>
      </c>
      <c r="H29" s="459">
        <f t="shared" si="72"/>
        <v>29870409</v>
      </c>
      <c r="I29" s="459">
        <f t="shared" si="72"/>
        <v>29943239</v>
      </c>
      <c r="J29" s="459">
        <f t="shared" si="72"/>
        <v>30018504</v>
      </c>
      <c r="K29" s="459">
        <f t="shared" si="72"/>
        <v>30093764</v>
      </c>
      <c r="L29" s="459">
        <f t="shared" si="72"/>
        <v>30166599</v>
      </c>
      <c r="M29" s="459">
        <f t="shared" si="72"/>
        <v>30241860</v>
      </c>
      <c r="N29" s="459">
        <f t="shared" si="72"/>
        <v>30314695</v>
      </c>
      <c r="O29" s="460">
        <f t="shared" si="72"/>
        <v>-166062</v>
      </c>
      <c r="P29" s="455">
        <f>P30+P31-P32+P33-P34</f>
        <v>30148633</v>
      </c>
      <c r="Q29" s="621">
        <f>Q30+Q31-Q32+Q33-Q34</f>
        <v>11314629</v>
      </c>
      <c r="R29" s="459">
        <f t="shared" ref="R29:AB29" si="73">R30+R31-R32+R33-R34</f>
        <v>11335406</v>
      </c>
      <c r="S29" s="459">
        <f t="shared" si="73"/>
        <v>11358412</v>
      </c>
      <c r="T29" s="459">
        <f t="shared" si="73"/>
        <v>11380672</v>
      </c>
      <c r="U29" s="459">
        <f t="shared" si="73"/>
        <v>11403675</v>
      </c>
      <c r="V29" s="461">
        <f t="shared" si="73"/>
        <v>0</v>
      </c>
      <c r="W29" s="459">
        <f t="shared" si="73"/>
        <v>0</v>
      </c>
      <c r="X29" s="459">
        <f t="shared" si="73"/>
        <v>0</v>
      </c>
      <c r="Y29" s="459">
        <f t="shared" si="73"/>
        <v>0</v>
      </c>
      <c r="Z29" s="459">
        <f t="shared" si="73"/>
        <v>0</v>
      </c>
      <c r="AA29" s="459">
        <f t="shared" si="73"/>
        <v>0</v>
      </c>
      <c r="AB29" s="460">
        <f t="shared" si="73"/>
        <v>0</v>
      </c>
      <c r="AC29" s="456">
        <f>AC30+AC31-AC32+AC33-AC34</f>
        <v>0</v>
      </c>
      <c r="AD29" s="876">
        <f>AD30+AD31-AD32+AD33-AD34</f>
        <v>0</v>
      </c>
      <c r="AE29" s="459">
        <f t="shared" ref="AE29:AO29" si="74">AE30+AE31-AE32+AE33-AE34</f>
        <v>0</v>
      </c>
      <c r="AF29" s="459">
        <f t="shared" si="74"/>
        <v>0</v>
      </c>
      <c r="AG29" s="459">
        <f t="shared" si="74"/>
        <v>0</v>
      </c>
      <c r="AH29" s="459">
        <f t="shared" si="74"/>
        <v>0</v>
      </c>
      <c r="AI29" s="461">
        <f t="shared" si="74"/>
        <v>0</v>
      </c>
      <c r="AJ29" s="459">
        <f t="shared" si="74"/>
        <v>0</v>
      </c>
      <c r="AK29" s="459">
        <f t="shared" si="74"/>
        <v>0</v>
      </c>
      <c r="AL29" s="459">
        <f t="shared" si="74"/>
        <v>0</v>
      </c>
      <c r="AM29" s="459">
        <f t="shared" si="74"/>
        <v>0</v>
      </c>
      <c r="AN29" s="459">
        <f t="shared" si="74"/>
        <v>0</v>
      </c>
      <c r="AO29" s="838">
        <f t="shared" si="74"/>
        <v>0</v>
      </c>
      <c r="AP29" s="456">
        <f t="shared" ref="AP29:AV29" si="75">AP30+AP31-AP32+AP33-AP34</f>
        <v>0</v>
      </c>
      <c r="AQ29" s="875">
        <f t="shared" si="75"/>
        <v>0</v>
      </c>
      <c r="AR29" s="868">
        <f t="shared" si="75"/>
        <v>0</v>
      </c>
      <c r="AS29" s="868">
        <f t="shared" si="75"/>
        <v>0</v>
      </c>
      <c r="AT29" s="868">
        <f t="shared" si="75"/>
        <v>0</v>
      </c>
      <c r="AU29" s="868">
        <f t="shared" si="75"/>
        <v>0</v>
      </c>
      <c r="AV29" s="870">
        <f t="shared" si="75"/>
        <v>0</v>
      </c>
      <c r="AW29" s="868">
        <v>0</v>
      </c>
      <c r="AX29" s="868">
        <f t="shared" ref="AX29:BD29" si="76">AX30+AX31-AX32+AX33-AX34</f>
        <v>0</v>
      </c>
      <c r="AY29" s="868">
        <f t="shared" si="76"/>
        <v>0</v>
      </c>
      <c r="AZ29" s="868">
        <f t="shared" si="76"/>
        <v>0</v>
      </c>
      <c r="BA29" s="868">
        <f t="shared" si="76"/>
        <v>0</v>
      </c>
      <c r="BB29" s="869">
        <f t="shared" si="76"/>
        <v>0</v>
      </c>
      <c r="BC29" s="456">
        <f t="shared" si="76"/>
        <v>0</v>
      </c>
      <c r="BD29" s="875">
        <f t="shared" si="76"/>
        <v>0</v>
      </c>
      <c r="BE29" s="868"/>
      <c r="BF29" s="868"/>
      <c r="BG29" s="868"/>
      <c r="BH29" s="868"/>
      <c r="BI29" s="870"/>
      <c r="BJ29" s="868"/>
      <c r="BK29" s="868"/>
      <c r="BL29" s="868"/>
      <c r="BM29" s="868"/>
      <c r="BN29" s="868"/>
      <c r="BO29" s="869"/>
      <c r="BP29" s="456">
        <f>BP30+BP31-BP32+BP33-BP34</f>
        <v>0</v>
      </c>
      <c r="BQ29" s="875">
        <f>BQ30+BQ31-BQ32+BQ33-BQ34</f>
        <v>0</v>
      </c>
      <c r="BR29" s="868"/>
      <c r="BS29" s="868"/>
      <c r="BT29" s="868"/>
      <c r="BU29" s="868"/>
      <c r="BV29" s="870"/>
      <c r="BW29" s="868"/>
      <c r="BX29" s="868"/>
      <c r="BY29" s="868"/>
      <c r="BZ29" s="868"/>
      <c r="CA29" s="868"/>
      <c r="CB29" s="869"/>
      <c r="CC29" s="1193">
        <f>CC30+CC31-CC32+CC33-CC34</f>
        <v>0</v>
      </c>
      <c r="CD29" s="1270">
        <f>CD30+CD31-CD32+CD33-CD34</f>
        <v>0</v>
      </c>
      <c r="CE29" s="868"/>
      <c r="CF29" s="868"/>
      <c r="CG29" s="868"/>
      <c r="CH29" s="868"/>
      <c r="CI29" s="868"/>
      <c r="CJ29" s="868"/>
      <c r="CK29" s="868"/>
      <c r="CL29" s="868"/>
      <c r="CM29" s="868"/>
      <c r="CN29" s="868"/>
      <c r="CO29" s="869"/>
      <c r="CP29" s="1193">
        <f>CP30+CP31-CP32+CP33-CP34</f>
        <v>0</v>
      </c>
      <c r="CQ29" s="1332">
        <f>CQ30+CQ31-CQ32+CQ33-CQ34</f>
        <v>0</v>
      </c>
      <c r="CR29" s="868"/>
      <c r="CS29" s="868"/>
      <c r="CT29" s="868"/>
      <c r="CU29" s="868"/>
      <c r="CV29" s="868"/>
      <c r="CW29" s="868"/>
      <c r="CX29" s="868"/>
      <c r="CY29" s="868"/>
      <c r="CZ29" s="868"/>
      <c r="DA29" s="868"/>
      <c r="DB29" s="869"/>
      <c r="DC29" s="1193">
        <f>DC30+DC31-DC32+DC33-DC34</f>
        <v>0</v>
      </c>
      <c r="DD29" s="1332">
        <f>DD30+DD31-DD32+DD33-DD34</f>
        <v>0</v>
      </c>
      <c r="DE29" s="868"/>
      <c r="DF29" s="868"/>
      <c r="DG29" s="868"/>
      <c r="DH29" s="868"/>
      <c r="DI29" s="868"/>
      <c r="DJ29" s="868"/>
      <c r="DK29" s="868"/>
      <c r="DL29" s="868"/>
      <c r="DM29" s="868"/>
      <c r="DN29" s="868"/>
      <c r="DO29" s="869"/>
      <c r="DP29" s="1193">
        <f>DP30+DP31-DP32+DP33-DP34</f>
        <v>0</v>
      </c>
    </row>
    <row r="30" spans="1:120" ht="15" hidden="1" customHeight="1">
      <c r="A30" s="626"/>
      <c r="B30" s="678" t="s">
        <v>425</v>
      </c>
      <c r="C30" s="679"/>
      <c r="D30" s="680">
        <f t="shared" ref="D30:I30" si="77">C29</f>
        <v>29503809</v>
      </c>
      <c r="E30" s="622">
        <f t="shared" si="77"/>
        <v>29579064</v>
      </c>
      <c r="F30" s="622">
        <f t="shared" si="77"/>
        <v>29647049</v>
      </c>
      <c r="G30" s="622">
        <f t="shared" si="77"/>
        <v>29722309</v>
      </c>
      <c r="H30" s="622">
        <f t="shared" si="77"/>
        <v>29795144</v>
      </c>
      <c r="I30" s="622">
        <f t="shared" si="77"/>
        <v>29870409</v>
      </c>
      <c r="J30" s="622">
        <f>I29</f>
        <v>29943239</v>
      </c>
      <c r="K30" s="622">
        <f>J29</f>
        <v>30018504</v>
      </c>
      <c r="L30" s="622">
        <f>K29</f>
        <v>30093764</v>
      </c>
      <c r="M30" s="622">
        <f>L29</f>
        <v>30166599</v>
      </c>
      <c r="N30" s="622">
        <f>M29</f>
        <v>30241860</v>
      </c>
      <c r="O30" s="681"/>
      <c r="P30" s="682">
        <f>D30</f>
        <v>29503809</v>
      </c>
      <c r="Q30" s="680">
        <f t="shared" ref="Q30:V30" si="78">P29</f>
        <v>30148633</v>
      </c>
      <c r="R30" s="622">
        <f t="shared" si="78"/>
        <v>11314629</v>
      </c>
      <c r="S30" s="622">
        <f t="shared" si="78"/>
        <v>11335406</v>
      </c>
      <c r="T30" s="622">
        <f t="shared" si="78"/>
        <v>11358412</v>
      </c>
      <c r="U30" s="622">
        <f t="shared" si="78"/>
        <v>11380672</v>
      </c>
      <c r="V30" s="623">
        <f t="shared" si="78"/>
        <v>11403675</v>
      </c>
      <c r="W30" s="622"/>
      <c r="X30" s="622"/>
      <c r="Y30" s="622"/>
      <c r="Z30" s="622"/>
      <c r="AA30" s="622"/>
      <c r="AB30" s="681"/>
      <c r="AC30" s="683">
        <f>Q30</f>
        <v>30148633</v>
      </c>
      <c r="AD30" s="873">
        <f t="shared" ref="AD30:AI30" si="79">AC29</f>
        <v>0</v>
      </c>
      <c r="AE30" s="872">
        <f t="shared" si="79"/>
        <v>0</v>
      </c>
      <c r="AF30" s="872">
        <f t="shared" si="79"/>
        <v>0</v>
      </c>
      <c r="AG30" s="872">
        <f t="shared" si="79"/>
        <v>0</v>
      </c>
      <c r="AH30" s="872">
        <f t="shared" si="79"/>
        <v>0</v>
      </c>
      <c r="AI30" s="839">
        <f t="shared" si="79"/>
        <v>0</v>
      </c>
      <c r="AJ30" s="872"/>
      <c r="AK30" s="872"/>
      <c r="AL30" s="872"/>
      <c r="AM30" s="872"/>
      <c r="AN30" s="872"/>
      <c r="AO30" s="871"/>
      <c r="AP30" s="884">
        <f>AD30</f>
        <v>0</v>
      </c>
      <c r="AQ30" s="891">
        <f t="shared" ref="AQ30:AV30" si="80">AP29</f>
        <v>0</v>
      </c>
      <c r="AR30" s="892">
        <f t="shared" si="80"/>
        <v>0</v>
      </c>
      <c r="AS30" s="892">
        <f t="shared" si="80"/>
        <v>0</v>
      </c>
      <c r="AT30" s="892">
        <f t="shared" si="80"/>
        <v>0</v>
      </c>
      <c r="AU30" s="892">
        <f t="shared" si="80"/>
        <v>0</v>
      </c>
      <c r="AV30" s="899">
        <f t="shared" si="80"/>
        <v>0</v>
      </c>
      <c r="AW30" s="907"/>
      <c r="AX30" s="907"/>
      <c r="AY30" s="914"/>
      <c r="AZ30" s="1002"/>
      <c r="BA30" s="1002"/>
      <c r="BB30" s="1003"/>
      <c r="BC30" s="884">
        <f>AQ30</f>
        <v>0</v>
      </c>
      <c r="BD30" s="1015">
        <f>BC29</f>
        <v>0</v>
      </c>
      <c r="BE30" s="1002"/>
      <c r="BF30" s="1025"/>
      <c r="BG30" s="1039"/>
      <c r="BH30" s="1039"/>
      <c r="BI30" s="1043"/>
      <c r="BJ30" s="1163"/>
      <c r="BK30" s="1163"/>
      <c r="BL30" s="1163"/>
      <c r="BM30" s="1163"/>
      <c r="BN30" s="1163"/>
      <c r="BO30" s="1175"/>
      <c r="BP30" s="884">
        <f>BD30</f>
        <v>0</v>
      </c>
      <c r="BQ30" s="1224">
        <f>BP29</f>
        <v>0</v>
      </c>
      <c r="BR30" s="1225"/>
      <c r="BS30" s="1225"/>
      <c r="BT30" s="1225"/>
      <c r="BU30" s="1225"/>
      <c r="BV30" s="1231"/>
      <c r="BW30" s="1225"/>
      <c r="BX30" s="1225"/>
      <c r="BY30" s="1225"/>
      <c r="BZ30" s="1163"/>
      <c r="CA30" s="1163"/>
      <c r="CB30" s="1175"/>
      <c r="CC30" s="1195">
        <f>BQ30</f>
        <v>0</v>
      </c>
      <c r="CD30" s="1293">
        <f>CC29</f>
        <v>0</v>
      </c>
      <c r="CE30" s="1295"/>
      <c r="CF30" s="1295"/>
      <c r="CG30" s="1334"/>
      <c r="CH30" s="1334"/>
      <c r="CI30" s="1334"/>
      <c r="CJ30" s="1334"/>
      <c r="CK30" s="1334"/>
      <c r="CL30" s="1334"/>
      <c r="CM30" s="1369"/>
      <c r="CN30" s="1369"/>
      <c r="CO30" s="1370"/>
      <c r="CP30" s="1294">
        <f>CD30</f>
        <v>0</v>
      </c>
      <c r="CQ30" s="1392">
        <f>CP29</f>
        <v>0</v>
      </c>
      <c r="CR30" s="1394"/>
      <c r="CS30" s="1394"/>
      <c r="CT30" s="1394"/>
      <c r="CU30" s="1394"/>
      <c r="CV30" s="1394"/>
      <c r="CW30" s="1394"/>
      <c r="CX30" s="1394"/>
      <c r="CY30" s="1394"/>
      <c r="CZ30" s="1432"/>
      <c r="DA30" s="1432"/>
      <c r="DB30" s="1433"/>
      <c r="DC30" s="1393">
        <f>CQ30</f>
        <v>0</v>
      </c>
      <c r="DD30" s="1451">
        <f>DC29</f>
        <v>0</v>
      </c>
      <c r="DE30" s="1453"/>
      <c r="DF30" s="1453"/>
      <c r="DG30" s="1453"/>
      <c r="DH30" s="1453"/>
      <c r="DI30" s="1453"/>
      <c r="DJ30" s="1453"/>
      <c r="DK30" s="1453"/>
      <c r="DL30" s="1453"/>
      <c r="DM30" s="1453"/>
      <c r="DN30" s="1453"/>
      <c r="DO30" s="1454"/>
      <c r="DP30" s="1452">
        <f>DD30</f>
        <v>0</v>
      </c>
    </row>
    <row r="31" spans="1:120" ht="15" hidden="1" customHeight="1">
      <c r="A31" s="626"/>
      <c r="B31" s="678" t="s">
        <v>430</v>
      </c>
      <c r="C31" s="679">
        <v>29489244</v>
      </c>
      <c r="D31" s="680"/>
      <c r="E31" s="622"/>
      <c r="F31" s="622"/>
      <c r="G31" s="622"/>
      <c r="H31" s="622"/>
      <c r="I31" s="622"/>
      <c r="J31" s="622"/>
      <c r="K31" s="622"/>
      <c r="L31" s="622"/>
      <c r="M31" s="622"/>
      <c r="N31" s="622"/>
      <c r="O31" s="681"/>
      <c r="P31" s="682">
        <f>SUM(D31:O31)</f>
        <v>0</v>
      </c>
      <c r="Q31" s="680"/>
      <c r="R31" s="622"/>
      <c r="S31" s="622"/>
      <c r="T31" s="622"/>
      <c r="U31" s="622"/>
      <c r="V31" s="623"/>
      <c r="W31" s="622"/>
      <c r="X31" s="622"/>
      <c r="Y31" s="622"/>
      <c r="Z31" s="622"/>
      <c r="AA31" s="622"/>
      <c r="AB31" s="681"/>
      <c r="AC31" s="683">
        <f>SUM(Q31:AB31)</f>
        <v>0</v>
      </c>
      <c r="AD31" s="873"/>
      <c r="AE31" s="872"/>
      <c r="AF31" s="872"/>
      <c r="AG31" s="872"/>
      <c r="AH31" s="872"/>
      <c r="AI31" s="839"/>
      <c r="AJ31" s="872"/>
      <c r="AK31" s="872"/>
      <c r="AL31" s="872"/>
      <c r="AM31" s="872"/>
      <c r="AN31" s="872"/>
      <c r="AO31" s="871"/>
      <c r="AP31" s="884">
        <f>SUM(AD31:AO31)</f>
        <v>0</v>
      </c>
      <c r="AQ31" s="891"/>
      <c r="AR31" s="892"/>
      <c r="AS31" s="892"/>
      <c r="AT31" s="892"/>
      <c r="AU31" s="892"/>
      <c r="AV31" s="899"/>
      <c r="AW31" s="907"/>
      <c r="AX31" s="907"/>
      <c r="AY31" s="914"/>
      <c r="AZ31" s="1002"/>
      <c r="BA31" s="1002"/>
      <c r="BB31" s="1003"/>
      <c r="BC31" s="884">
        <f>SUM(AQ31:BB31)</f>
        <v>0</v>
      </c>
      <c r="BD31" s="1015"/>
      <c r="BE31" s="1002"/>
      <c r="BF31" s="1025"/>
      <c r="BG31" s="1039"/>
      <c r="BH31" s="1039"/>
      <c r="BI31" s="1043"/>
      <c r="BJ31" s="1163"/>
      <c r="BK31" s="1163"/>
      <c r="BL31" s="1163"/>
      <c r="BM31" s="1163"/>
      <c r="BN31" s="1163"/>
      <c r="BO31" s="1175"/>
      <c r="BP31" s="884">
        <f>SUM(BD31:BO31)</f>
        <v>0</v>
      </c>
      <c r="BQ31" s="1224"/>
      <c r="BR31" s="1225"/>
      <c r="BS31" s="1225"/>
      <c r="BT31" s="1225"/>
      <c r="BU31" s="1225"/>
      <c r="BV31" s="1231"/>
      <c r="BW31" s="1225"/>
      <c r="BX31" s="1225"/>
      <c r="BY31" s="1225"/>
      <c r="BZ31" s="1163"/>
      <c r="CA31" s="1163"/>
      <c r="CB31" s="1175"/>
      <c r="CC31" s="1195">
        <f>SUM(BQ31:CB31)</f>
        <v>0</v>
      </c>
      <c r="CD31" s="1293"/>
      <c r="CE31" s="1295"/>
      <c r="CF31" s="1295"/>
      <c r="CG31" s="1334"/>
      <c r="CH31" s="1334"/>
      <c r="CI31" s="1334"/>
      <c r="CJ31" s="1334"/>
      <c r="CK31" s="1334"/>
      <c r="CL31" s="1334"/>
      <c r="CM31" s="1369"/>
      <c r="CN31" s="1369"/>
      <c r="CO31" s="1370"/>
      <c r="CP31" s="1294">
        <f>SUM(CD31:CO31)</f>
        <v>0</v>
      </c>
      <c r="CQ31" s="1392"/>
      <c r="CR31" s="1394"/>
      <c r="CS31" s="1394"/>
      <c r="CT31" s="1394"/>
      <c r="CU31" s="1394"/>
      <c r="CV31" s="1394"/>
      <c r="CW31" s="1394"/>
      <c r="CX31" s="1394"/>
      <c r="CY31" s="1394"/>
      <c r="CZ31" s="1432"/>
      <c r="DA31" s="1432"/>
      <c r="DB31" s="1433"/>
      <c r="DC31" s="1393">
        <f>SUM(CQ31:DB31)</f>
        <v>0</v>
      </c>
      <c r="DD31" s="1451"/>
      <c r="DE31" s="1453"/>
      <c r="DF31" s="1453"/>
      <c r="DG31" s="1453"/>
      <c r="DH31" s="1453"/>
      <c r="DI31" s="1453"/>
      <c r="DJ31" s="1453"/>
      <c r="DK31" s="1453"/>
      <c r="DL31" s="1453"/>
      <c r="DM31" s="1453"/>
      <c r="DN31" s="1453"/>
      <c r="DO31" s="1454"/>
      <c r="DP31" s="1452">
        <f>SUM(DD31:DO31)</f>
        <v>0</v>
      </c>
    </row>
    <row r="32" spans="1:120" ht="15" hidden="1" customHeight="1">
      <c r="A32" s="626"/>
      <c r="B32" s="678" t="s">
        <v>431</v>
      </c>
      <c r="C32" s="679"/>
      <c r="D32" s="680"/>
      <c r="E32" s="622"/>
      <c r="F32" s="622"/>
      <c r="G32" s="622"/>
      <c r="H32" s="622"/>
      <c r="I32" s="622"/>
      <c r="J32" s="622"/>
      <c r="K32" s="622"/>
      <c r="L32" s="622"/>
      <c r="M32" s="622"/>
      <c r="N32" s="622"/>
      <c r="O32" s="681"/>
      <c r="P32" s="682">
        <f>SUM(D32:O32)</f>
        <v>0</v>
      </c>
      <c r="Q32" s="680">
        <v>18884664</v>
      </c>
      <c r="R32" s="622"/>
      <c r="S32" s="622"/>
      <c r="T32" s="622"/>
      <c r="U32" s="622"/>
      <c r="V32" s="623">
        <v>11288707</v>
      </c>
      <c r="W32" s="622"/>
      <c r="X32" s="622"/>
      <c r="Y32" s="622"/>
      <c r="Z32" s="622"/>
      <c r="AA32" s="622"/>
      <c r="AB32" s="681"/>
      <c r="AC32" s="683">
        <f>SUM(Q32:AB32)</f>
        <v>30173371</v>
      </c>
      <c r="AD32" s="873"/>
      <c r="AE32" s="872"/>
      <c r="AF32" s="872"/>
      <c r="AG32" s="872"/>
      <c r="AH32" s="872"/>
      <c r="AI32" s="839"/>
      <c r="AJ32" s="872"/>
      <c r="AK32" s="872"/>
      <c r="AL32" s="872"/>
      <c r="AM32" s="872"/>
      <c r="AN32" s="872"/>
      <c r="AO32" s="871"/>
      <c r="AP32" s="884">
        <f>SUM(AD32:AO32)</f>
        <v>0</v>
      </c>
      <c r="AQ32" s="891"/>
      <c r="AR32" s="892"/>
      <c r="AS32" s="892"/>
      <c r="AT32" s="892"/>
      <c r="AU32" s="892"/>
      <c r="AV32" s="899"/>
      <c r="AW32" s="907"/>
      <c r="AX32" s="907"/>
      <c r="AY32" s="914"/>
      <c r="AZ32" s="1002"/>
      <c r="BA32" s="1002"/>
      <c r="BB32" s="1003"/>
      <c r="BC32" s="884">
        <f>SUM(AQ32:BB32)</f>
        <v>0</v>
      </c>
      <c r="BD32" s="1015"/>
      <c r="BE32" s="1002"/>
      <c r="BF32" s="1025"/>
      <c r="BG32" s="1039"/>
      <c r="BH32" s="1039"/>
      <c r="BI32" s="1043"/>
      <c r="BJ32" s="1163"/>
      <c r="BK32" s="1163"/>
      <c r="BL32" s="1163"/>
      <c r="BM32" s="1163"/>
      <c r="BN32" s="1163"/>
      <c r="BO32" s="1175"/>
      <c r="BP32" s="884">
        <f>SUM(BD32:BO32)</f>
        <v>0</v>
      </c>
      <c r="BQ32" s="1224"/>
      <c r="BR32" s="1225"/>
      <c r="BS32" s="1225"/>
      <c r="BT32" s="1225"/>
      <c r="BU32" s="1225"/>
      <c r="BV32" s="1231"/>
      <c r="BW32" s="1225"/>
      <c r="BX32" s="1225"/>
      <c r="BY32" s="1225"/>
      <c r="BZ32" s="1163"/>
      <c r="CA32" s="1163"/>
      <c r="CB32" s="1175"/>
      <c r="CC32" s="1195">
        <f>SUM(BQ32:CB32)</f>
        <v>0</v>
      </c>
      <c r="CD32" s="1293"/>
      <c r="CE32" s="1295"/>
      <c r="CF32" s="1295"/>
      <c r="CG32" s="1334"/>
      <c r="CH32" s="1334"/>
      <c r="CI32" s="1334"/>
      <c r="CJ32" s="1334"/>
      <c r="CK32" s="1334"/>
      <c r="CL32" s="1334"/>
      <c r="CM32" s="1369"/>
      <c r="CN32" s="1369"/>
      <c r="CO32" s="1370"/>
      <c r="CP32" s="1294">
        <f>SUM(CD32:CO32)</f>
        <v>0</v>
      </c>
      <c r="CQ32" s="1392"/>
      <c r="CR32" s="1394"/>
      <c r="CS32" s="1394"/>
      <c r="CT32" s="1394"/>
      <c r="CU32" s="1394"/>
      <c r="CV32" s="1394"/>
      <c r="CW32" s="1394"/>
      <c r="CX32" s="1394"/>
      <c r="CY32" s="1394"/>
      <c r="CZ32" s="1432"/>
      <c r="DA32" s="1432"/>
      <c r="DB32" s="1433"/>
      <c r="DC32" s="1393">
        <f>SUM(CQ32:DB32)</f>
        <v>0</v>
      </c>
      <c r="DD32" s="1451"/>
      <c r="DE32" s="1453"/>
      <c r="DF32" s="1453"/>
      <c r="DG32" s="1453"/>
      <c r="DH32" s="1453"/>
      <c r="DI32" s="1453"/>
      <c r="DJ32" s="1453"/>
      <c r="DK32" s="1453"/>
      <c r="DL32" s="1453"/>
      <c r="DM32" s="1453"/>
      <c r="DN32" s="1453"/>
      <c r="DO32" s="1454"/>
      <c r="DP32" s="1452">
        <f>SUM(DD32:DO32)</f>
        <v>0</v>
      </c>
    </row>
    <row r="33" spans="1:120" ht="15" hidden="1" customHeight="1">
      <c r="A33" s="626"/>
      <c r="B33" s="678" t="s">
        <v>428</v>
      </c>
      <c r="C33" s="679">
        <v>14565</v>
      </c>
      <c r="D33" s="680">
        <v>75255</v>
      </c>
      <c r="E33" s="622">
        <v>67985</v>
      </c>
      <c r="F33" s="622">
        <v>75260</v>
      </c>
      <c r="G33" s="622">
        <v>72835</v>
      </c>
      <c r="H33" s="622">
        <v>75265</v>
      </c>
      <c r="I33" s="622">
        <v>72830</v>
      </c>
      <c r="J33" s="622">
        <v>75265</v>
      </c>
      <c r="K33" s="622">
        <v>75260</v>
      </c>
      <c r="L33" s="622">
        <v>72835</v>
      </c>
      <c r="M33" s="622">
        <v>75261</v>
      </c>
      <c r="N33" s="622">
        <v>72835</v>
      </c>
      <c r="O33" s="681">
        <v>72074</v>
      </c>
      <c r="P33" s="682">
        <f>SUM(D33:O33)</f>
        <v>882960</v>
      </c>
      <c r="Q33" s="680">
        <v>50660</v>
      </c>
      <c r="R33" s="622">
        <v>20777</v>
      </c>
      <c r="S33" s="622">
        <v>23006</v>
      </c>
      <c r="T33" s="622">
        <v>22260</v>
      </c>
      <c r="U33" s="622">
        <v>23003</v>
      </c>
      <c r="V33" s="623">
        <v>-60651</v>
      </c>
      <c r="W33" s="622"/>
      <c r="X33" s="622"/>
      <c r="Y33" s="622"/>
      <c r="Z33" s="622"/>
      <c r="AA33" s="622"/>
      <c r="AB33" s="681"/>
      <c r="AC33" s="683">
        <f>SUM(Q33:AB33)</f>
        <v>79055</v>
      </c>
      <c r="AD33" s="873"/>
      <c r="AE33" s="872"/>
      <c r="AF33" s="872"/>
      <c r="AG33" s="872"/>
      <c r="AH33" s="872"/>
      <c r="AI33" s="839"/>
      <c r="AJ33" s="872"/>
      <c r="AK33" s="872"/>
      <c r="AL33" s="872"/>
      <c r="AM33" s="872"/>
      <c r="AN33" s="872"/>
      <c r="AO33" s="871"/>
      <c r="AP33" s="884">
        <f>SUM(AD33:AO33)</f>
        <v>0</v>
      </c>
      <c r="AQ33" s="891"/>
      <c r="AR33" s="892"/>
      <c r="AS33" s="892"/>
      <c r="AT33" s="892"/>
      <c r="AU33" s="892"/>
      <c r="AV33" s="899"/>
      <c r="AW33" s="907"/>
      <c r="AX33" s="907"/>
      <c r="AY33" s="914"/>
      <c r="AZ33" s="1002"/>
      <c r="BA33" s="1002"/>
      <c r="BB33" s="1003"/>
      <c r="BC33" s="884">
        <f>SUM(AQ33:BB33)</f>
        <v>0</v>
      </c>
      <c r="BD33" s="1015"/>
      <c r="BE33" s="1002"/>
      <c r="BF33" s="1025"/>
      <c r="BG33" s="1039"/>
      <c r="BH33" s="1039"/>
      <c r="BI33" s="1043"/>
      <c r="BJ33" s="1163"/>
      <c r="BK33" s="1163"/>
      <c r="BL33" s="1163"/>
      <c r="BM33" s="1163"/>
      <c r="BN33" s="1163"/>
      <c r="BO33" s="1175"/>
      <c r="BP33" s="884">
        <f>SUM(BD33:BO33)</f>
        <v>0</v>
      </c>
      <c r="BQ33" s="1224"/>
      <c r="BR33" s="1225"/>
      <c r="BS33" s="1225"/>
      <c r="BT33" s="1225"/>
      <c r="BU33" s="1225"/>
      <c r="BV33" s="1231"/>
      <c r="BW33" s="1225"/>
      <c r="BX33" s="1225"/>
      <c r="BY33" s="1225"/>
      <c r="BZ33" s="1163"/>
      <c r="CA33" s="1163"/>
      <c r="CB33" s="1175"/>
      <c r="CC33" s="1195">
        <f>SUM(BQ33:CB33)</f>
        <v>0</v>
      </c>
      <c r="CD33" s="1293"/>
      <c r="CE33" s="1295"/>
      <c r="CF33" s="1295"/>
      <c r="CG33" s="1334"/>
      <c r="CH33" s="1334"/>
      <c r="CI33" s="1334"/>
      <c r="CJ33" s="1334"/>
      <c r="CK33" s="1334"/>
      <c r="CL33" s="1334"/>
      <c r="CM33" s="1369"/>
      <c r="CN33" s="1369"/>
      <c r="CO33" s="1370"/>
      <c r="CP33" s="1294">
        <f>SUM(CD33:CO33)</f>
        <v>0</v>
      </c>
      <c r="CQ33" s="1392"/>
      <c r="CR33" s="1394"/>
      <c r="CS33" s="1394"/>
      <c r="CT33" s="1394"/>
      <c r="CU33" s="1394"/>
      <c r="CV33" s="1394"/>
      <c r="CW33" s="1394"/>
      <c r="CX33" s="1394"/>
      <c r="CY33" s="1394"/>
      <c r="CZ33" s="1432"/>
      <c r="DA33" s="1432"/>
      <c r="DB33" s="1433"/>
      <c r="DC33" s="1393">
        <f>SUM(CQ33:DB33)</f>
        <v>0</v>
      </c>
      <c r="DD33" s="1451"/>
      <c r="DE33" s="1453"/>
      <c r="DF33" s="1453"/>
      <c r="DG33" s="1453"/>
      <c r="DH33" s="1453"/>
      <c r="DI33" s="1453"/>
      <c r="DJ33" s="1453"/>
      <c r="DK33" s="1453"/>
      <c r="DL33" s="1453"/>
      <c r="DM33" s="1453"/>
      <c r="DN33" s="1453"/>
      <c r="DO33" s="1454"/>
      <c r="DP33" s="1452">
        <f>SUM(DD33:DO33)</f>
        <v>0</v>
      </c>
    </row>
    <row r="34" spans="1:120" ht="15" hidden="1" customHeight="1">
      <c r="A34" s="626"/>
      <c r="B34" s="684" t="s">
        <v>432</v>
      </c>
      <c r="C34" s="685"/>
      <c r="D34" s="686"/>
      <c r="E34" s="687"/>
      <c r="F34" s="687"/>
      <c r="G34" s="687"/>
      <c r="H34" s="687"/>
      <c r="I34" s="687"/>
      <c r="J34" s="687"/>
      <c r="K34" s="687"/>
      <c r="L34" s="687"/>
      <c r="M34" s="687"/>
      <c r="N34" s="687"/>
      <c r="O34" s="688">
        <v>238136</v>
      </c>
      <c r="P34" s="689">
        <f>SUM(D34:O34)</f>
        <v>238136</v>
      </c>
      <c r="Q34" s="686"/>
      <c r="R34" s="687"/>
      <c r="S34" s="687"/>
      <c r="T34" s="687"/>
      <c r="U34" s="687"/>
      <c r="V34" s="705">
        <v>54317</v>
      </c>
      <c r="W34" s="687"/>
      <c r="X34" s="687"/>
      <c r="Y34" s="687"/>
      <c r="Z34" s="687"/>
      <c r="AA34" s="687"/>
      <c r="AB34" s="688"/>
      <c r="AC34" s="690">
        <f>SUM(Q34:AB34)</f>
        <v>54317</v>
      </c>
      <c r="AD34" s="830"/>
      <c r="AE34" s="831"/>
      <c r="AF34" s="831"/>
      <c r="AG34" s="831"/>
      <c r="AH34" s="831"/>
      <c r="AI34" s="862"/>
      <c r="AJ34" s="831"/>
      <c r="AK34" s="831"/>
      <c r="AL34" s="831"/>
      <c r="AM34" s="831"/>
      <c r="AN34" s="831"/>
      <c r="AO34" s="832"/>
      <c r="AP34" s="883">
        <f>SUM(AD34:AO34)</f>
        <v>0</v>
      </c>
      <c r="AQ34" s="893"/>
      <c r="AR34" s="894"/>
      <c r="AS34" s="894"/>
      <c r="AT34" s="894"/>
      <c r="AU34" s="894"/>
      <c r="AV34" s="900"/>
      <c r="AW34" s="908"/>
      <c r="AX34" s="908"/>
      <c r="AY34" s="915"/>
      <c r="AZ34" s="1004"/>
      <c r="BA34" s="1004"/>
      <c r="BB34" s="1005"/>
      <c r="BC34" s="883">
        <f>SUM(AQ34:BB34)</f>
        <v>0</v>
      </c>
      <c r="BD34" s="1016"/>
      <c r="BE34" s="1004"/>
      <c r="BF34" s="1026"/>
      <c r="BG34" s="1040"/>
      <c r="BH34" s="1040"/>
      <c r="BI34" s="1044"/>
      <c r="BJ34" s="1164"/>
      <c r="BK34" s="1164"/>
      <c r="BL34" s="1164"/>
      <c r="BM34" s="1176"/>
      <c r="BN34" s="1176"/>
      <c r="BO34" s="1177"/>
      <c r="BP34" s="883">
        <f>SUM(BD34:BO34)</f>
        <v>0</v>
      </c>
      <c r="BQ34" s="1232"/>
      <c r="BR34" s="1230"/>
      <c r="BS34" s="1230"/>
      <c r="BT34" s="1230"/>
      <c r="BU34" s="1230"/>
      <c r="BV34" s="1233"/>
      <c r="BW34" s="1230"/>
      <c r="BX34" s="1230"/>
      <c r="BY34" s="1230"/>
      <c r="BZ34" s="1176"/>
      <c r="CA34" s="1176"/>
      <c r="CB34" s="1177"/>
      <c r="CC34" s="1196">
        <f>SUM(BQ34:CB34)</f>
        <v>0</v>
      </c>
      <c r="CD34" s="1226"/>
      <c r="CE34" s="1296"/>
      <c r="CF34" s="1296"/>
      <c r="CG34" s="1335"/>
      <c r="CH34" s="1335"/>
      <c r="CI34" s="1335"/>
      <c r="CJ34" s="1335"/>
      <c r="CK34" s="1335"/>
      <c r="CL34" s="1335"/>
      <c r="CM34" s="1371"/>
      <c r="CN34" s="1371"/>
      <c r="CO34" s="1372"/>
      <c r="CP34" s="1297">
        <f>SUM(CD34:CO34)</f>
        <v>0</v>
      </c>
      <c r="CQ34" s="1395"/>
      <c r="CR34" s="1396"/>
      <c r="CS34" s="1396"/>
      <c r="CT34" s="1396"/>
      <c r="CU34" s="1396"/>
      <c r="CV34" s="1396"/>
      <c r="CW34" s="1396"/>
      <c r="CX34" s="1396"/>
      <c r="CY34" s="1396"/>
      <c r="CZ34" s="1434"/>
      <c r="DA34" s="1434"/>
      <c r="DB34" s="1435"/>
      <c r="DC34" s="1397">
        <f>SUM(CQ34:DB34)</f>
        <v>0</v>
      </c>
      <c r="DD34" s="1395"/>
      <c r="DE34" s="1455"/>
      <c r="DF34" s="1455"/>
      <c r="DG34" s="1455"/>
      <c r="DH34" s="1455"/>
      <c r="DI34" s="1455"/>
      <c r="DJ34" s="1455"/>
      <c r="DK34" s="1455"/>
      <c r="DL34" s="1455"/>
      <c r="DM34" s="1455"/>
      <c r="DN34" s="1455"/>
      <c r="DO34" s="1456"/>
      <c r="DP34" s="1457">
        <f>SUM(DD34:DO34)</f>
        <v>0</v>
      </c>
    </row>
    <row r="35" spans="1:120" s="30" customFormat="1" ht="15" hidden="1" customHeight="1">
      <c r="A35" s="691" t="s">
        <v>18</v>
      </c>
      <c r="B35" s="692"/>
      <c r="C35" s="693">
        <f>SUM(C36:C40)</f>
        <v>25924580</v>
      </c>
      <c r="D35" s="694">
        <f>D36+D37-D38+D39-D40</f>
        <v>25998584</v>
      </c>
      <c r="E35" s="457">
        <f t="shared" ref="E35:O35" si="81">E36+E37-E38+E39-E40</f>
        <v>26065358</v>
      </c>
      <c r="F35" s="457">
        <f t="shared" si="81"/>
        <v>26142993</v>
      </c>
      <c r="G35" s="457">
        <f t="shared" si="81"/>
        <v>26214586</v>
      </c>
      <c r="H35" s="457">
        <f t="shared" si="81"/>
        <v>26289800</v>
      </c>
      <c r="I35" s="457">
        <f t="shared" si="81"/>
        <v>26361394</v>
      </c>
      <c r="J35" s="457">
        <f t="shared" si="81"/>
        <v>26436608</v>
      </c>
      <c r="K35" s="457">
        <f t="shared" si="81"/>
        <v>26510612</v>
      </c>
      <c r="L35" s="457">
        <f t="shared" si="81"/>
        <v>26582206</v>
      </c>
      <c r="M35" s="457">
        <f t="shared" si="81"/>
        <v>26657420</v>
      </c>
      <c r="N35" s="457">
        <f t="shared" si="81"/>
        <v>26729014</v>
      </c>
      <c r="O35" s="695">
        <f t="shared" si="81"/>
        <v>-109955</v>
      </c>
      <c r="P35" s="696">
        <f>P36+P37-P38+P39-P40</f>
        <v>26619059</v>
      </c>
      <c r="Q35" s="694">
        <f>Q36+Q37-Q38+Q39-Q40</f>
        <v>9945896</v>
      </c>
      <c r="R35" s="457">
        <f t="shared" ref="R35:AB35" si="82">R36+R37-R38+R39-R40</f>
        <v>9970207</v>
      </c>
      <c r="S35" s="457">
        <f t="shared" si="82"/>
        <v>9997048</v>
      </c>
      <c r="T35" s="457">
        <f t="shared" si="82"/>
        <v>10022980</v>
      </c>
      <c r="U35" s="457">
        <f t="shared" si="82"/>
        <v>10049777</v>
      </c>
      <c r="V35" s="462">
        <f t="shared" si="82"/>
        <v>0</v>
      </c>
      <c r="W35" s="457">
        <f t="shared" si="82"/>
        <v>0</v>
      </c>
      <c r="X35" s="457">
        <f t="shared" si="82"/>
        <v>0</v>
      </c>
      <c r="Y35" s="457">
        <f t="shared" si="82"/>
        <v>0</v>
      </c>
      <c r="Z35" s="457">
        <f t="shared" si="82"/>
        <v>0</v>
      </c>
      <c r="AA35" s="457">
        <f t="shared" si="82"/>
        <v>0</v>
      </c>
      <c r="AB35" s="695">
        <f t="shared" si="82"/>
        <v>0</v>
      </c>
      <c r="AC35" s="697">
        <f>AC36+AC37-AC38+AC39-AC40</f>
        <v>0</v>
      </c>
      <c r="AD35" s="833">
        <f>AD36+AD37-AD38+AD39-AD40</f>
        <v>0</v>
      </c>
      <c r="AE35" s="457">
        <f t="shared" ref="AE35:AO35" si="83">AE36+AE37-AE38+AE39-AE40</f>
        <v>0</v>
      </c>
      <c r="AF35" s="457">
        <f t="shared" si="83"/>
        <v>0</v>
      </c>
      <c r="AG35" s="457">
        <f t="shared" si="83"/>
        <v>0</v>
      </c>
      <c r="AH35" s="457">
        <f t="shared" si="83"/>
        <v>0</v>
      </c>
      <c r="AI35" s="462">
        <f t="shared" si="83"/>
        <v>0</v>
      </c>
      <c r="AJ35" s="457">
        <f t="shared" si="83"/>
        <v>0</v>
      </c>
      <c r="AK35" s="457">
        <f t="shared" si="83"/>
        <v>0</v>
      </c>
      <c r="AL35" s="457">
        <f t="shared" si="83"/>
        <v>0</v>
      </c>
      <c r="AM35" s="457">
        <f t="shared" si="83"/>
        <v>0</v>
      </c>
      <c r="AN35" s="457">
        <f t="shared" si="83"/>
        <v>0</v>
      </c>
      <c r="AO35" s="834">
        <f t="shared" si="83"/>
        <v>0</v>
      </c>
      <c r="AP35" s="697">
        <f t="shared" ref="AP35:AV35" si="84">AP36+AP37-AP38+AP39-AP40</f>
        <v>0</v>
      </c>
      <c r="AQ35" s="895">
        <f t="shared" si="84"/>
        <v>0</v>
      </c>
      <c r="AR35" s="896">
        <f t="shared" si="84"/>
        <v>0</v>
      </c>
      <c r="AS35" s="896">
        <f t="shared" si="84"/>
        <v>0</v>
      </c>
      <c r="AT35" s="896">
        <f t="shared" si="84"/>
        <v>0</v>
      </c>
      <c r="AU35" s="896">
        <f t="shared" si="84"/>
        <v>0</v>
      </c>
      <c r="AV35" s="901">
        <f t="shared" si="84"/>
        <v>0</v>
      </c>
      <c r="AW35" s="896">
        <v>0</v>
      </c>
      <c r="AX35" s="896">
        <f t="shared" ref="AX35:BD35" si="85">AX36+AX37-AX38+AX39-AX40</f>
        <v>0</v>
      </c>
      <c r="AY35" s="896">
        <f t="shared" si="85"/>
        <v>0</v>
      </c>
      <c r="AZ35" s="896">
        <f t="shared" si="85"/>
        <v>0</v>
      </c>
      <c r="BA35" s="896">
        <f t="shared" si="85"/>
        <v>0</v>
      </c>
      <c r="BB35" s="1006">
        <f t="shared" si="85"/>
        <v>0</v>
      </c>
      <c r="BC35" s="697">
        <f t="shared" si="85"/>
        <v>0</v>
      </c>
      <c r="BD35" s="1017">
        <f t="shared" si="85"/>
        <v>0</v>
      </c>
      <c r="BE35" s="1018"/>
      <c r="BF35" s="1018"/>
      <c r="BG35" s="1018"/>
      <c r="BH35" s="1018"/>
      <c r="BI35" s="1020"/>
      <c r="BJ35" s="1167"/>
      <c r="BK35" s="1167"/>
      <c r="BL35" s="1167"/>
      <c r="BM35" s="1167"/>
      <c r="BN35" s="1167"/>
      <c r="BO35" s="1179"/>
      <c r="BP35" s="697">
        <f>BP36+BP37-BP38+BP39-BP40</f>
        <v>0</v>
      </c>
      <c r="BQ35" s="1165">
        <f>BQ36+BQ37-BQ38+BQ39-BQ40</f>
        <v>0</v>
      </c>
      <c r="BR35" s="1167"/>
      <c r="BS35" s="1167"/>
      <c r="BT35" s="1167"/>
      <c r="BU35" s="1167"/>
      <c r="BV35" s="1201"/>
      <c r="BW35" s="1167"/>
      <c r="BX35" s="1167"/>
      <c r="BY35" s="1167"/>
      <c r="BZ35" s="1273"/>
      <c r="CA35" s="1273"/>
      <c r="CB35" s="1274"/>
      <c r="CC35" s="1197">
        <f>CC36+CC37-CC38+CC39-CC40</f>
        <v>0</v>
      </c>
      <c r="CD35" s="1165">
        <f>CD36+CD37-CD38+CD39-CD40</f>
        <v>0</v>
      </c>
      <c r="CE35" s="1273"/>
      <c r="CF35" s="1273"/>
      <c r="CG35" s="1338"/>
      <c r="CH35" s="1338"/>
      <c r="CI35" s="1338"/>
      <c r="CJ35" s="1338"/>
      <c r="CK35" s="1338"/>
      <c r="CL35" s="1338"/>
      <c r="CM35" s="1338"/>
      <c r="CN35" s="1338"/>
      <c r="CO35" s="1274"/>
      <c r="CP35" s="1298">
        <f>CP36+CP37-CP38+CP39-CP40</f>
        <v>0</v>
      </c>
      <c r="CQ35" s="1336">
        <f>CQ36+CQ37-CQ38+CQ39-CQ40</f>
        <v>0</v>
      </c>
      <c r="CR35" s="1338"/>
      <c r="CS35" s="1338"/>
      <c r="CT35" s="1338"/>
      <c r="CU35" s="1338"/>
      <c r="CV35" s="1338"/>
      <c r="CW35" s="1338"/>
      <c r="CX35" s="1338"/>
      <c r="CY35" s="1338"/>
      <c r="CZ35" s="1338"/>
      <c r="DA35" s="1338"/>
      <c r="DB35" s="1274"/>
      <c r="DC35" s="1298">
        <f>DC36+DC37-DC38+DC39-DC40</f>
        <v>0</v>
      </c>
      <c r="DD35" s="1336">
        <f>DD36+DD37-DD38+DD39-DD40</f>
        <v>0</v>
      </c>
      <c r="DE35" s="1338"/>
      <c r="DF35" s="1338"/>
      <c r="DG35" s="1338"/>
      <c r="DH35" s="1338"/>
      <c r="DI35" s="1338"/>
      <c r="DJ35" s="1338"/>
      <c r="DK35" s="1338"/>
      <c r="DL35" s="1338"/>
      <c r="DM35" s="1338"/>
      <c r="DN35" s="1338"/>
      <c r="DO35" s="1274"/>
      <c r="DP35" s="1298">
        <f>DP36+DP37-DP38+DP39-DP40</f>
        <v>0</v>
      </c>
    </row>
    <row r="36" spans="1:120" ht="15" hidden="1" customHeight="1">
      <c r="A36" s="626"/>
      <c r="B36" s="678" t="s">
        <v>425</v>
      </c>
      <c r="C36" s="679"/>
      <c r="D36" s="680">
        <f t="shared" ref="D36:I36" si="86">C35</f>
        <v>25924580</v>
      </c>
      <c r="E36" s="622">
        <f t="shared" si="86"/>
        <v>25998584</v>
      </c>
      <c r="F36" s="622">
        <f t="shared" si="86"/>
        <v>26065358</v>
      </c>
      <c r="G36" s="622">
        <f t="shared" si="86"/>
        <v>26142993</v>
      </c>
      <c r="H36" s="622">
        <f t="shared" si="86"/>
        <v>26214586</v>
      </c>
      <c r="I36" s="622">
        <f t="shared" si="86"/>
        <v>26289800</v>
      </c>
      <c r="J36" s="622">
        <f>I35</f>
        <v>26361394</v>
      </c>
      <c r="K36" s="622">
        <f>J35</f>
        <v>26436608</v>
      </c>
      <c r="L36" s="622">
        <f>K35</f>
        <v>26510612</v>
      </c>
      <c r="M36" s="622">
        <f>L35</f>
        <v>26582206</v>
      </c>
      <c r="N36" s="622">
        <f>M35</f>
        <v>26657420</v>
      </c>
      <c r="O36" s="681"/>
      <c r="P36" s="682">
        <f>D36</f>
        <v>25924580</v>
      </c>
      <c r="Q36" s="680">
        <f t="shared" ref="Q36:V36" si="87">P35</f>
        <v>26619059</v>
      </c>
      <c r="R36" s="622">
        <f t="shared" si="87"/>
        <v>9945896</v>
      </c>
      <c r="S36" s="622">
        <f t="shared" si="87"/>
        <v>9970207</v>
      </c>
      <c r="T36" s="622">
        <f t="shared" si="87"/>
        <v>9997048</v>
      </c>
      <c r="U36" s="622">
        <f t="shared" si="87"/>
        <v>10022980</v>
      </c>
      <c r="V36" s="623">
        <f t="shared" si="87"/>
        <v>10049777</v>
      </c>
      <c r="W36" s="622"/>
      <c r="X36" s="622"/>
      <c r="Y36" s="622"/>
      <c r="Z36" s="622"/>
      <c r="AA36" s="622"/>
      <c r="AB36" s="681"/>
      <c r="AC36" s="683">
        <f>Q36</f>
        <v>26619059</v>
      </c>
      <c r="AD36" s="873">
        <f t="shared" ref="AD36:AI36" si="88">AC35</f>
        <v>0</v>
      </c>
      <c r="AE36" s="872">
        <f t="shared" si="88"/>
        <v>0</v>
      </c>
      <c r="AF36" s="872">
        <f t="shared" si="88"/>
        <v>0</v>
      </c>
      <c r="AG36" s="872">
        <f t="shared" si="88"/>
        <v>0</v>
      </c>
      <c r="AH36" s="872">
        <f t="shared" si="88"/>
        <v>0</v>
      </c>
      <c r="AI36" s="839">
        <f t="shared" si="88"/>
        <v>0</v>
      </c>
      <c r="AJ36" s="872"/>
      <c r="AK36" s="872"/>
      <c r="AL36" s="872"/>
      <c r="AM36" s="872"/>
      <c r="AN36" s="872"/>
      <c r="AO36" s="871"/>
      <c r="AP36" s="884">
        <f>AD36</f>
        <v>0</v>
      </c>
      <c r="AQ36" s="891">
        <f t="shared" ref="AQ36:AV36" si="89">AP35</f>
        <v>0</v>
      </c>
      <c r="AR36" s="892">
        <f t="shared" si="89"/>
        <v>0</v>
      </c>
      <c r="AS36" s="892">
        <f t="shared" si="89"/>
        <v>0</v>
      </c>
      <c r="AT36" s="892">
        <f t="shared" si="89"/>
        <v>0</v>
      </c>
      <c r="AU36" s="892">
        <f t="shared" si="89"/>
        <v>0</v>
      </c>
      <c r="AV36" s="899">
        <f t="shared" si="89"/>
        <v>0</v>
      </c>
      <c r="AW36" s="907"/>
      <c r="AX36" s="907"/>
      <c r="AY36" s="914"/>
      <c r="AZ36" s="1002"/>
      <c r="BA36" s="1002"/>
      <c r="BB36" s="1003"/>
      <c r="BC36" s="884">
        <f>AQ36</f>
        <v>0</v>
      </c>
      <c r="BD36" s="1015">
        <f>BC35</f>
        <v>0</v>
      </c>
      <c r="BE36" s="1002"/>
      <c r="BF36" s="1025"/>
      <c r="BG36" s="1039"/>
      <c r="BH36" s="1039"/>
      <c r="BI36" s="1043"/>
      <c r="BJ36" s="1163"/>
      <c r="BK36" s="1163"/>
      <c r="BL36" s="1163"/>
      <c r="BM36" s="1163"/>
      <c r="BN36" s="1163"/>
      <c r="BO36" s="1175"/>
      <c r="BP36" s="884">
        <f>BD36</f>
        <v>0</v>
      </c>
      <c r="BQ36" s="1224">
        <f>BP35</f>
        <v>0</v>
      </c>
      <c r="BR36" s="1225"/>
      <c r="BS36" s="1225"/>
      <c r="BT36" s="1225"/>
      <c r="BU36" s="1225"/>
      <c r="BV36" s="1231"/>
      <c r="BW36" s="1225"/>
      <c r="BX36" s="1225"/>
      <c r="BY36" s="1225"/>
      <c r="BZ36" s="1163"/>
      <c r="CA36" s="1163"/>
      <c r="CB36" s="1175"/>
      <c r="CC36" s="1195">
        <f>BQ36</f>
        <v>0</v>
      </c>
      <c r="CD36" s="1293">
        <f>CC35</f>
        <v>0</v>
      </c>
      <c r="CE36" s="1295"/>
      <c r="CF36" s="1295"/>
      <c r="CG36" s="1334"/>
      <c r="CH36" s="1334"/>
      <c r="CI36" s="1334"/>
      <c r="CJ36" s="1334"/>
      <c r="CK36" s="1334"/>
      <c r="CL36" s="1334"/>
      <c r="CM36" s="1369"/>
      <c r="CN36" s="1369"/>
      <c r="CO36" s="1370"/>
      <c r="CP36" s="1294">
        <f>CD36</f>
        <v>0</v>
      </c>
      <c r="CQ36" s="1392">
        <f>CP35</f>
        <v>0</v>
      </c>
      <c r="CR36" s="1394"/>
      <c r="CS36" s="1394"/>
      <c r="CT36" s="1394"/>
      <c r="CU36" s="1394"/>
      <c r="CV36" s="1394"/>
      <c r="CW36" s="1394"/>
      <c r="CX36" s="1394"/>
      <c r="CY36" s="1394"/>
      <c r="CZ36" s="1432"/>
      <c r="DA36" s="1432"/>
      <c r="DB36" s="1433"/>
      <c r="DC36" s="1393">
        <f>CQ36</f>
        <v>0</v>
      </c>
      <c r="DD36" s="1451">
        <f>DC35</f>
        <v>0</v>
      </c>
      <c r="DE36" s="1453"/>
      <c r="DF36" s="1453"/>
      <c r="DG36" s="1453"/>
      <c r="DH36" s="1453"/>
      <c r="DI36" s="1453"/>
      <c r="DJ36" s="1453"/>
      <c r="DK36" s="1453"/>
      <c r="DL36" s="1453"/>
      <c r="DM36" s="1453"/>
      <c r="DN36" s="1453"/>
      <c r="DO36" s="1454"/>
      <c r="DP36" s="1452">
        <f>DD36</f>
        <v>0</v>
      </c>
    </row>
    <row r="37" spans="1:120" ht="15" hidden="1" customHeight="1">
      <c r="A37" s="626"/>
      <c r="B37" s="678" t="s">
        <v>430</v>
      </c>
      <c r="C37" s="679">
        <v>25910121</v>
      </c>
      <c r="D37" s="680"/>
      <c r="E37" s="622"/>
      <c r="F37" s="622"/>
      <c r="G37" s="622"/>
      <c r="H37" s="622"/>
      <c r="I37" s="622"/>
      <c r="J37" s="622"/>
      <c r="K37" s="622"/>
      <c r="L37" s="622"/>
      <c r="M37" s="622"/>
      <c r="N37" s="622"/>
      <c r="O37" s="681"/>
      <c r="P37" s="682">
        <f>SUM(D37:O37)</f>
        <v>0</v>
      </c>
      <c r="Q37" s="680"/>
      <c r="R37" s="622"/>
      <c r="S37" s="622"/>
      <c r="T37" s="622"/>
      <c r="U37" s="622"/>
      <c r="V37" s="623"/>
      <c r="W37" s="622"/>
      <c r="X37" s="622"/>
      <c r="Y37" s="622"/>
      <c r="Z37" s="622"/>
      <c r="AA37" s="622"/>
      <c r="AB37" s="681"/>
      <c r="AC37" s="683">
        <f>SUM(Q37:AB37)</f>
        <v>0</v>
      </c>
      <c r="AD37" s="873"/>
      <c r="AE37" s="872"/>
      <c r="AF37" s="872"/>
      <c r="AG37" s="872"/>
      <c r="AH37" s="872"/>
      <c r="AI37" s="839"/>
      <c r="AJ37" s="872"/>
      <c r="AK37" s="872"/>
      <c r="AL37" s="872"/>
      <c r="AM37" s="872"/>
      <c r="AN37" s="872"/>
      <c r="AO37" s="871"/>
      <c r="AP37" s="884">
        <f>SUM(AD37:AO37)</f>
        <v>0</v>
      </c>
      <c r="AQ37" s="891"/>
      <c r="AR37" s="892"/>
      <c r="AS37" s="892"/>
      <c r="AT37" s="892"/>
      <c r="AU37" s="892"/>
      <c r="AV37" s="899"/>
      <c r="AW37" s="907"/>
      <c r="AX37" s="907"/>
      <c r="AY37" s="914"/>
      <c r="AZ37" s="1002"/>
      <c r="BA37" s="1002"/>
      <c r="BB37" s="1003"/>
      <c r="BC37" s="884">
        <f>SUM(AQ37:BB37)</f>
        <v>0</v>
      </c>
      <c r="BD37" s="1015"/>
      <c r="BE37" s="1002"/>
      <c r="BF37" s="1025"/>
      <c r="BG37" s="1039"/>
      <c r="BH37" s="1039"/>
      <c r="BI37" s="1043"/>
      <c r="BJ37" s="1163"/>
      <c r="BK37" s="1163"/>
      <c r="BL37" s="1163"/>
      <c r="BM37" s="1163"/>
      <c r="BN37" s="1163"/>
      <c r="BO37" s="1175"/>
      <c r="BP37" s="884">
        <f>SUM(BD37:BO37)</f>
        <v>0</v>
      </c>
      <c r="BQ37" s="1224"/>
      <c r="BR37" s="1225"/>
      <c r="BS37" s="1225"/>
      <c r="BT37" s="1225"/>
      <c r="BU37" s="1225"/>
      <c r="BV37" s="1231"/>
      <c r="BW37" s="1225"/>
      <c r="BX37" s="1225"/>
      <c r="BY37" s="1225"/>
      <c r="BZ37" s="1163"/>
      <c r="CA37" s="1163"/>
      <c r="CB37" s="1175"/>
      <c r="CC37" s="1195">
        <f>SUM(BQ37:CB37)</f>
        <v>0</v>
      </c>
      <c r="CD37" s="1293"/>
      <c r="CE37" s="1295"/>
      <c r="CF37" s="1295"/>
      <c r="CG37" s="1334"/>
      <c r="CH37" s="1334"/>
      <c r="CI37" s="1334"/>
      <c r="CJ37" s="1334"/>
      <c r="CK37" s="1334"/>
      <c r="CL37" s="1334"/>
      <c r="CM37" s="1369"/>
      <c r="CN37" s="1369"/>
      <c r="CO37" s="1370"/>
      <c r="CP37" s="1294">
        <f>SUM(CD37:CO37)</f>
        <v>0</v>
      </c>
      <c r="CQ37" s="1392"/>
      <c r="CR37" s="1394"/>
      <c r="CS37" s="1394"/>
      <c r="CT37" s="1394"/>
      <c r="CU37" s="1394"/>
      <c r="CV37" s="1394"/>
      <c r="CW37" s="1394"/>
      <c r="CX37" s="1394"/>
      <c r="CY37" s="1394"/>
      <c r="CZ37" s="1432"/>
      <c r="DA37" s="1432"/>
      <c r="DB37" s="1433"/>
      <c r="DC37" s="1393">
        <f>SUM(CQ37:DB37)</f>
        <v>0</v>
      </c>
      <c r="DD37" s="1451"/>
      <c r="DE37" s="1453"/>
      <c r="DF37" s="1453"/>
      <c r="DG37" s="1453"/>
      <c r="DH37" s="1453"/>
      <c r="DI37" s="1453"/>
      <c r="DJ37" s="1453"/>
      <c r="DK37" s="1453"/>
      <c r="DL37" s="1453"/>
      <c r="DM37" s="1453"/>
      <c r="DN37" s="1453"/>
      <c r="DO37" s="1454"/>
      <c r="DP37" s="1452">
        <f>SUM(DD37:DO37)</f>
        <v>0</v>
      </c>
    </row>
    <row r="38" spans="1:120" ht="15" hidden="1" customHeight="1">
      <c r="A38" s="626"/>
      <c r="B38" s="678" t="s">
        <v>431</v>
      </c>
      <c r="C38" s="679"/>
      <c r="D38" s="680"/>
      <c r="E38" s="622"/>
      <c r="F38" s="622"/>
      <c r="G38" s="622"/>
      <c r="H38" s="622"/>
      <c r="I38" s="622"/>
      <c r="J38" s="622"/>
      <c r="K38" s="622"/>
      <c r="L38" s="622"/>
      <c r="M38" s="622"/>
      <c r="N38" s="622"/>
      <c r="O38" s="681"/>
      <c r="P38" s="682">
        <f>SUM(D38:O38)</f>
        <v>0</v>
      </c>
      <c r="Q38" s="680">
        <v>16695153</v>
      </c>
      <c r="R38" s="622"/>
      <c r="S38" s="622"/>
      <c r="T38" s="622"/>
      <c r="U38" s="622"/>
      <c r="V38" s="623">
        <v>9768827</v>
      </c>
      <c r="W38" s="622"/>
      <c r="X38" s="622"/>
      <c r="Y38" s="622"/>
      <c r="Z38" s="622"/>
      <c r="AA38" s="622"/>
      <c r="AB38" s="681"/>
      <c r="AC38" s="683">
        <f>SUM(Q38:AB38)</f>
        <v>26463980</v>
      </c>
      <c r="AD38" s="873"/>
      <c r="AE38" s="872"/>
      <c r="AF38" s="872"/>
      <c r="AG38" s="872"/>
      <c r="AH38" s="872"/>
      <c r="AI38" s="839"/>
      <c r="AJ38" s="872"/>
      <c r="AK38" s="872"/>
      <c r="AL38" s="872"/>
      <c r="AM38" s="872"/>
      <c r="AN38" s="872"/>
      <c r="AO38" s="871"/>
      <c r="AP38" s="884">
        <f>SUM(AD38:AO38)</f>
        <v>0</v>
      </c>
      <c r="AQ38" s="891"/>
      <c r="AR38" s="892"/>
      <c r="AS38" s="892"/>
      <c r="AT38" s="892"/>
      <c r="AU38" s="892"/>
      <c r="AV38" s="899"/>
      <c r="AW38" s="907"/>
      <c r="AX38" s="907"/>
      <c r="AY38" s="914"/>
      <c r="AZ38" s="1002"/>
      <c r="BA38" s="1002"/>
      <c r="BB38" s="1003"/>
      <c r="BC38" s="884">
        <f>SUM(AQ38:BB38)</f>
        <v>0</v>
      </c>
      <c r="BD38" s="1015"/>
      <c r="BE38" s="1002"/>
      <c r="BF38" s="1025"/>
      <c r="BG38" s="1039"/>
      <c r="BH38" s="1039"/>
      <c r="BI38" s="1043"/>
      <c r="BJ38" s="1163"/>
      <c r="BK38" s="1163"/>
      <c r="BL38" s="1163"/>
      <c r="BM38" s="1163"/>
      <c r="BN38" s="1163"/>
      <c r="BO38" s="1175"/>
      <c r="BP38" s="884">
        <f>SUM(BD38:BO38)</f>
        <v>0</v>
      </c>
      <c r="BQ38" s="1224"/>
      <c r="BR38" s="1225"/>
      <c r="BS38" s="1225"/>
      <c r="BT38" s="1225"/>
      <c r="BU38" s="1225"/>
      <c r="BV38" s="1231"/>
      <c r="BW38" s="1225"/>
      <c r="BX38" s="1225"/>
      <c r="BY38" s="1225"/>
      <c r="BZ38" s="1163"/>
      <c r="CA38" s="1163"/>
      <c r="CB38" s="1175"/>
      <c r="CC38" s="1195">
        <f>SUM(BQ38:CB38)</f>
        <v>0</v>
      </c>
      <c r="CD38" s="1293"/>
      <c r="CE38" s="1295"/>
      <c r="CF38" s="1295"/>
      <c r="CG38" s="1334"/>
      <c r="CH38" s="1334"/>
      <c r="CI38" s="1334"/>
      <c r="CJ38" s="1334"/>
      <c r="CK38" s="1334"/>
      <c r="CL38" s="1334"/>
      <c r="CM38" s="1369"/>
      <c r="CN38" s="1369"/>
      <c r="CO38" s="1370"/>
      <c r="CP38" s="1294">
        <f>SUM(CD38:CO38)</f>
        <v>0</v>
      </c>
      <c r="CQ38" s="1392"/>
      <c r="CR38" s="1394"/>
      <c r="CS38" s="1394"/>
      <c r="CT38" s="1394"/>
      <c r="CU38" s="1394"/>
      <c r="CV38" s="1394"/>
      <c r="CW38" s="1394"/>
      <c r="CX38" s="1394"/>
      <c r="CY38" s="1394"/>
      <c r="CZ38" s="1432"/>
      <c r="DA38" s="1432"/>
      <c r="DB38" s="1433"/>
      <c r="DC38" s="1393">
        <f>SUM(CQ38:DB38)</f>
        <v>0</v>
      </c>
      <c r="DD38" s="1451"/>
      <c r="DE38" s="1453"/>
      <c r="DF38" s="1453"/>
      <c r="DG38" s="1453"/>
      <c r="DH38" s="1453"/>
      <c r="DI38" s="1453"/>
      <c r="DJ38" s="1453"/>
      <c r="DK38" s="1453"/>
      <c r="DL38" s="1453"/>
      <c r="DM38" s="1453"/>
      <c r="DN38" s="1453"/>
      <c r="DO38" s="1454"/>
      <c r="DP38" s="1452">
        <f>SUM(DD38:DO38)</f>
        <v>0</v>
      </c>
    </row>
    <row r="39" spans="1:120" ht="15" hidden="1" customHeight="1">
      <c r="A39" s="626"/>
      <c r="B39" s="678" t="s">
        <v>428</v>
      </c>
      <c r="C39" s="679">
        <v>14459</v>
      </c>
      <c r="D39" s="680">
        <v>74004</v>
      </c>
      <c r="E39" s="622">
        <v>66774</v>
      </c>
      <c r="F39" s="622">
        <v>77635</v>
      </c>
      <c r="G39" s="622">
        <v>71593</v>
      </c>
      <c r="H39" s="622">
        <v>75214</v>
      </c>
      <c r="I39" s="622">
        <v>71594</v>
      </c>
      <c r="J39" s="622">
        <v>75214</v>
      </c>
      <c r="K39" s="622">
        <v>74004</v>
      </c>
      <c r="L39" s="622">
        <v>71594</v>
      </c>
      <c r="M39" s="622">
        <v>75214</v>
      </c>
      <c r="N39" s="622">
        <v>71594</v>
      </c>
      <c r="O39" s="681">
        <v>74504</v>
      </c>
      <c r="P39" s="682">
        <f>SUM(D39:O39)</f>
        <v>878938</v>
      </c>
      <c r="Q39" s="680">
        <v>21990</v>
      </c>
      <c r="R39" s="622">
        <v>24311</v>
      </c>
      <c r="S39" s="622">
        <v>26841</v>
      </c>
      <c r="T39" s="622">
        <v>25932</v>
      </c>
      <c r="U39" s="622">
        <v>26797</v>
      </c>
      <c r="V39" s="623">
        <v>-240203</v>
      </c>
      <c r="W39" s="622"/>
      <c r="X39" s="622"/>
      <c r="Y39" s="622"/>
      <c r="Z39" s="622"/>
      <c r="AA39" s="622"/>
      <c r="AB39" s="681"/>
      <c r="AC39" s="683">
        <f>SUM(Q39:AB39)</f>
        <v>-114332</v>
      </c>
      <c r="AD39" s="873"/>
      <c r="AE39" s="872"/>
      <c r="AF39" s="872"/>
      <c r="AG39" s="872"/>
      <c r="AH39" s="872"/>
      <c r="AI39" s="839"/>
      <c r="AJ39" s="872"/>
      <c r="AK39" s="872"/>
      <c r="AL39" s="872"/>
      <c r="AM39" s="872"/>
      <c r="AN39" s="872"/>
      <c r="AO39" s="871"/>
      <c r="AP39" s="884">
        <f>SUM(AD39:AO39)</f>
        <v>0</v>
      </c>
      <c r="AQ39" s="891"/>
      <c r="AR39" s="892"/>
      <c r="AS39" s="892"/>
      <c r="AT39" s="892"/>
      <c r="AU39" s="892"/>
      <c r="AV39" s="899"/>
      <c r="AW39" s="907"/>
      <c r="AX39" s="907"/>
      <c r="AY39" s="914"/>
      <c r="AZ39" s="1002"/>
      <c r="BA39" s="1002"/>
      <c r="BB39" s="1003"/>
      <c r="BC39" s="884">
        <f>SUM(AQ39:BB39)</f>
        <v>0</v>
      </c>
      <c r="BD39" s="1015"/>
      <c r="BE39" s="1002"/>
      <c r="BF39" s="1025"/>
      <c r="BG39" s="1039"/>
      <c r="BH39" s="1039"/>
      <c r="BI39" s="1043"/>
      <c r="BJ39" s="1163"/>
      <c r="BK39" s="1163"/>
      <c r="BL39" s="1163"/>
      <c r="BM39" s="1163"/>
      <c r="BN39" s="1163"/>
      <c r="BO39" s="1175"/>
      <c r="BP39" s="884">
        <f>SUM(BD39:BO39)</f>
        <v>0</v>
      </c>
      <c r="BQ39" s="1224"/>
      <c r="BR39" s="1225"/>
      <c r="BS39" s="1225"/>
      <c r="BT39" s="1225"/>
      <c r="BU39" s="1225"/>
      <c r="BV39" s="1231"/>
      <c r="BW39" s="1225"/>
      <c r="BX39" s="1225"/>
      <c r="BY39" s="1225"/>
      <c r="BZ39" s="1163"/>
      <c r="CA39" s="1163"/>
      <c r="CB39" s="1175"/>
      <c r="CC39" s="1195">
        <f>SUM(BQ39:CB39)</f>
        <v>0</v>
      </c>
      <c r="CD39" s="1293"/>
      <c r="CE39" s="1295"/>
      <c r="CF39" s="1295"/>
      <c r="CG39" s="1334"/>
      <c r="CH39" s="1334"/>
      <c r="CI39" s="1334"/>
      <c r="CJ39" s="1334"/>
      <c r="CK39" s="1334"/>
      <c r="CL39" s="1334"/>
      <c r="CM39" s="1369"/>
      <c r="CN39" s="1369"/>
      <c r="CO39" s="1370"/>
      <c r="CP39" s="1294">
        <f>SUM(CD39:CO39)</f>
        <v>0</v>
      </c>
      <c r="CQ39" s="1392"/>
      <c r="CR39" s="1394"/>
      <c r="CS39" s="1394"/>
      <c r="CT39" s="1394"/>
      <c r="CU39" s="1394"/>
      <c r="CV39" s="1394"/>
      <c r="CW39" s="1394"/>
      <c r="CX39" s="1394"/>
      <c r="CY39" s="1394"/>
      <c r="CZ39" s="1432"/>
      <c r="DA39" s="1432"/>
      <c r="DB39" s="1433"/>
      <c r="DC39" s="1393">
        <f>SUM(CQ39:DB39)</f>
        <v>0</v>
      </c>
      <c r="DD39" s="1451"/>
      <c r="DE39" s="1453"/>
      <c r="DF39" s="1453"/>
      <c r="DG39" s="1453"/>
      <c r="DH39" s="1453"/>
      <c r="DI39" s="1453"/>
      <c r="DJ39" s="1453"/>
      <c r="DK39" s="1453"/>
      <c r="DL39" s="1453"/>
      <c r="DM39" s="1453"/>
      <c r="DN39" s="1453"/>
      <c r="DO39" s="1454"/>
      <c r="DP39" s="1452">
        <f>SUM(DD39:DO39)</f>
        <v>0</v>
      </c>
    </row>
    <row r="40" spans="1:120" ht="15" hidden="1" customHeight="1">
      <c r="A40" s="458"/>
      <c r="B40" s="698" t="s">
        <v>432</v>
      </c>
      <c r="C40" s="699"/>
      <c r="D40" s="700"/>
      <c r="E40" s="701"/>
      <c r="F40" s="701"/>
      <c r="G40" s="701"/>
      <c r="H40" s="701"/>
      <c r="I40" s="701"/>
      <c r="J40" s="701"/>
      <c r="K40" s="701"/>
      <c r="L40" s="701"/>
      <c r="M40" s="701"/>
      <c r="N40" s="701"/>
      <c r="O40" s="702">
        <v>184459</v>
      </c>
      <c r="P40" s="703">
        <f>SUM(D40:O40)</f>
        <v>184459</v>
      </c>
      <c r="Q40" s="700"/>
      <c r="R40" s="701"/>
      <c r="S40" s="701"/>
      <c r="T40" s="701"/>
      <c r="U40" s="701"/>
      <c r="V40" s="706">
        <v>40747</v>
      </c>
      <c r="W40" s="701"/>
      <c r="X40" s="701"/>
      <c r="Y40" s="701"/>
      <c r="Z40" s="701"/>
      <c r="AA40" s="701"/>
      <c r="AB40" s="702"/>
      <c r="AC40" s="704">
        <f>SUM(Q40:AB40)</f>
        <v>40747</v>
      </c>
      <c r="AD40" s="835"/>
      <c r="AE40" s="836"/>
      <c r="AF40" s="836"/>
      <c r="AG40" s="836"/>
      <c r="AH40" s="836"/>
      <c r="AI40" s="840"/>
      <c r="AJ40" s="836"/>
      <c r="AK40" s="836"/>
      <c r="AL40" s="836"/>
      <c r="AM40" s="836"/>
      <c r="AN40" s="836"/>
      <c r="AO40" s="837"/>
      <c r="AP40" s="704">
        <f>SUM(AD40:AO40)</f>
        <v>0</v>
      </c>
      <c r="AQ40" s="897"/>
      <c r="AR40" s="898"/>
      <c r="AS40" s="898"/>
      <c r="AT40" s="898"/>
      <c r="AU40" s="898"/>
      <c r="AV40" s="902"/>
      <c r="AW40" s="898"/>
      <c r="AX40" s="898"/>
      <c r="AY40" s="916"/>
      <c r="AZ40" s="1007"/>
      <c r="BA40" s="1007"/>
      <c r="BB40" s="1008"/>
      <c r="BC40" s="704">
        <f>SUM(AQ40:BB40)</f>
        <v>0</v>
      </c>
      <c r="BD40" s="1019"/>
      <c r="BE40" s="1007"/>
      <c r="BF40" s="1027"/>
      <c r="BG40" s="1042"/>
      <c r="BH40" s="1042"/>
      <c r="BI40" s="1045"/>
      <c r="BJ40" s="1166"/>
      <c r="BK40" s="1166"/>
      <c r="BL40" s="1166"/>
      <c r="BM40" s="1166"/>
      <c r="BN40" s="1166"/>
      <c r="BO40" s="1178"/>
      <c r="BP40" s="704">
        <f>SUM(BD40:BO40)</f>
        <v>0</v>
      </c>
      <c r="BQ40" s="1228"/>
      <c r="BR40" s="1229"/>
      <c r="BS40" s="1229"/>
      <c r="BT40" s="1229"/>
      <c r="BU40" s="1229"/>
      <c r="BV40" s="1234"/>
      <c r="BW40" s="1229"/>
      <c r="BX40" s="1229"/>
      <c r="BY40" s="1229"/>
      <c r="BZ40" s="1198"/>
      <c r="CA40" s="1198"/>
      <c r="CB40" s="1199"/>
      <c r="CC40" s="1200">
        <f>SUM(BQ40:CB40)</f>
        <v>0</v>
      </c>
      <c r="CD40" s="1299"/>
      <c r="CE40" s="1300"/>
      <c r="CF40" s="1300"/>
      <c r="CG40" s="1337"/>
      <c r="CH40" s="1337"/>
      <c r="CI40" s="1337"/>
      <c r="CJ40" s="1337"/>
      <c r="CK40" s="1337"/>
      <c r="CL40" s="1337"/>
      <c r="CM40" s="1373"/>
      <c r="CN40" s="1373"/>
      <c r="CO40" s="1374"/>
      <c r="CP40" s="1301">
        <f>SUM(CD40:CO40)</f>
        <v>0</v>
      </c>
      <c r="CQ40" s="1398"/>
      <c r="CR40" s="1399"/>
      <c r="CS40" s="1399"/>
      <c r="CT40" s="1399"/>
      <c r="CU40" s="1399"/>
      <c r="CV40" s="1399"/>
      <c r="CW40" s="1399"/>
      <c r="CX40" s="1399"/>
      <c r="CY40" s="1399"/>
      <c r="CZ40" s="1436"/>
      <c r="DA40" s="1436"/>
      <c r="DB40" s="1437"/>
      <c r="DC40" s="1400">
        <f>SUM(CQ40:DB40)</f>
        <v>0</v>
      </c>
      <c r="DD40" s="1458"/>
      <c r="DE40" s="1459"/>
      <c r="DF40" s="1459"/>
      <c r="DG40" s="1459"/>
      <c r="DH40" s="1459"/>
      <c r="DI40" s="1459"/>
      <c r="DJ40" s="1459"/>
      <c r="DK40" s="1459"/>
      <c r="DL40" s="1459"/>
      <c r="DM40" s="1459"/>
      <c r="DN40" s="1459"/>
      <c r="DO40" s="1460"/>
      <c r="DP40" s="1461">
        <f>SUM(DD40:DO40)</f>
        <v>0</v>
      </c>
    </row>
    <row r="41" spans="1:120" s="30" customFormat="1" ht="15" hidden="1" customHeight="1">
      <c r="A41" s="452" t="s">
        <v>110</v>
      </c>
      <c r="B41" s="453"/>
      <c r="C41" s="454">
        <f>SUM(C42:C46)</f>
        <v>33993549</v>
      </c>
      <c r="D41" s="621">
        <f>D42+D43-D44+D45-D46</f>
        <v>34080408</v>
      </c>
      <c r="E41" s="459">
        <f t="shared" ref="E41:O41" si="90">E42+E43-E44+E45-E46</f>
        <v>34158862</v>
      </c>
      <c r="F41" s="459">
        <f t="shared" si="90"/>
        <v>34245722</v>
      </c>
      <c r="G41" s="459">
        <f t="shared" si="90"/>
        <v>34329779</v>
      </c>
      <c r="H41" s="459">
        <f t="shared" si="90"/>
        <v>34416639</v>
      </c>
      <c r="I41" s="459">
        <f t="shared" si="90"/>
        <v>34500696</v>
      </c>
      <c r="J41" s="459">
        <f t="shared" si="90"/>
        <v>34587555</v>
      </c>
      <c r="K41" s="459">
        <f t="shared" si="90"/>
        <v>34674415</v>
      </c>
      <c r="L41" s="459">
        <f t="shared" si="90"/>
        <v>34758472</v>
      </c>
      <c r="M41" s="459">
        <f t="shared" si="90"/>
        <v>34845332</v>
      </c>
      <c r="N41" s="459">
        <f t="shared" si="90"/>
        <v>34929389</v>
      </c>
      <c r="O41" s="460">
        <f t="shared" si="90"/>
        <v>-192081</v>
      </c>
      <c r="P41" s="455">
        <f>P42+P43-P44+P45-P46</f>
        <v>34737308</v>
      </c>
      <c r="Q41" s="621">
        <f>Q42+Q43-Q44+Q45-Q46</f>
        <v>13000845</v>
      </c>
      <c r="R41" s="459">
        <f t="shared" ref="R41:AB41" si="91">R42+R43-R44+R45-R46</f>
        <v>13024703</v>
      </c>
      <c r="S41" s="459">
        <f t="shared" si="91"/>
        <v>13051117</v>
      </c>
      <c r="T41" s="459">
        <f t="shared" si="91"/>
        <v>13076678</v>
      </c>
      <c r="U41" s="459">
        <f t="shared" si="91"/>
        <v>13103092</v>
      </c>
      <c r="V41" s="461">
        <f t="shared" si="91"/>
        <v>0</v>
      </c>
      <c r="W41" s="459">
        <f t="shared" si="91"/>
        <v>0</v>
      </c>
      <c r="X41" s="459">
        <f t="shared" si="91"/>
        <v>0</v>
      </c>
      <c r="Y41" s="459">
        <f t="shared" si="91"/>
        <v>0</v>
      </c>
      <c r="Z41" s="459">
        <f t="shared" si="91"/>
        <v>0</v>
      </c>
      <c r="AA41" s="459">
        <f t="shared" si="91"/>
        <v>0</v>
      </c>
      <c r="AB41" s="460">
        <f t="shared" si="91"/>
        <v>0</v>
      </c>
      <c r="AC41" s="456">
        <f>AC42+AC43-AC44+AC45-AC46</f>
        <v>0</v>
      </c>
      <c r="AD41" s="876">
        <f>AD42+AD43-AD44+AD45-AD46</f>
        <v>0</v>
      </c>
      <c r="AE41" s="459">
        <f t="shared" ref="AE41:AO41" si="92">AE42+AE43-AE44+AE45-AE46</f>
        <v>0</v>
      </c>
      <c r="AF41" s="459">
        <f t="shared" si="92"/>
        <v>0</v>
      </c>
      <c r="AG41" s="459">
        <f t="shared" si="92"/>
        <v>0</v>
      </c>
      <c r="AH41" s="459">
        <f t="shared" si="92"/>
        <v>0</v>
      </c>
      <c r="AI41" s="461">
        <f t="shared" si="92"/>
        <v>0</v>
      </c>
      <c r="AJ41" s="459">
        <f t="shared" si="92"/>
        <v>0</v>
      </c>
      <c r="AK41" s="459">
        <f t="shared" si="92"/>
        <v>0</v>
      </c>
      <c r="AL41" s="459">
        <f t="shared" si="92"/>
        <v>0</v>
      </c>
      <c r="AM41" s="459">
        <f t="shared" si="92"/>
        <v>0</v>
      </c>
      <c r="AN41" s="459">
        <f t="shared" si="92"/>
        <v>0</v>
      </c>
      <c r="AO41" s="838">
        <f t="shared" si="92"/>
        <v>0</v>
      </c>
      <c r="AP41" s="456">
        <f t="shared" ref="AP41:AV41" si="93">AP42+AP43-AP44+AP45-AP46</f>
        <v>0</v>
      </c>
      <c r="AQ41" s="875">
        <f t="shared" si="93"/>
        <v>0</v>
      </c>
      <c r="AR41" s="868">
        <f t="shared" si="93"/>
        <v>0</v>
      </c>
      <c r="AS41" s="868">
        <f t="shared" si="93"/>
        <v>0</v>
      </c>
      <c r="AT41" s="868">
        <f t="shared" si="93"/>
        <v>0</v>
      </c>
      <c r="AU41" s="868">
        <f t="shared" si="93"/>
        <v>0</v>
      </c>
      <c r="AV41" s="870">
        <f t="shared" si="93"/>
        <v>0</v>
      </c>
      <c r="AW41" s="868">
        <v>0</v>
      </c>
      <c r="AX41" s="868">
        <f t="shared" ref="AX41:BD41" si="94">AX42+AX43-AX44+AX45-AX46</f>
        <v>0</v>
      </c>
      <c r="AY41" s="868">
        <f t="shared" si="94"/>
        <v>0</v>
      </c>
      <c r="AZ41" s="868">
        <f t="shared" si="94"/>
        <v>0</v>
      </c>
      <c r="BA41" s="868">
        <f t="shared" si="94"/>
        <v>0</v>
      </c>
      <c r="BB41" s="869">
        <f t="shared" si="94"/>
        <v>0</v>
      </c>
      <c r="BC41" s="456">
        <f t="shared" si="94"/>
        <v>0</v>
      </c>
      <c r="BD41" s="875">
        <f t="shared" si="94"/>
        <v>0</v>
      </c>
      <c r="BE41" s="868"/>
      <c r="BF41" s="868"/>
      <c r="BG41" s="868"/>
      <c r="BH41" s="868"/>
      <c r="BI41" s="870"/>
      <c r="BJ41" s="868"/>
      <c r="BK41" s="868"/>
      <c r="BL41" s="868"/>
      <c r="BM41" s="868"/>
      <c r="BN41" s="868"/>
      <c r="BO41" s="869"/>
      <c r="BP41" s="456">
        <f>BP42+BP43-BP44+BP45-BP46</f>
        <v>0</v>
      </c>
      <c r="BQ41" s="875">
        <f>BQ42+BQ43-BQ44+BQ45-BQ46</f>
        <v>0</v>
      </c>
      <c r="BR41" s="868"/>
      <c r="BS41" s="868"/>
      <c r="BT41" s="868"/>
      <c r="BU41" s="868"/>
      <c r="BV41" s="870"/>
      <c r="BW41" s="868"/>
      <c r="BX41" s="868"/>
      <c r="BY41" s="868"/>
      <c r="BZ41" s="868"/>
      <c r="CA41" s="868"/>
      <c r="CB41" s="869"/>
      <c r="CC41" s="1193">
        <f>CC42+CC43-CC44+CC45-CC46</f>
        <v>0</v>
      </c>
      <c r="CD41" s="1270">
        <f>CD42+CD43-CD44+CD45-CD46</f>
        <v>0</v>
      </c>
      <c r="CE41" s="868"/>
      <c r="CF41" s="868"/>
      <c r="CG41" s="868"/>
      <c r="CH41" s="868"/>
      <c r="CI41" s="868"/>
      <c r="CJ41" s="868"/>
      <c r="CK41" s="868"/>
      <c r="CL41" s="868"/>
      <c r="CM41" s="868"/>
      <c r="CN41" s="868"/>
      <c r="CO41" s="869"/>
      <c r="CP41" s="1193">
        <f>CP42+CP43-CP44+CP45-CP46</f>
        <v>0</v>
      </c>
      <c r="CQ41" s="1332">
        <f>CQ42+CQ43-CQ44+CQ45-CQ46</f>
        <v>0</v>
      </c>
      <c r="CR41" s="868"/>
      <c r="CS41" s="868"/>
      <c r="CT41" s="868"/>
      <c r="CU41" s="868"/>
      <c r="CV41" s="868"/>
      <c r="CW41" s="868"/>
      <c r="CX41" s="868"/>
      <c r="CY41" s="868"/>
      <c r="CZ41" s="868"/>
      <c r="DA41" s="868"/>
      <c r="DB41" s="869"/>
      <c r="DC41" s="1193">
        <f>DC42+DC43-DC44+DC45-DC46</f>
        <v>0</v>
      </c>
      <c r="DD41" s="1332">
        <f>DD42+DD43-DD44+DD45-DD46</f>
        <v>0</v>
      </c>
      <c r="DE41" s="868"/>
      <c r="DF41" s="868"/>
      <c r="DG41" s="868"/>
      <c r="DH41" s="868"/>
      <c r="DI41" s="868"/>
      <c r="DJ41" s="868"/>
      <c r="DK41" s="868"/>
      <c r="DL41" s="868"/>
      <c r="DM41" s="868"/>
      <c r="DN41" s="868"/>
      <c r="DO41" s="869"/>
      <c r="DP41" s="1193">
        <f>DP42+DP43-DP44+DP45-DP46</f>
        <v>0</v>
      </c>
    </row>
    <row r="42" spans="1:120" ht="15" hidden="1" customHeight="1">
      <c r="A42" s="626"/>
      <c r="B42" s="678" t="s">
        <v>433</v>
      </c>
      <c r="C42" s="679"/>
      <c r="D42" s="680">
        <f t="shared" ref="D42:I42" si="95">C41</f>
        <v>33993549</v>
      </c>
      <c r="E42" s="622">
        <f t="shared" si="95"/>
        <v>34080408</v>
      </c>
      <c r="F42" s="622">
        <f t="shared" si="95"/>
        <v>34158862</v>
      </c>
      <c r="G42" s="622">
        <f t="shared" si="95"/>
        <v>34245722</v>
      </c>
      <c r="H42" s="622">
        <f t="shared" si="95"/>
        <v>34329779</v>
      </c>
      <c r="I42" s="622">
        <f t="shared" si="95"/>
        <v>34416639</v>
      </c>
      <c r="J42" s="622">
        <f>I41</f>
        <v>34500696</v>
      </c>
      <c r="K42" s="622">
        <f>J41</f>
        <v>34587555</v>
      </c>
      <c r="L42" s="622">
        <f>K41</f>
        <v>34674415</v>
      </c>
      <c r="M42" s="622">
        <f>L41</f>
        <v>34758472</v>
      </c>
      <c r="N42" s="622">
        <f>M41</f>
        <v>34845332</v>
      </c>
      <c r="O42" s="681"/>
      <c r="P42" s="682">
        <f>D42</f>
        <v>33993549</v>
      </c>
      <c r="Q42" s="680">
        <f t="shared" ref="Q42:V42" si="96">P41</f>
        <v>34737308</v>
      </c>
      <c r="R42" s="622">
        <f t="shared" si="96"/>
        <v>13000845</v>
      </c>
      <c r="S42" s="622">
        <f t="shared" si="96"/>
        <v>13024703</v>
      </c>
      <c r="T42" s="622">
        <f t="shared" si="96"/>
        <v>13051117</v>
      </c>
      <c r="U42" s="622">
        <f t="shared" si="96"/>
        <v>13076678</v>
      </c>
      <c r="V42" s="623">
        <f t="shared" si="96"/>
        <v>13103092</v>
      </c>
      <c r="W42" s="622"/>
      <c r="X42" s="622"/>
      <c r="Y42" s="622"/>
      <c r="Z42" s="622"/>
      <c r="AA42" s="622"/>
      <c r="AB42" s="681"/>
      <c r="AC42" s="683">
        <f>Q42</f>
        <v>34737308</v>
      </c>
      <c r="AD42" s="873">
        <f t="shared" ref="AD42:AI42" si="97">AC41</f>
        <v>0</v>
      </c>
      <c r="AE42" s="872">
        <f t="shared" si="97"/>
        <v>0</v>
      </c>
      <c r="AF42" s="872">
        <f t="shared" si="97"/>
        <v>0</v>
      </c>
      <c r="AG42" s="872">
        <f t="shared" si="97"/>
        <v>0</v>
      </c>
      <c r="AH42" s="872">
        <f t="shared" si="97"/>
        <v>0</v>
      </c>
      <c r="AI42" s="839">
        <f t="shared" si="97"/>
        <v>0</v>
      </c>
      <c r="AJ42" s="872"/>
      <c r="AK42" s="872"/>
      <c r="AL42" s="872"/>
      <c r="AM42" s="872"/>
      <c r="AN42" s="872"/>
      <c r="AO42" s="871"/>
      <c r="AP42" s="884">
        <f>AD42</f>
        <v>0</v>
      </c>
      <c r="AQ42" s="891">
        <f t="shared" ref="AQ42:AV42" si="98">AP41</f>
        <v>0</v>
      </c>
      <c r="AR42" s="892">
        <f t="shared" si="98"/>
        <v>0</v>
      </c>
      <c r="AS42" s="892">
        <f t="shared" si="98"/>
        <v>0</v>
      </c>
      <c r="AT42" s="892">
        <f t="shared" si="98"/>
        <v>0</v>
      </c>
      <c r="AU42" s="892">
        <f t="shared" si="98"/>
        <v>0</v>
      </c>
      <c r="AV42" s="899">
        <f t="shared" si="98"/>
        <v>0</v>
      </c>
      <c r="AW42" s="907"/>
      <c r="AX42" s="907"/>
      <c r="AY42" s="914"/>
      <c r="AZ42" s="1002"/>
      <c r="BA42" s="1002"/>
      <c r="BB42" s="1003"/>
      <c r="BC42" s="884">
        <f>AQ42</f>
        <v>0</v>
      </c>
      <c r="BD42" s="1015">
        <f>BC41</f>
        <v>0</v>
      </c>
      <c r="BE42" s="1002"/>
      <c r="BF42" s="1025"/>
      <c r="BG42" s="1039"/>
      <c r="BH42" s="1039"/>
      <c r="BI42" s="1043"/>
      <c r="BJ42" s="1163"/>
      <c r="BK42" s="1163"/>
      <c r="BL42" s="1163"/>
      <c r="BM42" s="1163"/>
      <c r="BN42" s="1163"/>
      <c r="BO42" s="1175"/>
      <c r="BP42" s="884">
        <f>BD42</f>
        <v>0</v>
      </c>
      <c r="BQ42" s="1224">
        <f>BP41</f>
        <v>0</v>
      </c>
      <c r="BR42" s="1225"/>
      <c r="BS42" s="1225"/>
      <c r="BT42" s="1225"/>
      <c r="BU42" s="1225"/>
      <c r="BV42" s="1231"/>
      <c r="BW42" s="1225"/>
      <c r="BX42" s="1225"/>
      <c r="BY42" s="1225"/>
      <c r="BZ42" s="1163"/>
      <c r="CA42" s="1163"/>
      <c r="CB42" s="1175"/>
      <c r="CC42" s="1195">
        <f>BQ42</f>
        <v>0</v>
      </c>
      <c r="CD42" s="1293">
        <f>CC41</f>
        <v>0</v>
      </c>
      <c r="CE42" s="1295"/>
      <c r="CF42" s="1295"/>
      <c r="CG42" s="1334"/>
      <c r="CH42" s="1334"/>
      <c r="CI42" s="1334"/>
      <c r="CJ42" s="1334"/>
      <c r="CK42" s="1334"/>
      <c r="CL42" s="1334"/>
      <c r="CM42" s="1369"/>
      <c r="CN42" s="1369"/>
      <c r="CO42" s="1370"/>
      <c r="CP42" s="1294">
        <f>CD42</f>
        <v>0</v>
      </c>
      <c r="CQ42" s="1392">
        <f>CP41</f>
        <v>0</v>
      </c>
      <c r="CR42" s="1394"/>
      <c r="CS42" s="1394"/>
      <c r="CT42" s="1394"/>
      <c r="CU42" s="1394"/>
      <c r="CV42" s="1394"/>
      <c r="CW42" s="1394"/>
      <c r="CX42" s="1394"/>
      <c r="CY42" s="1394"/>
      <c r="CZ42" s="1432"/>
      <c r="DA42" s="1432"/>
      <c r="DB42" s="1433"/>
      <c r="DC42" s="1393">
        <f>CQ42</f>
        <v>0</v>
      </c>
      <c r="DD42" s="1451">
        <f>DC41</f>
        <v>0</v>
      </c>
      <c r="DE42" s="1453"/>
      <c r="DF42" s="1453"/>
      <c r="DG42" s="1453"/>
      <c r="DH42" s="1453"/>
      <c r="DI42" s="1453"/>
      <c r="DJ42" s="1453"/>
      <c r="DK42" s="1453"/>
      <c r="DL42" s="1453"/>
      <c r="DM42" s="1453"/>
      <c r="DN42" s="1453"/>
      <c r="DO42" s="1454"/>
      <c r="DP42" s="1452">
        <f>DD42</f>
        <v>0</v>
      </c>
    </row>
    <row r="43" spans="1:120" ht="15" hidden="1" customHeight="1">
      <c r="A43" s="626"/>
      <c r="B43" s="678" t="s">
        <v>430</v>
      </c>
      <c r="C43" s="679">
        <v>33976738</v>
      </c>
      <c r="D43" s="680"/>
      <c r="E43" s="622"/>
      <c r="F43" s="622"/>
      <c r="G43" s="622"/>
      <c r="H43" s="622"/>
      <c r="I43" s="622"/>
      <c r="J43" s="622"/>
      <c r="K43" s="622"/>
      <c r="L43" s="622"/>
      <c r="M43" s="622"/>
      <c r="N43" s="622"/>
      <c r="O43" s="681"/>
      <c r="P43" s="682">
        <f>SUM(D43:O43)</f>
        <v>0</v>
      </c>
      <c r="Q43" s="680"/>
      <c r="R43" s="622"/>
      <c r="S43" s="622"/>
      <c r="T43" s="622"/>
      <c r="U43" s="622"/>
      <c r="V43" s="623"/>
      <c r="W43" s="622"/>
      <c r="X43" s="622"/>
      <c r="Y43" s="622"/>
      <c r="Z43" s="622"/>
      <c r="AA43" s="622"/>
      <c r="AB43" s="681"/>
      <c r="AC43" s="683">
        <f>SUM(Q43:AB43)</f>
        <v>0</v>
      </c>
      <c r="AD43" s="873"/>
      <c r="AE43" s="872"/>
      <c r="AF43" s="872"/>
      <c r="AG43" s="872"/>
      <c r="AH43" s="872"/>
      <c r="AI43" s="839"/>
      <c r="AJ43" s="872"/>
      <c r="AK43" s="872"/>
      <c r="AL43" s="872"/>
      <c r="AM43" s="872"/>
      <c r="AN43" s="872"/>
      <c r="AO43" s="871"/>
      <c r="AP43" s="884">
        <f>SUM(AD43:AO43)</f>
        <v>0</v>
      </c>
      <c r="AQ43" s="891"/>
      <c r="AR43" s="892"/>
      <c r="AS43" s="892"/>
      <c r="AT43" s="892"/>
      <c r="AU43" s="892"/>
      <c r="AV43" s="899"/>
      <c r="AW43" s="907"/>
      <c r="AX43" s="907"/>
      <c r="AY43" s="914"/>
      <c r="AZ43" s="1002"/>
      <c r="BA43" s="1002"/>
      <c r="BB43" s="1003"/>
      <c r="BC43" s="884">
        <f>SUM(AQ43:BB43)</f>
        <v>0</v>
      </c>
      <c r="BD43" s="1015"/>
      <c r="BE43" s="1002"/>
      <c r="BF43" s="1025"/>
      <c r="BG43" s="1039"/>
      <c r="BH43" s="1039"/>
      <c r="BI43" s="1043"/>
      <c r="BJ43" s="1163"/>
      <c r="BK43" s="1163"/>
      <c r="BL43" s="1163"/>
      <c r="BM43" s="1163"/>
      <c r="BN43" s="1163"/>
      <c r="BO43" s="1175"/>
      <c r="BP43" s="884">
        <f>SUM(BD43:BO43)</f>
        <v>0</v>
      </c>
      <c r="BQ43" s="1224"/>
      <c r="BR43" s="1225"/>
      <c r="BS43" s="1225"/>
      <c r="BT43" s="1225"/>
      <c r="BU43" s="1225"/>
      <c r="BV43" s="1231"/>
      <c r="BW43" s="1225"/>
      <c r="BX43" s="1225"/>
      <c r="BY43" s="1225"/>
      <c r="BZ43" s="1163"/>
      <c r="CA43" s="1163"/>
      <c r="CB43" s="1175"/>
      <c r="CC43" s="1195">
        <f>SUM(BQ43:CB43)</f>
        <v>0</v>
      </c>
      <c r="CD43" s="1293"/>
      <c r="CE43" s="1295"/>
      <c r="CF43" s="1295"/>
      <c r="CG43" s="1334"/>
      <c r="CH43" s="1334"/>
      <c r="CI43" s="1334"/>
      <c r="CJ43" s="1334"/>
      <c r="CK43" s="1334"/>
      <c r="CL43" s="1334"/>
      <c r="CM43" s="1369"/>
      <c r="CN43" s="1369"/>
      <c r="CO43" s="1370"/>
      <c r="CP43" s="1294">
        <f>SUM(CD43:CO43)</f>
        <v>0</v>
      </c>
      <c r="CQ43" s="1392"/>
      <c r="CR43" s="1394"/>
      <c r="CS43" s="1394"/>
      <c r="CT43" s="1394"/>
      <c r="CU43" s="1394"/>
      <c r="CV43" s="1394"/>
      <c r="CW43" s="1394"/>
      <c r="CX43" s="1394"/>
      <c r="CY43" s="1394"/>
      <c r="CZ43" s="1432"/>
      <c r="DA43" s="1432"/>
      <c r="DB43" s="1433"/>
      <c r="DC43" s="1393">
        <f>SUM(CQ43:DB43)</f>
        <v>0</v>
      </c>
      <c r="DD43" s="1451"/>
      <c r="DE43" s="1453"/>
      <c r="DF43" s="1453"/>
      <c r="DG43" s="1453"/>
      <c r="DH43" s="1453"/>
      <c r="DI43" s="1453"/>
      <c r="DJ43" s="1453"/>
      <c r="DK43" s="1453"/>
      <c r="DL43" s="1453"/>
      <c r="DM43" s="1453"/>
      <c r="DN43" s="1453"/>
      <c r="DO43" s="1454"/>
      <c r="DP43" s="1452">
        <f>SUM(DD43:DO43)</f>
        <v>0</v>
      </c>
    </row>
    <row r="44" spans="1:120" ht="15" hidden="1" customHeight="1">
      <c r="A44" s="626"/>
      <c r="B44" s="678" t="s">
        <v>431</v>
      </c>
      <c r="C44" s="679"/>
      <c r="D44" s="680"/>
      <c r="E44" s="622"/>
      <c r="F44" s="622"/>
      <c r="G44" s="622"/>
      <c r="H44" s="622"/>
      <c r="I44" s="622"/>
      <c r="J44" s="622"/>
      <c r="K44" s="622"/>
      <c r="L44" s="622"/>
      <c r="M44" s="622"/>
      <c r="N44" s="622"/>
      <c r="O44" s="681"/>
      <c r="P44" s="682">
        <f>SUM(D44:O44)</f>
        <v>0</v>
      </c>
      <c r="Q44" s="680">
        <v>21765315</v>
      </c>
      <c r="R44" s="622"/>
      <c r="S44" s="622"/>
      <c r="T44" s="622"/>
      <c r="U44" s="622"/>
      <c r="V44" s="623">
        <v>12973057</v>
      </c>
      <c r="W44" s="622"/>
      <c r="X44" s="622"/>
      <c r="Y44" s="622"/>
      <c r="Z44" s="622"/>
      <c r="AA44" s="622"/>
      <c r="AB44" s="681"/>
      <c r="AC44" s="683">
        <f>SUM(Q44:AB44)</f>
        <v>34738372</v>
      </c>
      <c r="AD44" s="873"/>
      <c r="AE44" s="872"/>
      <c r="AF44" s="872"/>
      <c r="AG44" s="872"/>
      <c r="AH44" s="872"/>
      <c r="AI44" s="839"/>
      <c r="AJ44" s="872"/>
      <c r="AK44" s="872"/>
      <c r="AL44" s="872"/>
      <c r="AM44" s="872"/>
      <c r="AN44" s="872"/>
      <c r="AO44" s="871"/>
      <c r="AP44" s="884">
        <f>SUM(AD44:AO44)</f>
        <v>0</v>
      </c>
      <c r="AQ44" s="891"/>
      <c r="AR44" s="892"/>
      <c r="AS44" s="892"/>
      <c r="AT44" s="892"/>
      <c r="AU44" s="892"/>
      <c r="AV44" s="899"/>
      <c r="AW44" s="907"/>
      <c r="AX44" s="907"/>
      <c r="AY44" s="914"/>
      <c r="AZ44" s="1002"/>
      <c r="BA44" s="1002"/>
      <c r="BB44" s="1003"/>
      <c r="BC44" s="884">
        <f>SUM(AQ44:BB44)</f>
        <v>0</v>
      </c>
      <c r="BD44" s="1015"/>
      <c r="BE44" s="1002"/>
      <c r="BF44" s="1025"/>
      <c r="BG44" s="1039"/>
      <c r="BH44" s="1039"/>
      <c r="BI44" s="1043"/>
      <c r="BJ44" s="1163"/>
      <c r="BK44" s="1163"/>
      <c r="BL44" s="1163"/>
      <c r="BM44" s="1163"/>
      <c r="BN44" s="1163"/>
      <c r="BO44" s="1175"/>
      <c r="BP44" s="884">
        <f>SUM(BD44:BO44)</f>
        <v>0</v>
      </c>
      <c r="BQ44" s="1224"/>
      <c r="BR44" s="1225"/>
      <c r="BS44" s="1225"/>
      <c r="BT44" s="1225"/>
      <c r="BU44" s="1225"/>
      <c r="BV44" s="1231"/>
      <c r="BW44" s="1225"/>
      <c r="BX44" s="1225"/>
      <c r="BY44" s="1225"/>
      <c r="BZ44" s="1163"/>
      <c r="CA44" s="1163"/>
      <c r="CB44" s="1175"/>
      <c r="CC44" s="1195">
        <f>SUM(BQ44:CB44)</f>
        <v>0</v>
      </c>
      <c r="CD44" s="1293"/>
      <c r="CE44" s="1295"/>
      <c r="CF44" s="1295"/>
      <c r="CG44" s="1334"/>
      <c r="CH44" s="1334"/>
      <c r="CI44" s="1334"/>
      <c r="CJ44" s="1334"/>
      <c r="CK44" s="1334"/>
      <c r="CL44" s="1334"/>
      <c r="CM44" s="1369"/>
      <c r="CN44" s="1369"/>
      <c r="CO44" s="1370"/>
      <c r="CP44" s="1294">
        <f>SUM(CD44:CO44)</f>
        <v>0</v>
      </c>
      <c r="CQ44" s="1392"/>
      <c r="CR44" s="1394"/>
      <c r="CS44" s="1394"/>
      <c r="CT44" s="1394"/>
      <c r="CU44" s="1394"/>
      <c r="CV44" s="1394"/>
      <c r="CW44" s="1394"/>
      <c r="CX44" s="1394"/>
      <c r="CY44" s="1394"/>
      <c r="CZ44" s="1432"/>
      <c r="DA44" s="1432"/>
      <c r="DB44" s="1433"/>
      <c r="DC44" s="1393">
        <f>SUM(CQ44:DB44)</f>
        <v>0</v>
      </c>
      <c r="DD44" s="1451"/>
      <c r="DE44" s="1453"/>
      <c r="DF44" s="1453"/>
      <c r="DG44" s="1453"/>
      <c r="DH44" s="1453"/>
      <c r="DI44" s="1453"/>
      <c r="DJ44" s="1453"/>
      <c r="DK44" s="1453"/>
      <c r="DL44" s="1453"/>
      <c r="DM44" s="1453"/>
      <c r="DN44" s="1453"/>
      <c r="DO44" s="1454"/>
      <c r="DP44" s="1452">
        <f>SUM(DD44:DO44)</f>
        <v>0</v>
      </c>
    </row>
    <row r="45" spans="1:120" ht="15" hidden="1" customHeight="1">
      <c r="A45" s="626"/>
      <c r="B45" s="678" t="s">
        <v>434</v>
      </c>
      <c r="C45" s="679">
        <v>16811</v>
      </c>
      <c r="D45" s="680">
        <v>86859</v>
      </c>
      <c r="E45" s="622">
        <v>78454</v>
      </c>
      <c r="F45" s="622">
        <v>86860</v>
      </c>
      <c r="G45" s="622">
        <v>84057</v>
      </c>
      <c r="H45" s="622">
        <v>86860</v>
      </c>
      <c r="I45" s="622">
        <v>84057</v>
      </c>
      <c r="J45" s="622">
        <v>86859</v>
      </c>
      <c r="K45" s="622">
        <v>86860</v>
      </c>
      <c r="L45" s="622">
        <v>84057</v>
      </c>
      <c r="M45" s="622">
        <v>86860</v>
      </c>
      <c r="N45" s="622">
        <v>84057</v>
      </c>
      <c r="O45" s="681">
        <v>83834</v>
      </c>
      <c r="P45" s="682">
        <f>SUM(D45:O45)</f>
        <v>1019674</v>
      </c>
      <c r="Q45" s="680">
        <v>28852</v>
      </c>
      <c r="R45" s="622">
        <v>23858</v>
      </c>
      <c r="S45" s="622">
        <v>26414</v>
      </c>
      <c r="T45" s="622">
        <v>25561</v>
      </c>
      <c r="U45" s="622">
        <v>26414</v>
      </c>
      <c r="V45" s="623">
        <v>-130035</v>
      </c>
      <c r="W45" s="622"/>
      <c r="X45" s="622"/>
      <c r="Y45" s="622"/>
      <c r="Z45" s="622"/>
      <c r="AA45" s="622"/>
      <c r="AB45" s="681"/>
      <c r="AC45" s="683">
        <f>SUM(Q45:AB45)</f>
        <v>1064</v>
      </c>
      <c r="AD45" s="873"/>
      <c r="AE45" s="872"/>
      <c r="AF45" s="872"/>
      <c r="AG45" s="872"/>
      <c r="AH45" s="872"/>
      <c r="AI45" s="839"/>
      <c r="AJ45" s="872"/>
      <c r="AK45" s="872"/>
      <c r="AL45" s="872"/>
      <c r="AM45" s="872"/>
      <c r="AN45" s="872"/>
      <c r="AO45" s="871"/>
      <c r="AP45" s="884">
        <f>SUM(AD45:AO45)</f>
        <v>0</v>
      </c>
      <c r="AQ45" s="891"/>
      <c r="AR45" s="892"/>
      <c r="AS45" s="892"/>
      <c r="AT45" s="892"/>
      <c r="AU45" s="892"/>
      <c r="AV45" s="899"/>
      <c r="AW45" s="907"/>
      <c r="AX45" s="907"/>
      <c r="AY45" s="914"/>
      <c r="AZ45" s="1002"/>
      <c r="BA45" s="1002"/>
      <c r="BB45" s="1003"/>
      <c r="BC45" s="884">
        <f>SUM(AQ45:BB45)</f>
        <v>0</v>
      </c>
      <c r="BD45" s="1015"/>
      <c r="BE45" s="1002"/>
      <c r="BF45" s="1025"/>
      <c r="BG45" s="1039"/>
      <c r="BH45" s="1039"/>
      <c r="BI45" s="1043"/>
      <c r="BJ45" s="1163"/>
      <c r="BK45" s="1163"/>
      <c r="BL45" s="1163"/>
      <c r="BM45" s="1163"/>
      <c r="BN45" s="1163"/>
      <c r="BO45" s="1175"/>
      <c r="BP45" s="884">
        <f>SUM(BD45:BO45)</f>
        <v>0</v>
      </c>
      <c r="BQ45" s="1224"/>
      <c r="BR45" s="1225"/>
      <c r="BS45" s="1225"/>
      <c r="BT45" s="1225"/>
      <c r="BU45" s="1225"/>
      <c r="BV45" s="1231"/>
      <c r="BW45" s="1225"/>
      <c r="BX45" s="1225"/>
      <c r="BY45" s="1225"/>
      <c r="BZ45" s="1163"/>
      <c r="CA45" s="1163"/>
      <c r="CB45" s="1175"/>
      <c r="CC45" s="1195">
        <f>SUM(BQ45:CB45)</f>
        <v>0</v>
      </c>
      <c r="CD45" s="1293"/>
      <c r="CE45" s="1295"/>
      <c r="CF45" s="1295"/>
      <c r="CG45" s="1334"/>
      <c r="CH45" s="1334"/>
      <c r="CI45" s="1334"/>
      <c r="CJ45" s="1334"/>
      <c r="CK45" s="1334"/>
      <c r="CL45" s="1334"/>
      <c r="CM45" s="1369"/>
      <c r="CN45" s="1369"/>
      <c r="CO45" s="1370"/>
      <c r="CP45" s="1294">
        <f>SUM(CD45:CO45)</f>
        <v>0</v>
      </c>
      <c r="CQ45" s="1392"/>
      <c r="CR45" s="1394"/>
      <c r="CS45" s="1394"/>
      <c r="CT45" s="1394"/>
      <c r="CU45" s="1394"/>
      <c r="CV45" s="1394"/>
      <c r="CW45" s="1394"/>
      <c r="CX45" s="1394"/>
      <c r="CY45" s="1394"/>
      <c r="CZ45" s="1432"/>
      <c r="DA45" s="1432"/>
      <c r="DB45" s="1433"/>
      <c r="DC45" s="1393">
        <f>SUM(CQ45:DB45)</f>
        <v>0</v>
      </c>
      <c r="DD45" s="1451"/>
      <c r="DE45" s="1453"/>
      <c r="DF45" s="1453"/>
      <c r="DG45" s="1453"/>
      <c r="DH45" s="1453"/>
      <c r="DI45" s="1453"/>
      <c r="DJ45" s="1453"/>
      <c r="DK45" s="1453"/>
      <c r="DL45" s="1453"/>
      <c r="DM45" s="1453"/>
      <c r="DN45" s="1453"/>
      <c r="DO45" s="1454"/>
      <c r="DP45" s="1452">
        <f>SUM(DD45:DO45)</f>
        <v>0</v>
      </c>
    </row>
    <row r="46" spans="1:120" ht="15" hidden="1" customHeight="1">
      <c r="A46" s="626"/>
      <c r="B46" s="684" t="s">
        <v>429</v>
      </c>
      <c r="C46" s="685"/>
      <c r="D46" s="686"/>
      <c r="E46" s="687"/>
      <c r="F46" s="687"/>
      <c r="G46" s="687"/>
      <c r="H46" s="687"/>
      <c r="I46" s="687"/>
      <c r="J46" s="687"/>
      <c r="K46" s="687"/>
      <c r="L46" s="687"/>
      <c r="M46" s="687"/>
      <c r="N46" s="687"/>
      <c r="O46" s="688">
        <v>275915</v>
      </c>
      <c r="P46" s="689">
        <f>SUM(D46:O46)</f>
        <v>275915</v>
      </c>
      <c r="Q46" s="686"/>
      <c r="R46" s="687"/>
      <c r="S46" s="687"/>
      <c r="T46" s="687"/>
      <c r="U46" s="687"/>
      <c r="V46" s="705"/>
      <c r="W46" s="687"/>
      <c r="X46" s="687"/>
      <c r="Y46" s="687"/>
      <c r="Z46" s="687"/>
      <c r="AA46" s="687"/>
      <c r="AB46" s="688"/>
      <c r="AC46" s="690">
        <f>SUM(Q46:AB46)</f>
        <v>0</v>
      </c>
      <c r="AD46" s="830"/>
      <c r="AE46" s="831"/>
      <c r="AF46" s="831"/>
      <c r="AG46" s="831"/>
      <c r="AH46" s="831"/>
      <c r="AI46" s="862"/>
      <c r="AJ46" s="831"/>
      <c r="AK46" s="831"/>
      <c r="AL46" s="831"/>
      <c r="AM46" s="831"/>
      <c r="AN46" s="831"/>
      <c r="AO46" s="832"/>
      <c r="AP46" s="883">
        <f>SUM(AD46:AO46)</f>
        <v>0</v>
      </c>
      <c r="AQ46" s="893"/>
      <c r="AR46" s="894"/>
      <c r="AS46" s="894"/>
      <c r="AT46" s="894"/>
      <c r="AU46" s="894"/>
      <c r="AV46" s="900"/>
      <c r="AW46" s="908"/>
      <c r="AX46" s="908"/>
      <c r="AY46" s="915"/>
      <c r="AZ46" s="1004"/>
      <c r="BA46" s="1004"/>
      <c r="BB46" s="1005"/>
      <c r="BC46" s="883">
        <f>SUM(AQ46:BB46)</f>
        <v>0</v>
      </c>
      <c r="BD46" s="1016"/>
      <c r="BE46" s="1004"/>
      <c r="BF46" s="1026"/>
      <c r="BG46" s="1040"/>
      <c r="BH46" s="1040"/>
      <c r="BI46" s="1044"/>
      <c r="BJ46" s="1164"/>
      <c r="BK46" s="1164"/>
      <c r="BL46" s="1164"/>
      <c r="BM46" s="1176"/>
      <c r="BN46" s="1176"/>
      <c r="BO46" s="1177"/>
      <c r="BP46" s="883">
        <f>SUM(BD46:BO46)</f>
        <v>0</v>
      </c>
      <c r="BQ46" s="1232"/>
      <c r="BR46" s="1230"/>
      <c r="BS46" s="1230"/>
      <c r="BT46" s="1230"/>
      <c r="BU46" s="1230"/>
      <c r="BV46" s="1233"/>
      <c r="BW46" s="1230"/>
      <c r="BX46" s="1230"/>
      <c r="BY46" s="1230"/>
      <c r="BZ46" s="1176"/>
      <c r="CA46" s="1176"/>
      <c r="CB46" s="1177"/>
      <c r="CC46" s="1196">
        <f>SUM(BQ46:CB46)</f>
        <v>0</v>
      </c>
      <c r="CD46" s="1226"/>
      <c r="CE46" s="1296"/>
      <c r="CF46" s="1296"/>
      <c r="CG46" s="1335"/>
      <c r="CH46" s="1335"/>
      <c r="CI46" s="1335"/>
      <c r="CJ46" s="1335"/>
      <c r="CK46" s="1335"/>
      <c r="CL46" s="1335"/>
      <c r="CM46" s="1371"/>
      <c r="CN46" s="1371"/>
      <c r="CO46" s="1372"/>
      <c r="CP46" s="1297">
        <f>SUM(CD46:CO46)</f>
        <v>0</v>
      </c>
      <c r="CQ46" s="1395"/>
      <c r="CR46" s="1396"/>
      <c r="CS46" s="1396"/>
      <c r="CT46" s="1396"/>
      <c r="CU46" s="1396"/>
      <c r="CV46" s="1396"/>
      <c r="CW46" s="1396"/>
      <c r="CX46" s="1396"/>
      <c r="CY46" s="1396"/>
      <c r="CZ46" s="1434"/>
      <c r="DA46" s="1434"/>
      <c r="DB46" s="1435"/>
      <c r="DC46" s="1397">
        <f>SUM(CQ46:DB46)</f>
        <v>0</v>
      </c>
      <c r="DD46" s="1395"/>
      <c r="DE46" s="1455"/>
      <c r="DF46" s="1455"/>
      <c r="DG46" s="1455"/>
      <c r="DH46" s="1455"/>
      <c r="DI46" s="1455"/>
      <c r="DJ46" s="1455"/>
      <c r="DK46" s="1455"/>
      <c r="DL46" s="1455"/>
      <c r="DM46" s="1455"/>
      <c r="DN46" s="1455"/>
      <c r="DO46" s="1456"/>
      <c r="DP46" s="1457">
        <f>SUM(DD46:DO46)</f>
        <v>0</v>
      </c>
    </row>
    <row r="47" spans="1:120" s="30" customFormat="1" ht="15" customHeight="1">
      <c r="A47" s="691" t="s">
        <v>113</v>
      </c>
      <c r="B47" s="692"/>
      <c r="C47" s="693">
        <f>SUM(C48:C52)</f>
        <v>48422173</v>
      </c>
      <c r="D47" s="694">
        <f>D48+D49-D50+D51-D52</f>
        <v>48554539</v>
      </c>
      <c r="E47" s="457">
        <f t="shared" ref="E47:O47" si="99">E48+E49-E50+E51-E52</f>
        <v>48674096</v>
      </c>
      <c r="F47" s="457">
        <f t="shared" si="99"/>
        <v>48806462</v>
      </c>
      <c r="G47" s="457">
        <f t="shared" si="99"/>
        <v>48934559</v>
      </c>
      <c r="H47" s="457">
        <f t="shared" si="99"/>
        <v>49066925</v>
      </c>
      <c r="I47" s="457">
        <f t="shared" si="99"/>
        <v>49195021</v>
      </c>
      <c r="J47" s="457">
        <f t="shared" si="99"/>
        <v>49327388</v>
      </c>
      <c r="K47" s="457">
        <f t="shared" si="99"/>
        <v>49459754</v>
      </c>
      <c r="L47" s="457">
        <f t="shared" si="99"/>
        <v>49587850</v>
      </c>
      <c r="M47" s="457">
        <f t="shared" si="99"/>
        <v>49720217</v>
      </c>
      <c r="N47" s="457">
        <f t="shared" si="99"/>
        <v>49848313</v>
      </c>
      <c r="O47" s="695">
        <f t="shared" si="99"/>
        <v>-190523</v>
      </c>
      <c r="P47" s="696">
        <f>P48+P49-P50+P51-P52</f>
        <v>49657790</v>
      </c>
      <c r="Q47" s="694">
        <f>Q48+Q49-Q50+Q51-Q52</f>
        <v>18554338</v>
      </c>
      <c r="R47" s="457">
        <f t="shared" ref="R47:AB47" si="100">R48+R49-R50+R51-R52</f>
        <v>18591373</v>
      </c>
      <c r="S47" s="457">
        <f t="shared" si="100"/>
        <v>18632374</v>
      </c>
      <c r="T47" s="457">
        <f t="shared" si="100"/>
        <v>18672052</v>
      </c>
      <c r="U47" s="457">
        <f t="shared" si="100"/>
        <v>18713051</v>
      </c>
      <c r="V47" s="457">
        <f t="shared" si="100"/>
        <v>18752730</v>
      </c>
      <c r="W47" s="457">
        <f t="shared" si="100"/>
        <v>18793730</v>
      </c>
      <c r="X47" s="457">
        <f t="shared" si="100"/>
        <v>18834731</v>
      </c>
      <c r="Y47" s="457">
        <f t="shared" si="100"/>
        <v>18874408</v>
      </c>
      <c r="Z47" s="457">
        <f t="shared" si="100"/>
        <v>18915408</v>
      </c>
      <c r="AA47" s="457">
        <f t="shared" si="100"/>
        <v>18955086</v>
      </c>
      <c r="AB47" s="695">
        <f t="shared" si="100"/>
        <v>18868293</v>
      </c>
      <c r="AC47" s="697">
        <f>AC48+AC49-AC50+AC51-AC52</f>
        <v>18868293</v>
      </c>
      <c r="AD47" s="833">
        <f>AD48+AD49-AD50+AD51-AD52</f>
        <v>18905133</v>
      </c>
      <c r="AE47" s="457">
        <f t="shared" ref="AE47:AO47" si="101">AE48+AE49-AE50+AE51-AE52</f>
        <v>18939599</v>
      </c>
      <c r="AF47" s="457">
        <f t="shared" si="101"/>
        <v>18976440</v>
      </c>
      <c r="AG47" s="457">
        <f t="shared" si="101"/>
        <v>19012093</v>
      </c>
      <c r="AH47" s="457">
        <f t="shared" si="101"/>
        <v>19048935</v>
      </c>
      <c r="AI47" s="457">
        <f t="shared" si="101"/>
        <v>19084588</v>
      </c>
      <c r="AJ47" s="457">
        <f t="shared" si="101"/>
        <v>19121428</v>
      </c>
      <c r="AK47" s="457">
        <f t="shared" si="101"/>
        <v>19158271</v>
      </c>
      <c r="AL47" s="457">
        <f t="shared" si="101"/>
        <v>19193924</v>
      </c>
      <c r="AM47" s="457">
        <f t="shared" si="101"/>
        <v>19230765</v>
      </c>
      <c r="AN47" s="457">
        <f t="shared" si="101"/>
        <v>19266418</v>
      </c>
      <c r="AO47" s="834">
        <f t="shared" si="101"/>
        <v>19191543</v>
      </c>
      <c r="AP47" s="697">
        <f>AP48+AP49-AP50+AP51-AP52</f>
        <v>19191543</v>
      </c>
      <c r="AQ47" s="895">
        <f>AQ48+AQ49-AQ50+AQ51-AQ52</f>
        <v>19227059</v>
      </c>
      <c r="AR47" s="896">
        <f t="shared" ref="AR47:BB47" si="102">AR48+AR49-AR50+AR51-AR52</f>
        <v>19259138</v>
      </c>
      <c r="AS47" s="896">
        <f t="shared" si="102"/>
        <v>19294655</v>
      </c>
      <c r="AT47" s="896">
        <f t="shared" si="102"/>
        <v>19329024</v>
      </c>
      <c r="AU47" s="896">
        <f t="shared" si="102"/>
        <v>19364542</v>
      </c>
      <c r="AV47" s="896">
        <f t="shared" si="102"/>
        <v>19398912</v>
      </c>
      <c r="AW47" s="896">
        <f t="shared" si="102"/>
        <v>19434428</v>
      </c>
      <c r="AX47" s="896">
        <f t="shared" si="102"/>
        <v>19469945</v>
      </c>
      <c r="AY47" s="896">
        <f t="shared" si="102"/>
        <v>19504315</v>
      </c>
      <c r="AZ47" s="896">
        <f t="shared" si="102"/>
        <v>19539832</v>
      </c>
      <c r="BA47" s="896">
        <f t="shared" si="102"/>
        <v>19574202</v>
      </c>
      <c r="BB47" s="1006">
        <f t="shared" si="102"/>
        <v>19500157</v>
      </c>
      <c r="BC47" s="697">
        <f t="shared" ref="BC47:BI47" si="103">BC48+BC49-BC50+BC51-BC52</f>
        <v>19500157</v>
      </c>
      <c r="BD47" s="1017">
        <f t="shared" si="103"/>
        <v>19535912</v>
      </c>
      <c r="BE47" s="1017">
        <f t="shared" si="103"/>
        <v>19568206</v>
      </c>
      <c r="BF47" s="1017">
        <f t="shared" si="103"/>
        <v>19603960</v>
      </c>
      <c r="BG47" s="1041">
        <f t="shared" si="103"/>
        <v>19638562</v>
      </c>
      <c r="BH47" s="1041">
        <f t="shared" si="103"/>
        <v>19674316</v>
      </c>
      <c r="BI47" s="1041">
        <f t="shared" si="103"/>
        <v>19708917</v>
      </c>
      <c r="BJ47" s="1165">
        <f t="shared" ref="BJ47:BX47" si="104">BJ48+BJ49-BJ50+BJ51-BJ52</f>
        <v>19744671</v>
      </c>
      <c r="BK47" s="1165">
        <f t="shared" si="104"/>
        <v>19780426</v>
      </c>
      <c r="BL47" s="1165">
        <f t="shared" si="104"/>
        <v>19815026</v>
      </c>
      <c r="BM47" s="1165">
        <f t="shared" si="104"/>
        <v>19850781</v>
      </c>
      <c r="BN47" s="1165">
        <f t="shared" si="104"/>
        <v>19885382</v>
      </c>
      <c r="BO47" s="1165">
        <f t="shared" si="104"/>
        <v>49833399</v>
      </c>
      <c r="BP47" s="697">
        <f t="shared" si="104"/>
        <v>49833399</v>
      </c>
      <c r="BQ47" s="1165">
        <f t="shared" si="104"/>
        <v>49934965</v>
      </c>
      <c r="BR47" s="1165">
        <f t="shared" si="104"/>
        <v>50026670</v>
      </c>
      <c r="BS47" s="1165">
        <f t="shared" si="104"/>
        <v>50121662</v>
      </c>
      <c r="BT47" s="1165">
        <f t="shared" si="104"/>
        <v>50226467</v>
      </c>
      <c r="BU47" s="1165">
        <f t="shared" si="104"/>
        <v>50327984</v>
      </c>
      <c r="BV47" s="1165">
        <f t="shared" si="104"/>
        <v>50419688</v>
      </c>
      <c r="BW47" s="1165">
        <f t="shared" si="104"/>
        <v>50527781</v>
      </c>
      <c r="BX47" s="1165">
        <f t="shared" si="104"/>
        <v>5617297</v>
      </c>
      <c r="BY47" s="1165">
        <f t="shared" ref="BY47:CK47" si="105">BY48+BY49-BY50+BY51-BY52</f>
        <v>5628158</v>
      </c>
      <c r="BZ47" s="1272">
        <f t="shared" si="105"/>
        <v>5638979</v>
      </c>
      <c r="CA47" s="1272">
        <f t="shared" si="105"/>
        <v>5649053</v>
      </c>
      <c r="CB47" s="1272">
        <f t="shared" si="105"/>
        <v>5517800</v>
      </c>
      <c r="CC47" s="1197">
        <f t="shared" si="105"/>
        <v>5517800</v>
      </c>
      <c r="CD47" s="1165">
        <f t="shared" si="105"/>
        <v>5528798</v>
      </c>
      <c r="CE47" s="1165">
        <f t="shared" si="105"/>
        <v>5538733</v>
      </c>
      <c r="CF47" s="1165">
        <f t="shared" si="105"/>
        <v>5550083</v>
      </c>
      <c r="CG47" s="1336">
        <f t="shared" si="105"/>
        <v>5560371</v>
      </c>
      <c r="CH47" s="1336">
        <f t="shared" si="105"/>
        <v>5571016</v>
      </c>
      <c r="CI47" s="1336">
        <f t="shared" si="105"/>
        <v>5582366</v>
      </c>
      <c r="CJ47" s="1336">
        <f t="shared" si="105"/>
        <v>5593364</v>
      </c>
      <c r="CK47" s="1336">
        <f t="shared" si="105"/>
        <v>5604357</v>
      </c>
      <c r="CL47" s="1336">
        <f>CL48+CL49-CL50+CL51-CL52</f>
        <v>5614650</v>
      </c>
      <c r="CM47" s="1336">
        <f>CM48+CM49-CM50+CM51-CM52</f>
        <v>5625642</v>
      </c>
      <c r="CN47" s="1336">
        <f>CN48+CN49-CN50+CN51-CN52</f>
        <v>5636640</v>
      </c>
      <c r="CO47" s="1336">
        <f>CO48+CO49-CO50+CO51-CO52</f>
        <v>5647135</v>
      </c>
      <c r="CP47" s="1298">
        <f>CP48+CP49-CP50+CP51-CP52</f>
        <v>5647135</v>
      </c>
      <c r="CQ47" s="1336">
        <f t="shared" ref="CQ47:CX47" si="106">CQ48+CQ49-CQ50+CQ51-CQ52</f>
        <v>5636204</v>
      </c>
      <c r="CR47" s="1336">
        <f t="shared" si="106"/>
        <v>5644179</v>
      </c>
      <c r="CS47" s="1336">
        <f t="shared" si="106"/>
        <v>5653581</v>
      </c>
      <c r="CT47" s="1336">
        <f t="shared" si="106"/>
        <v>5662123</v>
      </c>
      <c r="CU47" s="1336">
        <f t="shared" si="106"/>
        <v>5670952</v>
      </c>
      <c r="CV47" s="1336">
        <f t="shared" si="106"/>
        <v>5679500</v>
      </c>
      <c r="CW47" s="1336">
        <f t="shared" si="106"/>
        <v>5688048</v>
      </c>
      <c r="CX47" s="1336">
        <f t="shared" si="106"/>
        <v>5697158</v>
      </c>
      <c r="CY47" s="1336">
        <f>CY48+CY49-CY50+CY51-CY52</f>
        <v>5705706</v>
      </c>
      <c r="CZ47" s="1336">
        <f>CZ48+CZ49-CZ50+CZ51-CZ52</f>
        <v>5713968</v>
      </c>
      <c r="DA47" s="1336">
        <f>DA48+DA49-DA50+DA51-DA52</f>
        <v>5723084</v>
      </c>
      <c r="DB47" s="1336">
        <f>DB48+DB49-DB50+DB51-DB52</f>
        <v>5731840</v>
      </c>
      <c r="DC47" s="1298">
        <f>DC48+DC49-DC50+DC51-DC52</f>
        <v>5731840</v>
      </c>
      <c r="DD47" s="1336">
        <f t="shared" ref="DD47:DK47" si="107">DD48+DD49-DD50+DD51-DD52</f>
        <v>5722627</v>
      </c>
      <c r="DE47" s="1336">
        <f t="shared" si="107"/>
        <v>5732016</v>
      </c>
      <c r="DF47" s="1336">
        <f t="shared" si="107"/>
        <v>5742429</v>
      </c>
      <c r="DG47" s="1336">
        <f t="shared" si="107"/>
        <v>5752524</v>
      </c>
      <c r="DH47" s="1336">
        <f t="shared" si="107"/>
        <v>5762974</v>
      </c>
      <c r="DI47" s="1336">
        <f t="shared" si="107"/>
        <v>5773106</v>
      </c>
      <c r="DJ47" s="1336">
        <f t="shared" si="107"/>
        <v>5773106</v>
      </c>
      <c r="DK47" s="1336">
        <f t="shared" si="107"/>
        <v>5773106</v>
      </c>
      <c r="DL47" s="1336">
        <f>DL48+DL49-DL50+DL51-DL52</f>
        <v>5773106</v>
      </c>
      <c r="DM47" s="1336">
        <f>DM48+DM49-DM50+DM51-DM52</f>
        <v>5773106</v>
      </c>
      <c r="DN47" s="1336">
        <f>DN48+DN49-DN50+DN51-DN52</f>
        <v>5773106</v>
      </c>
      <c r="DO47" s="1336">
        <f>DO48+DO49-DO50+DO51-DO52</f>
        <v>5773106</v>
      </c>
      <c r="DP47" s="1298">
        <f>DP48+DP49-DP50+DP51-DP52</f>
        <v>5773106</v>
      </c>
    </row>
    <row r="48" spans="1:120" ht="15" customHeight="1">
      <c r="A48" s="626"/>
      <c r="B48" s="678" t="s">
        <v>433</v>
      </c>
      <c r="C48" s="679"/>
      <c r="D48" s="680">
        <f t="shared" ref="D48:I48" si="108">C47</f>
        <v>48422173</v>
      </c>
      <c r="E48" s="622">
        <f t="shared" si="108"/>
        <v>48554539</v>
      </c>
      <c r="F48" s="622">
        <f t="shared" si="108"/>
        <v>48674096</v>
      </c>
      <c r="G48" s="622">
        <f t="shared" si="108"/>
        <v>48806462</v>
      </c>
      <c r="H48" s="622">
        <f t="shared" si="108"/>
        <v>48934559</v>
      </c>
      <c r="I48" s="622">
        <f t="shared" si="108"/>
        <v>49066925</v>
      </c>
      <c r="J48" s="622">
        <f>I47</f>
        <v>49195021</v>
      </c>
      <c r="K48" s="622">
        <f>J47</f>
        <v>49327388</v>
      </c>
      <c r="L48" s="622">
        <f>K47</f>
        <v>49459754</v>
      </c>
      <c r="M48" s="622">
        <f>L47</f>
        <v>49587850</v>
      </c>
      <c r="N48" s="622">
        <f>M47</f>
        <v>49720217</v>
      </c>
      <c r="O48" s="681"/>
      <c r="P48" s="682">
        <f>D48</f>
        <v>48422173</v>
      </c>
      <c r="Q48" s="680">
        <f t="shared" ref="Q48:AB48" si="109">P47</f>
        <v>49657790</v>
      </c>
      <c r="R48" s="622">
        <f t="shared" si="109"/>
        <v>18554338</v>
      </c>
      <c r="S48" s="622">
        <f t="shared" si="109"/>
        <v>18591373</v>
      </c>
      <c r="T48" s="622">
        <f t="shared" si="109"/>
        <v>18632374</v>
      </c>
      <c r="U48" s="622">
        <f t="shared" si="109"/>
        <v>18672052</v>
      </c>
      <c r="V48" s="622">
        <f t="shared" si="109"/>
        <v>18713051</v>
      </c>
      <c r="W48" s="622">
        <f t="shared" si="109"/>
        <v>18752730</v>
      </c>
      <c r="X48" s="622">
        <f t="shared" si="109"/>
        <v>18793730</v>
      </c>
      <c r="Y48" s="622">
        <f t="shared" si="109"/>
        <v>18834731</v>
      </c>
      <c r="Z48" s="622">
        <f t="shared" si="109"/>
        <v>18874408</v>
      </c>
      <c r="AA48" s="622">
        <f t="shared" si="109"/>
        <v>18915408</v>
      </c>
      <c r="AB48" s="681">
        <f t="shared" si="109"/>
        <v>18955086</v>
      </c>
      <c r="AC48" s="683">
        <f>Q48</f>
        <v>49657790</v>
      </c>
      <c r="AD48" s="873">
        <f t="shared" ref="AD48:AO48" si="110">AC47</f>
        <v>18868293</v>
      </c>
      <c r="AE48" s="872">
        <f t="shared" si="110"/>
        <v>18905133</v>
      </c>
      <c r="AF48" s="872">
        <f t="shared" si="110"/>
        <v>18939599</v>
      </c>
      <c r="AG48" s="872">
        <f t="shared" si="110"/>
        <v>18976440</v>
      </c>
      <c r="AH48" s="872">
        <f t="shared" si="110"/>
        <v>19012093</v>
      </c>
      <c r="AI48" s="872">
        <f t="shared" si="110"/>
        <v>19048935</v>
      </c>
      <c r="AJ48" s="872">
        <f t="shared" si="110"/>
        <v>19084588</v>
      </c>
      <c r="AK48" s="872">
        <f t="shared" si="110"/>
        <v>19121428</v>
      </c>
      <c r="AL48" s="872">
        <f t="shared" si="110"/>
        <v>19158271</v>
      </c>
      <c r="AM48" s="872">
        <f t="shared" si="110"/>
        <v>19193924</v>
      </c>
      <c r="AN48" s="872">
        <f t="shared" si="110"/>
        <v>19230765</v>
      </c>
      <c r="AO48" s="871">
        <f t="shared" si="110"/>
        <v>19266418</v>
      </c>
      <c r="AP48" s="884">
        <f>AD48</f>
        <v>18868293</v>
      </c>
      <c r="AQ48" s="891">
        <f t="shared" ref="AQ48:AX48" si="111">AP47</f>
        <v>19191543</v>
      </c>
      <c r="AR48" s="892">
        <f t="shared" si="111"/>
        <v>19227059</v>
      </c>
      <c r="AS48" s="892">
        <f t="shared" si="111"/>
        <v>19259138</v>
      </c>
      <c r="AT48" s="892">
        <f t="shared" si="111"/>
        <v>19294655</v>
      </c>
      <c r="AU48" s="892">
        <f t="shared" si="111"/>
        <v>19329024</v>
      </c>
      <c r="AV48" s="892">
        <f t="shared" si="111"/>
        <v>19364542</v>
      </c>
      <c r="AW48" s="907">
        <f t="shared" si="111"/>
        <v>19398912</v>
      </c>
      <c r="AX48" s="907">
        <f t="shared" si="111"/>
        <v>19434428</v>
      </c>
      <c r="AY48" s="914">
        <f>AX47</f>
        <v>19469945</v>
      </c>
      <c r="AZ48" s="1002">
        <f>AY47</f>
        <v>19504315</v>
      </c>
      <c r="BA48" s="1002">
        <f>AZ47</f>
        <v>19539832</v>
      </c>
      <c r="BB48" s="1003">
        <f>BA47</f>
        <v>19574202</v>
      </c>
      <c r="BC48" s="884">
        <f>AQ48</f>
        <v>19191543</v>
      </c>
      <c r="BD48" s="1015">
        <f t="shared" ref="BD48:BJ48" si="112">BC47</f>
        <v>19500157</v>
      </c>
      <c r="BE48" s="1015">
        <f t="shared" si="112"/>
        <v>19535912</v>
      </c>
      <c r="BF48" s="1024">
        <f t="shared" si="112"/>
        <v>19568206</v>
      </c>
      <c r="BG48" s="1038">
        <f t="shared" si="112"/>
        <v>19603960</v>
      </c>
      <c r="BH48" s="1038">
        <f t="shared" si="112"/>
        <v>19638562</v>
      </c>
      <c r="BI48" s="1038">
        <f t="shared" si="112"/>
        <v>19674316</v>
      </c>
      <c r="BJ48" s="1162">
        <f t="shared" si="112"/>
        <v>19708917</v>
      </c>
      <c r="BK48" s="1162">
        <f>BJ47</f>
        <v>19744671</v>
      </c>
      <c r="BL48" s="1162">
        <f>BK47</f>
        <v>19780426</v>
      </c>
      <c r="BM48" s="1162">
        <f>BL47</f>
        <v>19815026</v>
      </c>
      <c r="BN48" s="1162">
        <f>BM47</f>
        <v>19850781</v>
      </c>
      <c r="BO48" s="1162">
        <f>BN47</f>
        <v>19885382</v>
      </c>
      <c r="BP48" s="884">
        <f>BD48</f>
        <v>19500157</v>
      </c>
      <c r="BQ48" s="1224">
        <f t="shared" ref="BQ48:CB48" si="113">BP47</f>
        <v>49833399</v>
      </c>
      <c r="BR48" s="1224">
        <f t="shared" si="113"/>
        <v>49934965</v>
      </c>
      <c r="BS48" s="1224">
        <f t="shared" si="113"/>
        <v>50026670</v>
      </c>
      <c r="BT48" s="1224">
        <f t="shared" si="113"/>
        <v>50121662</v>
      </c>
      <c r="BU48" s="1224">
        <f t="shared" si="113"/>
        <v>50226467</v>
      </c>
      <c r="BV48" s="1224">
        <f t="shared" si="113"/>
        <v>50327984</v>
      </c>
      <c r="BW48" s="1224">
        <f t="shared" si="113"/>
        <v>50419688</v>
      </c>
      <c r="BX48" s="1224">
        <f t="shared" si="113"/>
        <v>50527781</v>
      </c>
      <c r="BY48" s="1224">
        <f t="shared" si="113"/>
        <v>5617297</v>
      </c>
      <c r="BZ48" s="1194">
        <f t="shared" si="113"/>
        <v>5628158</v>
      </c>
      <c r="CA48" s="1194">
        <f t="shared" si="113"/>
        <v>5638979</v>
      </c>
      <c r="CB48" s="1194">
        <f t="shared" si="113"/>
        <v>5649053</v>
      </c>
      <c r="CC48" s="1195">
        <f>BQ48</f>
        <v>49833399</v>
      </c>
      <c r="CD48" s="1293">
        <f>CC47</f>
        <v>5517800</v>
      </c>
      <c r="CE48" s="1293">
        <f>CD47</f>
        <v>5528798</v>
      </c>
      <c r="CF48" s="1293">
        <f>CE47</f>
        <v>5538733</v>
      </c>
      <c r="CG48" s="1333">
        <f t="shared" ref="CG48:CO48" si="114">CF47</f>
        <v>5550083</v>
      </c>
      <c r="CH48" s="1333">
        <f t="shared" si="114"/>
        <v>5560371</v>
      </c>
      <c r="CI48" s="1333">
        <f t="shared" si="114"/>
        <v>5571016</v>
      </c>
      <c r="CJ48" s="1333">
        <f t="shared" si="114"/>
        <v>5582366</v>
      </c>
      <c r="CK48" s="1333">
        <f t="shared" si="114"/>
        <v>5593364</v>
      </c>
      <c r="CL48" s="1333">
        <f t="shared" si="114"/>
        <v>5604357</v>
      </c>
      <c r="CM48" s="1368">
        <f t="shared" si="114"/>
        <v>5614650</v>
      </c>
      <c r="CN48" s="1368">
        <f t="shared" si="114"/>
        <v>5625642</v>
      </c>
      <c r="CO48" s="1368">
        <f t="shared" si="114"/>
        <v>5636640</v>
      </c>
      <c r="CP48" s="1294">
        <f>CD48</f>
        <v>5517800</v>
      </c>
      <c r="CQ48" s="1392">
        <f t="shared" ref="CQ48:DB48" si="115">CP47</f>
        <v>5647135</v>
      </c>
      <c r="CR48" s="1392">
        <f t="shared" si="115"/>
        <v>5636204</v>
      </c>
      <c r="CS48" s="1392">
        <f t="shared" si="115"/>
        <v>5644179</v>
      </c>
      <c r="CT48" s="1392">
        <f t="shared" si="115"/>
        <v>5653581</v>
      </c>
      <c r="CU48" s="1392">
        <f t="shared" si="115"/>
        <v>5662123</v>
      </c>
      <c r="CV48" s="1392">
        <f t="shared" si="115"/>
        <v>5670952</v>
      </c>
      <c r="CW48" s="1392">
        <f t="shared" si="115"/>
        <v>5679500</v>
      </c>
      <c r="CX48" s="1392">
        <f t="shared" si="115"/>
        <v>5688048</v>
      </c>
      <c r="CY48" s="1392">
        <f t="shared" si="115"/>
        <v>5697158</v>
      </c>
      <c r="CZ48" s="1431">
        <f t="shared" si="115"/>
        <v>5705706</v>
      </c>
      <c r="DA48" s="1431">
        <f t="shared" si="115"/>
        <v>5713968</v>
      </c>
      <c r="DB48" s="1431">
        <f t="shared" si="115"/>
        <v>5723084</v>
      </c>
      <c r="DC48" s="1393">
        <f>CQ48</f>
        <v>5647135</v>
      </c>
      <c r="DD48" s="1451">
        <f t="shared" ref="DD48:DO48" si="116">DC47</f>
        <v>5731840</v>
      </c>
      <c r="DE48" s="1451">
        <f t="shared" si="116"/>
        <v>5722627</v>
      </c>
      <c r="DF48" s="1451">
        <f t="shared" si="116"/>
        <v>5732016</v>
      </c>
      <c r="DG48" s="1451">
        <f t="shared" si="116"/>
        <v>5742429</v>
      </c>
      <c r="DH48" s="1451">
        <f t="shared" si="116"/>
        <v>5752524</v>
      </c>
      <c r="DI48" s="1451">
        <f t="shared" si="116"/>
        <v>5762974</v>
      </c>
      <c r="DJ48" s="1451">
        <f t="shared" si="116"/>
        <v>5773106</v>
      </c>
      <c r="DK48" s="1451">
        <f t="shared" si="116"/>
        <v>5773106</v>
      </c>
      <c r="DL48" s="1451">
        <f t="shared" si="116"/>
        <v>5773106</v>
      </c>
      <c r="DM48" s="1451">
        <f t="shared" si="116"/>
        <v>5773106</v>
      </c>
      <c r="DN48" s="1451">
        <f t="shared" si="116"/>
        <v>5773106</v>
      </c>
      <c r="DO48" s="1451">
        <f t="shared" si="116"/>
        <v>5773106</v>
      </c>
      <c r="DP48" s="1452">
        <f>DD48</f>
        <v>5731840</v>
      </c>
    </row>
    <row r="49" spans="1:120" ht="15" customHeight="1">
      <c r="A49" s="626"/>
      <c r="B49" s="678" t="s">
        <v>435</v>
      </c>
      <c r="C49" s="679">
        <v>48400824</v>
      </c>
      <c r="D49" s="680"/>
      <c r="E49" s="622"/>
      <c r="F49" s="622"/>
      <c r="G49" s="622"/>
      <c r="H49" s="622"/>
      <c r="I49" s="622"/>
      <c r="J49" s="622"/>
      <c r="K49" s="622"/>
      <c r="L49" s="622"/>
      <c r="M49" s="622"/>
      <c r="N49" s="622"/>
      <c r="O49" s="681"/>
      <c r="P49" s="682">
        <f>SUM(D49:O49)</f>
        <v>0</v>
      </c>
      <c r="Q49" s="680"/>
      <c r="R49" s="622"/>
      <c r="S49" s="622"/>
      <c r="T49" s="622"/>
      <c r="U49" s="622"/>
      <c r="V49" s="622"/>
      <c r="W49" s="622"/>
      <c r="X49" s="622"/>
      <c r="Y49" s="622"/>
      <c r="Z49" s="622"/>
      <c r="AA49" s="622"/>
      <c r="AB49" s="681"/>
      <c r="AC49" s="683">
        <f>SUM(Q49:AB49)</f>
        <v>0</v>
      </c>
      <c r="AD49" s="873"/>
      <c r="AE49" s="872"/>
      <c r="AF49" s="872"/>
      <c r="AG49" s="872"/>
      <c r="AH49" s="872"/>
      <c r="AI49" s="872"/>
      <c r="AJ49" s="872"/>
      <c r="AK49" s="872"/>
      <c r="AL49" s="872"/>
      <c r="AM49" s="872"/>
      <c r="AN49" s="872"/>
      <c r="AO49" s="871"/>
      <c r="AP49" s="884">
        <f>SUM(AD49:AO49)</f>
        <v>0</v>
      </c>
      <c r="AQ49" s="891"/>
      <c r="AR49" s="892"/>
      <c r="AS49" s="892"/>
      <c r="AT49" s="892"/>
      <c r="AU49" s="892"/>
      <c r="AV49" s="892"/>
      <c r="AW49" s="907"/>
      <c r="AX49" s="907"/>
      <c r="AY49" s="914"/>
      <c r="AZ49" s="1002"/>
      <c r="BA49" s="1002"/>
      <c r="BB49" s="1003"/>
      <c r="BC49" s="884">
        <f>SUM(AQ49:BB49)</f>
        <v>0</v>
      </c>
      <c r="BD49" s="1015"/>
      <c r="BE49" s="1002"/>
      <c r="BF49" s="1025"/>
      <c r="BG49" s="1039"/>
      <c r="BH49" s="1039"/>
      <c r="BI49" s="1039"/>
      <c r="BJ49" s="1163"/>
      <c r="BK49" s="1163"/>
      <c r="BL49" s="1163"/>
      <c r="BM49" s="1163"/>
      <c r="BN49" s="1163"/>
      <c r="BO49" s="1175">
        <v>30000000</v>
      </c>
      <c r="BP49" s="884">
        <f>SUM(BD49:BO49)</f>
        <v>30000000</v>
      </c>
      <c r="BQ49" s="1224"/>
      <c r="BR49" s="1224"/>
      <c r="BS49" s="1225"/>
      <c r="BT49" s="1225"/>
      <c r="BU49" s="1225"/>
      <c r="BV49" s="1225"/>
      <c r="BW49" s="1225"/>
      <c r="BX49" s="1225"/>
      <c r="BY49" s="1225"/>
      <c r="BZ49" s="1163"/>
      <c r="CA49" s="1163"/>
      <c r="CB49" s="1175"/>
      <c r="CC49" s="1195">
        <f>SUM(BQ49:CB49)</f>
        <v>0</v>
      </c>
      <c r="CD49" s="1293"/>
      <c r="CE49" s="1293"/>
      <c r="CF49" s="1295"/>
      <c r="CG49" s="1334"/>
      <c r="CH49" s="1334"/>
      <c r="CI49" s="1334"/>
      <c r="CJ49" s="1334"/>
      <c r="CK49" s="1334"/>
      <c r="CL49" s="1334"/>
      <c r="CM49" s="1369"/>
      <c r="CN49" s="1369"/>
      <c r="CO49" s="1370"/>
      <c r="CP49" s="1294">
        <f>SUM(CD49:CO49)</f>
        <v>0</v>
      </c>
      <c r="CQ49" s="1392"/>
      <c r="CR49" s="1392"/>
      <c r="CS49" s="1394"/>
      <c r="CT49" s="1394"/>
      <c r="CU49" s="1394"/>
      <c r="CV49" s="1394"/>
      <c r="CW49" s="1394"/>
      <c r="CX49" s="1394"/>
      <c r="CY49" s="1394"/>
      <c r="CZ49" s="1432"/>
      <c r="DA49" s="1432"/>
      <c r="DB49" s="1433"/>
      <c r="DC49" s="1393">
        <f>SUM(CQ49:DB49)</f>
        <v>0</v>
      </c>
      <c r="DD49" s="1451"/>
      <c r="DE49" s="1451"/>
      <c r="DF49" s="1453"/>
      <c r="DG49" s="1453"/>
      <c r="DH49" s="1453"/>
      <c r="DI49" s="1453"/>
      <c r="DJ49" s="1453"/>
      <c r="DK49" s="1453"/>
      <c r="DL49" s="1453"/>
      <c r="DM49" s="1453"/>
      <c r="DN49" s="1453"/>
      <c r="DO49" s="1454"/>
      <c r="DP49" s="1452">
        <f>SUM(DD49:DO49)</f>
        <v>0</v>
      </c>
    </row>
    <row r="50" spans="1:120" ht="15" customHeight="1">
      <c r="A50" s="626"/>
      <c r="B50" s="678" t="s">
        <v>436</v>
      </c>
      <c r="C50" s="679"/>
      <c r="D50" s="680"/>
      <c r="E50" s="622"/>
      <c r="F50" s="622"/>
      <c r="G50" s="622"/>
      <c r="H50" s="622"/>
      <c r="I50" s="622"/>
      <c r="J50" s="622"/>
      <c r="K50" s="622"/>
      <c r="L50" s="622"/>
      <c r="M50" s="622"/>
      <c r="N50" s="622"/>
      <c r="O50" s="681"/>
      <c r="P50" s="682">
        <f>SUM(D50:O50)</f>
        <v>0</v>
      </c>
      <c r="Q50" s="680">
        <v>31146035</v>
      </c>
      <c r="R50" s="622"/>
      <c r="S50" s="622"/>
      <c r="T50" s="622"/>
      <c r="U50" s="622"/>
      <c r="V50" s="622"/>
      <c r="W50" s="622"/>
      <c r="X50" s="622"/>
      <c r="Y50" s="622"/>
      <c r="Z50" s="622"/>
      <c r="AA50" s="622"/>
      <c r="AB50" s="681"/>
      <c r="AC50" s="683">
        <f>SUM(Q50:AB50)</f>
        <v>31146035</v>
      </c>
      <c r="AD50" s="873"/>
      <c r="AE50" s="872"/>
      <c r="AF50" s="872"/>
      <c r="AG50" s="872"/>
      <c r="AH50" s="872"/>
      <c r="AI50" s="872"/>
      <c r="AJ50" s="872"/>
      <c r="AK50" s="872"/>
      <c r="AL50" s="872"/>
      <c r="AM50" s="872"/>
      <c r="AN50" s="872"/>
      <c r="AO50" s="871"/>
      <c r="AP50" s="884">
        <f>SUM(AD50:AO50)</f>
        <v>0</v>
      </c>
      <c r="AQ50" s="891"/>
      <c r="AR50" s="892"/>
      <c r="AS50" s="892"/>
      <c r="AT50" s="892"/>
      <c r="AU50" s="892"/>
      <c r="AV50" s="892"/>
      <c r="AW50" s="907"/>
      <c r="AX50" s="907"/>
      <c r="AY50" s="914"/>
      <c r="AZ50" s="1002"/>
      <c r="BA50" s="1002"/>
      <c r="BB50" s="1003"/>
      <c r="BC50" s="884">
        <f>SUM(AQ50:BB50)</f>
        <v>0</v>
      </c>
      <c r="BD50" s="1015"/>
      <c r="BE50" s="1002"/>
      <c r="BF50" s="1025"/>
      <c r="BG50" s="1039"/>
      <c r="BH50" s="1039"/>
      <c r="BI50" s="1039"/>
      <c r="BJ50" s="1163"/>
      <c r="BK50" s="1163"/>
      <c r="BL50" s="1163"/>
      <c r="BM50" s="1163"/>
      <c r="BN50" s="1163"/>
      <c r="BO50" s="1175"/>
      <c r="BP50" s="884">
        <f>SUM(BD50:BO50)</f>
        <v>0</v>
      </c>
      <c r="BQ50" s="1224"/>
      <c r="BR50" s="1225"/>
      <c r="BS50" s="1225"/>
      <c r="BT50" s="1225"/>
      <c r="BU50" s="1225"/>
      <c r="BV50" s="1225"/>
      <c r="BW50" s="1225"/>
      <c r="BX50" s="1225">
        <v>45000000</v>
      </c>
      <c r="BY50" s="1225"/>
      <c r="BZ50" s="1163"/>
      <c r="CA50" s="1163"/>
      <c r="CB50" s="1175"/>
      <c r="CC50" s="1195">
        <f>SUM(BQ50:CB50)</f>
        <v>45000000</v>
      </c>
      <c r="CD50" s="1293"/>
      <c r="CE50" s="1295"/>
      <c r="CF50" s="1295"/>
      <c r="CG50" s="1334"/>
      <c r="CH50" s="1334"/>
      <c r="CI50" s="1334"/>
      <c r="CJ50" s="1334"/>
      <c r="CK50" s="1334"/>
      <c r="CL50" s="1334"/>
      <c r="CM50" s="1369"/>
      <c r="CN50" s="1369"/>
      <c r="CO50" s="1370"/>
      <c r="CP50" s="1294">
        <f>SUM(CD50:CO50)</f>
        <v>0</v>
      </c>
      <c r="CQ50" s="1392"/>
      <c r="CR50" s="1394"/>
      <c r="CS50" s="1394"/>
      <c r="CT50" s="1394"/>
      <c r="CU50" s="1394"/>
      <c r="CV50" s="1394"/>
      <c r="CW50" s="1394"/>
      <c r="CX50" s="1394"/>
      <c r="CY50" s="1394"/>
      <c r="CZ50" s="1432"/>
      <c r="DA50" s="1432"/>
      <c r="DB50" s="1433"/>
      <c r="DC50" s="1393">
        <f>SUM(CQ50:DB50)</f>
        <v>0</v>
      </c>
      <c r="DD50" s="1451"/>
      <c r="DE50" s="1453"/>
      <c r="DF50" s="1453"/>
      <c r="DG50" s="1453"/>
      <c r="DH50" s="1453"/>
      <c r="DI50" s="1453"/>
      <c r="DJ50" s="1453"/>
      <c r="DK50" s="1453"/>
      <c r="DL50" s="1453"/>
      <c r="DM50" s="1453"/>
      <c r="DN50" s="1453"/>
      <c r="DO50" s="1454"/>
      <c r="DP50" s="1452">
        <f>SUM(DD50:DO50)</f>
        <v>0</v>
      </c>
    </row>
    <row r="51" spans="1:120" ht="15" customHeight="1">
      <c r="A51" s="626"/>
      <c r="B51" s="678" t="s">
        <v>437</v>
      </c>
      <c r="C51" s="679">
        <v>21349</v>
      </c>
      <c r="D51" s="680">
        <v>132366</v>
      </c>
      <c r="E51" s="622">
        <v>119557</v>
      </c>
      <c r="F51" s="622">
        <v>132366</v>
      </c>
      <c r="G51" s="622">
        <v>128097</v>
      </c>
      <c r="H51" s="622">
        <v>132366</v>
      </c>
      <c r="I51" s="622">
        <v>128096</v>
      </c>
      <c r="J51" s="622">
        <v>132367</v>
      </c>
      <c r="K51" s="622">
        <v>132366</v>
      </c>
      <c r="L51" s="622">
        <v>128096</v>
      </c>
      <c r="M51" s="622">
        <v>132367</v>
      </c>
      <c r="N51" s="622">
        <v>128096</v>
      </c>
      <c r="O51" s="681">
        <v>128845</v>
      </c>
      <c r="P51" s="682">
        <f>SUM(D51:O51)</f>
        <v>1554985</v>
      </c>
      <c r="Q51" s="680">
        <v>42583</v>
      </c>
      <c r="R51" s="622">
        <v>37035</v>
      </c>
      <c r="S51" s="622">
        <v>41001</v>
      </c>
      <c r="T51" s="622">
        <v>39678</v>
      </c>
      <c r="U51" s="622">
        <v>40999</v>
      </c>
      <c r="V51" s="622">
        <v>39679</v>
      </c>
      <c r="W51" s="622">
        <v>41000</v>
      </c>
      <c r="X51" s="622">
        <v>41001</v>
      </c>
      <c r="Y51" s="622">
        <v>39677</v>
      </c>
      <c r="Z51" s="622">
        <v>41000</v>
      </c>
      <c r="AA51" s="622">
        <v>39678</v>
      </c>
      <c r="AB51" s="681">
        <v>40095</v>
      </c>
      <c r="AC51" s="683">
        <f>SUM(Q51:AB51)</f>
        <v>483426</v>
      </c>
      <c r="AD51" s="873">
        <v>36840</v>
      </c>
      <c r="AE51" s="872">
        <v>34466</v>
      </c>
      <c r="AF51" s="872">
        <v>36841</v>
      </c>
      <c r="AG51" s="872">
        <v>35653</v>
      </c>
      <c r="AH51" s="872">
        <v>36842</v>
      </c>
      <c r="AI51" s="872">
        <v>35653</v>
      </c>
      <c r="AJ51" s="872">
        <v>36840</v>
      </c>
      <c r="AK51" s="872">
        <v>36843</v>
      </c>
      <c r="AL51" s="872">
        <v>35653</v>
      </c>
      <c r="AM51" s="872">
        <v>36841</v>
      </c>
      <c r="AN51" s="872">
        <v>35653</v>
      </c>
      <c r="AO51" s="871">
        <v>36518</v>
      </c>
      <c r="AP51" s="884">
        <f>SUM(AD51:AO51)</f>
        <v>434643</v>
      </c>
      <c r="AQ51" s="891">
        <v>35516</v>
      </c>
      <c r="AR51" s="892">
        <v>32079</v>
      </c>
      <c r="AS51" s="892">
        <v>35517</v>
      </c>
      <c r="AT51" s="892">
        <v>34369</v>
      </c>
      <c r="AU51" s="892">
        <v>35518</v>
      </c>
      <c r="AV51" s="892">
        <v>34370</v>
      </c>
      <c r="AW51" s="907">
        <v>35516</v>
      </c>
      <c r="AX51" s="907">
        <v>35517</v>
      </c>
      <c r="AY51" s="914">
        <v>34370</v>
      </c>
      <c r="AZ51" s="1002">
        <v>35517</v>
      </c>
      <c r="BA51" s="1002">
        <v>34370</v>
      </c>
      <c r="BB51" s="1003">
        <v>35609</v>
      </c>
      <c r="BC51" s="884">
        <f>SUM(AQ51:BB51)</f>
        <v>418268</v>
      </c>
      <c r="BD51" s="1015">
        <v>35755</v>
      </c>
      <c r="BE51" s="1002">
        <v>32294</v>
      </c>
      <c r="BF51" s="1025">
        <v>35754</v>
      </c>
      <c r="BG51" s="1039">
        <v>34602</v>
      </c>
      <c r="BH51" s="1039">
        <v>35754</v>
      </c>
      <c r="BI51" s="1039">
        <v>34601</v>
      </c>
      <c r="BJ51" s="1163">
        <v>35754</v>
      </c>
      <c r="BK51" s="1163">
        <v>35755</v>
      </c>
      <c r="BL51" s="1163">
        <v>34600</v>
      </c>
      <c r="BM51" s="1163">
        <v>35755</v>
      </c>
      <c r="BN51" s="1163">
        <v>34601</v>
      </c>
      <c r="BO51" s="1175">
        <v>43436</v>
      </c>
      <c r="BP51" s="884">
        <f>SUM(BD51:BO51)</f>
        <v>428661</v>
      </c>
      <c r="BQ51" s="1224">
        <v>101566</v>
      </c>
      <c r="BR51" s="1225">
        <v>91705</v>
      </c>
      <c r="BS51" s="1225">
        <v>94992</v>
      </c>
      <c r="BT51" s="1225">
        <v>104805</v>
      </c>
      <c r="BU51" s="1225">
        <v>101517</v>
      </c>
      <c r="BV51" s="1225">
        <v>91704</v>
      </c>
      <c r="BW51" s="1225">
        <v>108093</v>
      </c>
      <c r="BX51" s="1225">
        <v>89516</v>
      </c>
      <c r="BY51" s="1225">
        <v>10861</v>
      </c>
      <c r="BZ51" s="1163">
        <v>10821</v>
      </c>
      <c r="CA51" s="1163">
        <v>10074</v>
      </c>
      <c r="CB51" s="1175">
        <v>11146</v>
      </c>
      <c r="CC51" s="1195">
        <f>SUM(BQ51:CB51)</f>
        <v>826800</v>
      </c>
      <c r="CD51" s="1293">
        <v>10998</v>
      </c>
      <c r="CE51" s="1295">
        <v>9935</v>
      </c>
      <c r="CF51" s="1295">
        <v>11350</v>
      </c>
      <c r="CG51" s="1334">
        <v>10288</v>
      </c>
      <c r="CH51" s="1334">
        <v>10645</v>
      </c>
      <c r="CI51" s="1334">
        <v>11350</v>
      </c>
      <c r="CJ51" s="1334">
        <v>10998</v>
      </c>
      <c r="CK51" s="1334">
        <v>10993</v>
      </c>
      <c r="CL51" s="1334">
        <v>10293</v>
      </c>
      <c r="CM51" s="1369">
        <v>10992</v>
      </c>
      <c r="CN51" s="1369">
        <v>10998</v>
      </c>
      <c r="CO51" s="1370">
        <v>10495</v>
      </c>
      <c r="CP51" s="1294">
        <f>SUM(CD51:CO51)</f>
        <v>129335</v>
      </c>
      <c r="CQ51" s="1392">
        <v>8268</v>
      </c>
      <c r="CR51" s="1394">
        <v>7975</v>
      </c>
      <c r="CS51" s="1394">
        <v>9402</v>
      </c>
      <c r="CT51" s="1394">
        <v>8542</v>
      </c>
      <c r="CU51" s="1394">
        <v>8829</v>
      </c>
      <c r="CV51" s="1394">
        <v>8548</v>
      </c>
      <c r="CW51" s="1394">
        <v>8548</v>
      </c>
      <c r="CX51" s="1394">
        <v>9110</v>
      </c>
      <c r="CY51" s="1394">
        <v>8548</v>
      </c>
      <c r="CZ51" s="1432">
        <v>8262</v>
      </c>
      <c r="DA51" s="1432">
        <v>9116</v>
      </c>
      <c r="DB51" s="1433">
        <v>8756</v>
      </c>
      <c r="DC51" s="1393">
        <f>SUM(CQ51:DB51)</f>
        <v>103904</v>
      </c>
      <c r="DD51" s="1451">
        <v>10383</v>
      </c>
      <c r="DE51" s="1453">
        <v>9389</v>
      </c>
      <c r="DF51" s="1453">
        <v>10413</v>
      </c>
      <c r="DG51" s="1453">
        <v>10095</v>
      </c>
      <c r="DH51" s="1453">
        <v>10450</v>
      </c>
      <c r="DI51" s="1453">
        <v>10132</v>
      </c>
      <c r="DJ51" s="1453"/>
      <c r="DK51" s="1453"/>
      <c r="DL51" s="1453"/>
      <c r="DM51" s="1453"/>
      <c r="DN51" s="1453"/>
      <c r="DO51" s="1454"/>
      <c r="DP51" s="1452">
        <f>SUM(DD51:DO51)</f>
        <v>60862</v>
      </c>
    </row>
    <row r="52" spans="1:120" ht="15" customHeight="1">
      <c r="A52" s="458"/>
      <c r="B52" s="698" t="s">
        <v>438</v>
      </c>
      <c r="C52" s="699"/>
      <c r="D52" s="700"/>
      <c r="E52" s="701"/>
      <c r="F52" s="701"/>
      <c r="G52" s="701"/>
      <c r="H52" s="701"/>
      <c r="I52" s="701"/>
      <c r="J52" s="701"/>
      <c r="K52" s="701"/>
      <c r="L52" s="701"/>
      <c r="M52" s="701"/>
      <c r="N52" s="701"/>
      <c r="O52" s="702">
        <v>319368</v>
      </c>
      <c r="P52" s="703">
        <f>SUM(D52:O52)</f>
        <v>319368</v>
      </c>
      <c r="Q52" s="700"/>
      <c r="R52" s="701"/>
      <c r="S52" s="701"/>
      <c r="T52" s="701"/>
      <c r="U52" s="701"/>
      <c r="V52" s="701"/>
      <c r="W52" s="701"/>
      <c r="X52" s="701"/>
      <c r="Y52" s="701"/>
      <c r="Z52" s="701"/>
      <c r="AA52" s="701"/>
      <c r="AB52" s="702">
        <v>126888</v>
      </c>
      <c r="AC52" s="704">
        <f>SUM(Q52:AB52)</f>
        <v>126888</v>
      </c>
      <c r="AD52" s="835"/>
      <c r="AE52" s="836"/>
      <c r="AF52" s="836"/>
      <c r="AG52" s="836"/>
      <c r="AH52" s="836"/>
      <c r="AI52" s="836"/>
      <c r="AJ52" s="836"/>
      <c r="AK52" s="836"/>
      <c r="AL52" s="836"/>
      <c r="AM52" s="836"/>
      <c r="AN52" s="836"/>
      <c r="AO52" s="837">
        <v>111393</v>
      </c>
      <c r="AP52" s="704">
        <f>SUM(AD52:AO52)</f>
        <v>111393</v>
      </c>
      <c r="AQ52" s="897"/>
      <c r="AR52" s="898"/>
      <c r="AS52" s="898"/>
      <c r="AT52" s="898"/>
      <c r="AU52" s="898"/>
      <c r="AV52" s="898"/>
      <c r="AW52" s="898"/>
      <c r="AX52" s="898"/>
      <c r="AY52" s="916"/>
      <c r="AZ52" s="1007"/>
      <c r="BA52" s="1007"/>
      <c r="BB52" s="1008">
        <v>109654</v>
      </c>
      <c r="BC52" s="704">
        <f>SUM(AQ52:BB52)</f>
        <v>109654</v>
      </c>
      <c r="BD52" s="1019"/>
      <c r="BE52" s="1007"/>
      <c r="BF52" s="1027"/>
      <c r="BG52" s="1042"/>
      <c r="BH52" s="1042"/>
      <c r="BI52" s="1042"/>
      <c r="BJ52" s="1166"/>
      <c r="BK52" s="1166"/>
      <c r="BL52" s="1166"/>
      <c r="BM52" s="1166"/>
      <c r="BN52" s="1166"/>
      <c r="BO52" s="1178">
        <v>95419</v>
      </c>
      <c r="BP52" s="704">
        <f>SUM(BD52:BO52)</f>
        <v>95419</v>
      </c>
      <c r="BQ52" s="1228"/>
      <c r="BR52" s="1229"/>
      <c r="BS52" s="1229"/>
      <c r="BT52" s="1229"/>
      <c r="BU52" s="1229"/>
      <c r="BV52" s="1229"/>
      <c r="BW52" s="1229"/>
      <c r="BX52" s="1229"/>
      <c r="BY52" s="1229"/>
      <c r="BZ52" s="1198"/>
      <c r="CA52" s="1198"/>
      <c r="CB52" s="1199">
        <v>142399</v>
      </c>
      <c r="CC52" s="1200">
        <f>SUM(BQ52:CB52)</f>
        <v>142399</v>
      </c>
      <c r="CD52" s="1299"/>
      <c r="CE52" s="1300"/>
      <c r="CF52" s="1300"/>
      <c r="CG52" s="1337"/>
      <c r="CH52" s="1337"/>
      <c r="CI52" s="1337"/>
      <c r="CJ52" s="1337"/>
      <c r="CK52" s="1337"/>
      <c r="CL52" s="1337"/>
      <c r="CM52" s="1373"/>
      <c r="CN52" s="1373"/>
      <c r="CO52" s="1374"/>
      <c r="CP52" s="1301">
        <f>SUM(CD52:CO52)</f>
        <v>0</v>
      </c>
      <c r="CQ52" s="1398">
        <v>19199</v>
      </c>
      <c r="CR52" s="1399"/>
      <c r="CS52" s="1399"/>
      <c r="CT52" s="1399"/>
      <c r="CU52" s="1399"/>
      <c r="CV52" s="1399"/>
      <c r="CW52" s="1399"/>
      <c r="CX52" s="1399"/>
      <c r="CY52" s="1399"/>
      <c r="CZ52" s="1436"/>
      <c r="DA52" s="1436"/>
      <c r="DB52" s="1437"/>
      <c r="DC52" s="1400">
        <f>SUM(CQ52:DB52)</f>
        <v>19199</v>
      </c>
      <c r="DD52" s="1458">
        <v>19596</v>
      </c>
      <c r="DE52" s="1459"/>
      <c r="DF52" s="1459"/>
      <c r="DG52" s="1459"/>
      <c r="DH52" s="1459"/>
      <c r="DI52" s="1459"/>
      <c r="DJ52" s="1459"/>
      <c r="DK52" s="1459"/>
      <c r="DL52" s="1459"/>
      <c r="DM52" s="1459"/>
      <c r="DN52" s="1459"/>
      <c r="DO52" s="1460"/>
      <c r="DP52" s="1461">
        <f>SUM(DD52:DO52)</f>
        <v>19596</v>
      </c>
    </row>
    <row r="53" spans="1:120" s="30" customFormat="1" ht="15" hidden="1" customHeight="1">
      <c r="A53" s="452" t="s">
        <v>114</v>
      </c>
      <c r="B53" s="453"/>
      <c r="C53" s="454">
        <f>SUM(C54:C58)</f>
        <v>44548751</v>
      </c>
      <c r="D53" s="621">
        <f>D54+D55-D56+D57-D58</f>
        <v>44675329</v>
      </c>
      <c r="E53" s="459">
        <f t="shared" ref="E53:O53" si="117">E54+E55-E56+E57-E58</f>
        <v>44793508</v>
      </c>
      <c r="F53" s="459">
        <f t="shared" si="117"/>
        <v>44924331</v>
      </c>
      <c r="G53" s="459">
        <f t="shared" si="117"/>
        <v>45050945</v>
      </c>
      <c r="H53" s="459">
        <f t="shared" si="117"/>
        <v>45181768</v>
      </c>
      <c r="I53" s="459">
        <f t="shared" si="117"/>
        <v>45308361</v>
      </c>
      <c r="J53" s="459">
        <f t="shared" si="117"/>
        <v>45439183</v>
      </c>
      <c r="K53" s="459">
        <f t="shared" si="117"/>
        <v>45570027</v>
      </c>
      <c r="L53" s="459">
        <f t="shared" si="117"/>
        <v>45696643</v>
      </c>
      <c r="M53" s="459">
        <f t="shared" si="117"/>
        <v>45827465</v>
      </c>
      <c r="N53" s="459">
        <f t="shared" si="117"/>
        <v>45954080</v>
      </c>
      <c r="O53" s="460">
        <f t="shared" si="117"/>
        <v>128650</v>
      </c>
      <c r="P53" s="455">
        <f>P54+P55-P56+P57-P58</f>
        <v>46082730</v>
      </c>
      <c r="Q53" s="621">
        <f>Q54+Q55-Q56+Q57-Q58</f>
        <v>17070552</v>
      </c>
      <c r="R53" s="459">
        <f t="shared" ref="R53:AB53" si="118">R54+R55-R56+R57-R58</f>
        <v>17109783</v>
      </c>
      <c r="S53" s="459">
        <f t="shared" si="118"/>
        <v>17153231</v>
      </c>
      <c r="T53" s="459">
        <f t="shared" si="118"/>
        <v>17195267</v>
      </c>
      <c r="U53" s="459">
        <f t="shared" si="118"/>
        <v>17238697</v>
      </c>
      <c r="V53" s="461">
        <f t="shared" si="118"/>
        <v>0</v>
      </c>
      <c r="W53" s="459">
        <f t="shared" si="118"/>
        <v>0</v>
      </c>
      <c r="X53" s="459">
        <f t="shared" si="118"/>
        <v>0</v>
      </c>
      <c r="Y53" s="459">
        <f t="shared" si="118"/>
        <v>0</v>
      </c>
      <c r="Z53" s="459">
        <f t="shared" si="118"/>
        <v>0</v>
      </c>
      <c r="AA53" s="459">
        <f t="shared" si="118"/>
        <v>0</v>
      </c>
      <c r="AB53" s="460">
        <f t="shared" si="118"/>
        <v>0</v>
      </c>
      <c r="AC53" s="456">
        <f>AC54+AC55-AC56+AC57-AC58</f>
        <v>0</v>
      </c>
      <c r="AD53" s="876">
        <f>AD54+AD55-AD56+AD57-AD58</f>
        <v>0</v>
      </c>
      <c r="AE53" s="459">
        <f t="shared" ref="AE53:AO53" si="119">AE54+AE55-AE56+AE57-AE58</f>
        <v>0</v>
      </c>
      <c r="AF53" s="459">
        <f t="shared" si="119"/>
        <v>0</v>
      </c>
      <c r="AG53" s="459">
        <f t="shared" si="119"/>
        <v>0</v>
      </c>
      <c r="AH53" s="459">
        <f t="shared" si="119"/>
        <v>0</v>
      </c>
      <c r="AI53" s="461">
        <f t="shared" si="119"/>
        <v>0</v>
      </c>
      <c r="AJ53" s="459">
        <f t="shared" si="119"/>
        <v>0</v>
      </c>
      <c r="AK53" s="459">
        <f t="shared" si="119"/>
        <v>0</v>
      </c>
      <c r="AL53" s="459">
        <f t="shared" si="119"/>
        <v>0</v>
      </c>
      <c r="AM53" s="459">
        <f t="shared" si="119"/>
        <v>0</v>
      </c>
      <c r="AN53" s="459">
        <f t="shared" si="119"/>
        <v>0</v>
      </c>
      <c r="AO53" s="838">
        <f t="shared" si="119"/>
        <v>0</v>
      </c>
      <c r="AP53" s="456">
        <f t="shared" ref="AP53:AV53" si="120">AP54+AP55-AP56+AP57-AP58</f>
        <v>0</v>
      </c>
      <c r="AQ53" s="875">
        <f t="shared" si="120"/>
        <v>0</v>
      </c>
      <c r="AR53" s="868">
        <f t="shared" si="120"/>
        <v>0</v>
      </c>
      <c r="AS53" s="868">
        <f t="shared" si="120"/>
        <v>0</v>
      </c>
      <c r="AT53" s="868">
        <f t="shared" si="120"/>
        <v>0</v>
      </c>
      <c r="AU53" s="868">
        <f t="shared" si="120"/>
        <v>0</v>
      </c>
      <c r="AV53" s="870">
        <f t="shared" si="120"/>
        <v>0</v>
      </c>
      <c r="AW53" s="868">
        <v>0</v>
      </c>
      <c r="AX53" s="868">
        <f t="shared" ref="AX53:BD53" si="121">AX54+AX55-AX56+AX57-AX58</f>
        <v>0</v>
      </c>
      <c r="AY53" s="868">
        <f t="shared" si="121"/>
        <v>0</v>
      </c>
      <c r="AZ53" s="868">
        <f t="shared" si="121"/>
        <v>0</v>
      </c>
      <c r="BA53" s="868">
        <f t="shared" si="121"/>
        <v>0</v>
      </c>
      <c r="BB53" s="869">
        <f t="shared" si="121"/>
        <v>0</v>
      </c>
      <c r="BC53" s="456">
        <f t="shared" si="121"/>
        <v>0</v>
      </c>
      <c r="BD53" s="875">
        <f t="shared" si="121"/>
        <v>0</v>
      </c>
      <c r="BE53" s="868"/>
      <c r="BF53" s="868"/>
      <c r="BG53" s="868"/>
      <c r="BH53" s="868"/>
      <c r="BI53" s="870"/>
      <c r="BJ53" s="868"/>
      <c r="BK53" s="868"/>
      <c r="BL53" s="868"/>
      <c r="BM53" s="868"/>
      <c r="BN53" s="868"/>
      <c r="BO53" s="869"/>
      <c r="BP53" s="456">
        <f>BP54+BP55-BP56+BP57-BP58</f>
        <v>0</v>
      </c>
      <c r="BQ53" s="875">
        <f>BQ54+BQ55-BQ56+BQ57-BQ58</f>
        <v>0</v>
      </c>
      <c r="BR53" s="868"/>
      <c r="BS53" s="868"/>
      <c r="BT53" s="868"/>
      <c r="BU53" s="868"/>
      <c r="BV53" s="870"/>
      <c r="BW53" s="868"/>
      <c r="BX53" s="868"/>
      <c r="BY53" s="868"/>
      <c r="BZ53" s="868"/>
      <c r="CA53" s="868"/>
      <c r="CB53" s="869"/>
      <c r="CC53" s="1193">
        <f>CC54+CC55-CC56+CC57-CC58</f>
        <v>0</v>
      </c>
      <c r="CD53" s="1270">
        <f>CD54+CD55-CD56+CD57-CD58</f>
        <v>0</v>
      </c>
      <c r="CE53" s="868"/>
      <c r="CF53" s="868"/>
      <c r="CG53" s="868"/>
      <c r="CH53" s="868"/>
      <c r="CI53" s="868"/>
      <c r="CJ53" s="868"/>
      <c r="CK53" s="868"/>
      <c r="CL53" s="868"/>
      <c r="CM53" s="868"/>
      <c r="CN53" s="868"/>
      <c r="CO53" s="869"/>
      <c r="CP53" s="1193">
        <f>CP54+CP55-CP56+CP57-CP58</f>
        <v>0</v>
      </c>
      <c r="CQ53" s="1332">
        <f>CQ54+CQ55-CQ56+CQ57-CQ58</f>
        <v>0</v>
      </c>
      <c r="CR53" s="868"/>
      <c r="CS53" s="868"/>
      <c r="CT53" s="868"/>
      <c r="CU53" s="868"/>
      <c r="CV53" s="868"/>
      <c r="CW53" s="868"/>
      <c r="CX53" s="868"/>
      <c r="CY53" s="868"/>
      <c r="CZ53" s="868"/>
      <c r="DA53" s="868"/>
      <c r="DB53" s="869"/>
      <c r="DC53" s="1193">
        <f>DC54+DC55-DC56+DC57-DC58</f>
        <v>0</v>
      </c>
      <c r="DD53" s="1332">
        <f>DD54+DD55-DD56+DD57-DD58</f>
        <v>0</v>
      </c>
      <c r="DE53" s="868"/>
      <c r="DF53" s="868"/>
      <c r="DG53" s="868"/>
      <c r="DH53" s="868"/>
      <c r="DI53" s="868"/>
      <c r="DJ53" s="868"/>
      <c r="DK53" s="868"/>
      <c r="DL53" s="868"/>
      <c r="DM53" s="868"/>
      <c r="DN53" s="868"/>
      <c r="DO53" s="869"/>
      <c r="DP53" s="1193">
        <f>DP54+DP55-DP56+DP57-DP58</f>
        <v>0</v>
      </c>
    </row>
    <row r="54" spans="1:120" ht="15" hidden="1" customHeight="1">
      <c r="A54" s="626"/>
      <c r="B54" s="678" t="s">
        <v>439</v>
      </c>
      <c r="C54" s="679"/>
      <c r="D54" s="680">
        <f t="shared" ref="D54:I54" si="122">C53</f>
        <v>44548751</v>
      </c>
      <c r="E54" s="622">
        <f t="shared" si="122"/>
        <v>44675329</v>
      </c>
      <c r="F54" s="622">
        <f t="shared" si="122"/>
        <v>44793508</v>
      </c>
      <c r="G54" s="622">
        <f t="shared" si="122"/>
        <v>44924331</v>
      </c>
      <c r="H54" s="622">
        <f t="shared" si="122"/>
        <v>45050945</v>
      </c>
      <c r="I54" s="622">
        <f t="shared" si="122"/>
        <v>45181768</v>
      </c>
      <c r="J54" s="622">
        <f>I53</f>
        <v>45308361</v>
      </c>
      <c r="K54" s="622">
        <f>J53</f>
        <v>45439183</v>
      </c>
      <c r="L54" s="622">
        <f>K53</f>
        <v>45570027</v>
      </c>
      <c r="M54" s="622">
        <f>L53</f>
        <v>45696643</v>
      </c>
      <c r="N54" s="622">
        <f>M53</f>
        <v>45827465</v>
      </c>
      <c r="O54" s="681"/>
      <c r="P54" s="682">
        <f>D54</f>
        <v>44548751</v>
      </c>
      <c r="Q54" s="680">
        <f t="shared" ref="Q54:V54" si="123">P53</f>
        <v>46082730</v>
      </c>
      <c r="R54" s="622">
        <f t="shared" si="123"/>
        <v>17070552</v>
      </c>
      <c r="S54" s="622">
        <f t="shared" si="123"/>
        <v>17109783</v>
      </c>
      <c r="T54" s="622">
        <f t="shared" si="123"/>
        <v>17153231</v>
      </c>
      <c r="U54" s="622">
        <f t="shared" si="123"/>
        <v>17195267</v>
      </c>
      <c r="V54" s="623">
        <f t="shared" si="123"/>
        <v>17238697</v>
      </c>
      <c r="W54" s="622"/>
      <c r="X54" s="622"/>
      <c r="Y54" s="622"/>
      <c r="Z54" s="622"/>
      <c r="AA54" s="622"/>
      <c r="AB54" s="681"/>
      <c r="AC54" s="683">
        <f>Q54</f>
        <v>46082730</v>
      </c>
      <c r="AD54" s="873">
        <f t="shared" ref="AD54:AI54" si="124">AC53</f>
        <v>0</v>
      </c>
      <c r="AE54" s="872">
        <f t="shared" si="124"/>
        <v>0</v>
      </c>
      <c r="AF54" s="872">
        <f t="shared" si="124"/>
        <v>0</v>
      </c>
      <c r="AG54" s="872">
        <f t="shared" si="124"/>
        <v>0</v>
      </c>
      <c r="AH54" s="872">
        <f t="shared" si="124"/>
        <v>0</v>
      </c>
      <c r="AI54" s="839">
        <f t="shared" si="124"/>
        <v>0</v>
      </c>
      <c r="AJ54" s="872"/>
      <c r="AK54" s="872"/>
      <c r="AL54" s="872"/>
      <c r="AM54" s="872"/>
      <c r="AN54" s="872"/>
      <c r="AO54" s="871"/>
      <c r="AP54" s="884">
        <f>AD54</f>
        <v>0</v>
      </c>
      <c r="AQ54" s="891">
        <f t="shared" ref="AQ54:AV54" si="125">AP53</f>
        <v>0</v>
      </c>
      <c r="AR54" s="892">
        <f t="shared" si="125"/>
        <v>0</v>
      </c>
      <c r="AS54" s="892">
        <f t="shared" si="125"/>
        <v>0</v>
      </c>
      <c r="AT54" s="892">
        <f t="shared" si="125"/>
        <v>0</v>
      </c>
      <c r="AU54" s="892">
        <f t="shared" si="125"/>
        <v>0</v>
      </c>
      <c r="AV54" s="899">
        <f t="shared" si="125"/>
        <v>0</v>
      </c>
      <c r="AW54" s="907"/>
      <c r="AX54" s="907"/>
      <c r="AY54" s="914"/>
      <c r="AZ54" s="1002"/>
      <c r="BA54" s="1002"/>
      <c r="BB54" s="1003"/>
      <c r="BC54" s="884">
        <f>AQ54</f>
        <v>0</v>
      </c>
      <c r="BD54" s="1015">
        <f>BC53</f>
        <v>0</v>
      </c>
      <c r="BE54" s="1002"/>
      <c r="BF54" s="1025"/>
      <c r="BG54" s="1039"/>
      <c r="BH54" s="1039"/>
      <c r="BI54" s="1043"/>
      <c r="BJ54" s="1163"/>
      <c r="BK54" s="1163"/>
      <c r="BL54" s="1163"/>
      <c r="BM54" s="1163"/>
      <c r="BN54" s="1163"/>
      <c r="BO54" s="1175"/>
      <c r="BP54" s="884">
        <f>BD54</f>
        <v>0</v>
      </c>
      <c r="BQ54" s="1224">
        <f>BP53</f>
        <v>0</v>
      </c>
      <c r="BR54" s="1225"/>
      <c r="BS54" s="1225"/>
      <c r="BT54" s="1225"/>
      <c r="BU54" s="1225"/>
      <c r="BV54" s="1231"/>
      <c r="BW54" s="1225"/>
      <c r="BX54" s="1225"/>
      <c r="BY54" s="1225"/>
      <c r="BZ54" s="1163"/>
      <c r="CA54" s="1163"/>
      <c r="CB54" s="1175"/>
      <c r="CC54" s="1195">
        <f>BQ54</f>
        <v>0</v>
      </c>
      <c r="CD54" s="1293">
        <f>CC53</f>
        <v>0</v>
      </c>
      <c r="CE54" s="1295"/>
      <c r="CF54" s="1295"/>
      <c r="CG54" s="1334"/>
      <c r="CH54" s="1334"/>
      <c r="CI54" s="1334"/>
      <c r="CJ54" s="1334"/>
      <c r="CK54" s="1334"/>
      <c r="CL54" s="1334"/>
      <c r="CM54" s="1369"/>
      <c r="CN54" s="1369"/>
      <c r="CO54" s="1370"/>
      <c r="CP54" s="1294">
        <f>CD54</f>
        <v>0</v>
      </c>
      <c r="CQ54" s="1392">
        <f>CP53</f>
        <v>0</v>
      </c>
      <c r="CR54" s="1394"/>
      <c r="CS54" s="1394"/>
      <c r="CT54" s="1394"/>
      <c r="CU54" s="1394"/>
      <c r="CV54" s="1394"/>
      <c r="CW54" s="1394"/>
      <c r="CX54" s="1394"/>
      <c r="CY54" s="1394"/>
      <c r="CZ54" s="1432"/>
      <c r="DA54" s="1432"/>
      <c r="DB54" s="1433"/>
      <c r="DC54" s="1393">
        <f>CQ54</f>
        <v>0</v>
      </c>
      <c r="DD54" s="1451">
        <f>DC53</f>
        <v>0</v>
      </c>
      <c r="DE54" s="1453"/>
      <c r="DF54" s="1453"/>
      <c r="DG54" s="1453"/>
      <c r="DH54" s="1453"/>
      <c r="DI54" s="1453"/>
      <c r="DJ54" s="1453"/>
      <c r="DK54" s="1453"/>
      <c r="DL54" s="1453"/>
      <c r="DM54" s="1453"/>
      <c r="DN54" s="1453"/>
      <c r="DO54" s="1454"/>
      <c r="DP54" s="1452">
        <f>DD54</f>
        <v>0</v>
      </c>
    </row>
    <row r="55" spans="1:120" ht="15" hidden="1" customHeight="1">
      <c r="A55" s="626"/>
      <c r="B55" s="678" t="s">
        <v>440</v>
      </c>
      <c r="C55" s="679">
        <v>44527671</v>
      </c>
      <c r="D55" s="680"/>
      <c r="E55" s="622"/>
      <c r="F55" s="622"/>
      <c r="G55" s="622"/>
      <c r="H55" s="622"/>
      <c r="I55" s="622"/>
      <c r="J55" s="622"/>
      <c r="K55" s="622"/>
      <c r="L55" s="622"/>
      <c r="M55" s="622"/>
      <c r="N55" s="622"/>
      <c r="O55" s="681"/>
      <c r="P55" s="682">
        <f>SUM(D55:O55)</f>
        <v>0</v>
      </c>
      <c r="Q55" s="680"/>
      <c r="R55" s="622"/>
      <c r="S55" s="622"/>
      <c r="T55" s="622"/>
      <c r="U55" s="622"/>
      <c r="V55" s="623"/>
      <c r="W55" s="622"/>
      <c r="X55" s="622"/>
      <c r="Y55" s="622"/>
      <c r="Z55" s="622"/>
      <c r="AA55" s="622"/>
      <c r="AB55" s="681"/>
      <c r="AC55" s="683">
        <f>SUM(Q55:AB55)</f>
        <v>0</v>
      </c>
      <c r="AD55" s="873"/>
      <c r="AE55" s="872"/>
      <c r="AF55" s="872"/>
      <c r="AG55" s="872"/>
      <c r="AH55" s="872"/>
      <c r="AI55" s="839"/>
      <c r="AJ55" s="872"/>
      <c r="AK55" s="872"/>
      <c r="AL55" s="872"/>
      <c r="AM55" s="872"/>
      <c r="AN55" s="872"/>
      <c r="AO55" s="871"/>
      <c r="AP55" s="884">
        <f>SUM(AD55:AO55)</f>
        <v>0</v>
      </c>
      <c r="AQ55" s="891"/>
      <c r="AR55" s="892"/>
      <c r="AS55" s="892"/>
      <c r="AT55" s="892"/>
      <c r="AU55" s="892"/>
      <c r="AV55" s="899"/>
      <c r="AW55" s="907"/>
      <c r="AX55" s="907"/>
      <c r="AY55" s="914"/>
      <c r="AZ55" s="1002"/>
      <c r="BA55" s="1002"/>
      <c r="BB55" s="1003"/>
      <c r="BC55" s="884">
        <f>SUM(AQ55:BB55)</f>
        <v>0</v>
      </c>
      <c r="BD55" s="1015"/>
      <c r="BE55" s="1002"/>
      <c r="BF55" s="1025"/>
      <c r="BG55" s="1039"/>
      <c r="BH55" s="1039"/>
      <c r="BI55" s="1043"/>
      <c r="BJ55" s="1163"/>
      <c r="BK55" s="1163"/>
      <c r="BL55" s="1163"/>
      <c r="BM55" s="1163"/>
      <c r="BN55" s="1163"/>
      <c r="BO55" s="1175"/>
      <c r="BP55" s="884">
        <f>SUM(BD55:BO55)</f>
        <v>0</v>
      </c>
      <c r="BQ55" s="1224"/>
      <c r="BR55" s="1225"/>
      <c r="BS55" s="1225"/>
      <c r="BT55" s="1225"/>
      <c r="BU55" s="1225"/>
      <c r="BV55" s="1231"/>
      <c r="BW55" s="1225"/>
      <c r="BX55" s="1225"/>
      <c r="BY55" s="1225"/>
      <c r="BZ55" s="1163"/>
      <c r="CA55" s="1163"/>
      <c r="CB55" s="1175"/>
      <c r="CC55" s="1195">
        <f>SUM(BQ55:CB55)</f>
        <v>0</v>
      </c>
      <c r="CD55" s="1293"/>
      <c r="CE55" s="1295"/>
      <c r="CF55" s="1295"/>
      <c r="CG55" s="1334"/>
      <c r="CH55" s="1334"/>
      <c r="CI55" s="1334"/>
      <c r="CJ55" s="1334"/>
      <c r="CK55" s="1334"/>
      <c r="CL55" s="1334"/>
      <c r="CM55" s="1369"/>
      <c r="CN55" s="1369"/>
      <c r="CO55" s="1370"/>
      <c r="CP55" s="1294">
        <f>SUM(CD55:CO55)</f>
        <v>0</v>
      </c>
      <c r="CQ55" s="1392"/>
      <c r="CR55" s="1394"/>
      <c r="CS55" s="1394"/>
      <c r="CT55" s="1394"/>
      <c r="CU55" s="1394"/>
      <c r="CV55" s="1394"/>
      <c r="CW55" s="1394"/>
      <c r="CX55" s="1394"/>
      <c r="CY55" s="1394"/>
      <c r="CZ55" s="1432"/>
      <c r="DA55" s="1432"/>
      <c r="DB55" s="1433"/>
      <c r="DC55" s="1393">
        <f>SUM(CQ55:DB55)</f>
        <v>0</v>
      </c>
      <c r="DD55" s="1451"/>
      <c r="DE55" s="1453"/>
      <c r="DF55" s="1453"/>
      <c r="DG55" s="1453"/>
      <c r="DH55" s="1453"/>
      <c r="DI55" s="1453"/>
      <c r="DJ55" s="1453"/>
      <c r="DK55" s="1453"/>
      <c r="DL55" s="1453"/>
      <c r="DM55" s="1453"/>
      <c r="DN55" s="1453"/>
      <c r="DO55" s="1454"/>
      <c r="DP55" s="1452">
        <f>SUM(DD55:DO55)</f>
        <v>0</v>
      </c>
    </row>
    <row r="56" spans="1:120" ht="15" hidden="1" customHeight="1">
      <c r="A56" s="626"/>
      <c r="B56" s="678" t="s">
        <v>441</v>
      </c>
      <c r="C56" s="679"/>
      <c r="D56" s="680"/>
      <c r="E56" s="622"/>
      <c r="F56" s="622"/>
      <c r="G56" s="622"/>
      <c r="H56" s="622"/>
      <c r="I56" s="622"/>
      <c r="J56" s="622"/>
      <c r="K56" s="622"/>
      <c r="L56" s="622"/>
      <c r="M56" s="622"/>
      <c r="N56" s="622"/>
      <c r="O56" s="681"/>
      <c r="P56" s="682">
        <f>SUM(D56:O56)</f>
        <v>0</v>
      </c>
      <c r="Q56" s="680">
        <v>28862654</v>
      </c>
      <c r="R56" s="622"/>
      <c r="S56" s="622"/>
      <c r="T56" s="622"/>
      <c r="U56" s="622"/>
      <c r="V56" s="623">
        <v>17131611</v>
      </c>
      <c r="W56" s="622"/>
      <c r="X56" s="622"/>
      <c r="Y56" s="622"/>
      <c r="Z56" s="622"/>
      <c r="AA56" s="622"/>
      <c r="AB56" s="681"/>
      <c r="AC56" s="683">
        <f>SUM(Q56:AB56)</f>
        <v>45994265</v>
      </c>
      <c r="AD56" s="873"/>
      <c r="AE56" s="872"/>
      <c r="AF56" s="872"/>
      <c r="AG56" s="872"/>
      <c r="AH56" s="872"/>
      <c r="AI56" s="839"/>
      <c r="AJ56" s="872"/>
      <c r="AK56" s="872"/>
      <c r="AL56" s="872"/>
      <c r="AM56" s="872"/>
      <c r="AN56" s="872"/>
      <c r="AO56" s="871"/>
      <c r="AP56" s="884">
        <f>SUM(AD56:AO56)</f>
        <v>0</v>
      </c>
      <c r="AQ56" s="891"/>
      <c r="AR56" s="892"/>
      <c r="AS56" s="892"/>
      <c r="AT56" s="892"/>
      <c r="AU56" s="892"/>
      <c r="AV56" s="899"/>
      <c r="AW56" s="907"/>
      <c r="AX56" s="907"/>
      <c r="AY56" s="914"/>
      <c r="AZ56" s="1002"/>
      <c r="BA56" s="1002"/>
      <c r="BB56" s="1003"/>
      <c r="BC56" s="884">
        <f>SUM(AQ56:BB56)</f>
        <v>0</v>
      </c>
      <c r="BD56" s="1015"/>
      <c r="BE56" s="1002"/>
      <c r="BF56" s="1025"/>
      <c r="BG56" s="1039"/>
      <c r="BH56" s="1039"/>
      <c r="BI56" s="1043"/>
      <c r="BJ56" s="1163"/>
      <c r="BK56" s="1163"/>
      <c r="BL56" s="1163"/>
      <c r="BM56" s="1163"/>
      <c r="BN56" s="1163"/>
      <c r="BO56" s="1175"/>
      <c r="BP56" s="884">
        <f>SUM(BD56:BO56)</f>
        <v>0</v>
      </c>
      <c r="BQ56" s="1224"/>
      <c r="BR56" s="1225"/>
      <c r="BS56" s="1225"/>
      <c r="BT56" s="1225"/>
      <c r="BU56" s="1225"/>
      <c r="BV56" s="1231"/>
      <c r="BW56" s="1225"/>
      <c r="BX56" s="1225"/>
      <c r="BY56" s="1225"/>
      <c r="BZ56" s="1163"/>
      <c r="CA56" s="1163"/>
      <c r="CB56" s="1175"/>
      <c r="CC56" s="1195">
        <f>SUM(BQ56:CB56)</f>
        <v>0</v>
      </c>
      <c r="CD56" s="1293"/>
      <c r="CE56" s="1295"/>
      <c r="CF56" s="1295"/>
      <c r="CG56" s="1334"/>
      <c r="CH56" s="1334"/>
      <c r="CI56" s="1334"/>
      <c r="CJ56" s="1334"/>
      <c r="CK56" s="1334"/>
      <c r="CL56" s="1334"/>
      <c r="CM56" s="1369"/>
      <c r="CN56" s="1369"/>
      <c r="CO56" s="1370"/>
      <c r="CP56" s="1294">
        <f>SUM(CD56:CO56)</f>
        <v>0</v>
      </c>
      <c r="CQ56" s="1392"/>
      <c r="CR56" s="1394"/>
      <c r="CS56" s="1394"/>
      <c r="CT56" s="1394"/>
      <c r="CU56" s="1394"/>
      <c r="CV56" s="1394"/>
      <c r="CW56" s="1394"/>
      <c r="CX56" s="1394"/>
      <c r="CY56" s="1394"/>
      <c r="CZ56" s="1432"/>
      <c r="DA56" s="1432"/>
      <c r="DB56" s="1433"/>
      <c r="DC56" s="1393">
        <f>SUM(CQ56:DB56)</f>
        <v>0</v>
      </c>
      <c r="DD56" s="1451"/>
      <c r="DE56" s="1453"/>
      <c r="DF56" s="1453"/>
      <c r="DG56" s="1453"/>
      <c r="DH56" s="1453"/>
      <c r="DI56" s="1453"/>
      <c r="DJ56" s="1453"/>
      <c r="DK56" s="1453"/>
      <c r="DL56" s="1453"/>
      <c r="DM56" s="1453"/>
      <c r="DN56" s="1453"/>
      <c r="DO56" s="1454"/>
      <c r="DP56" s="1452">
        <f>SUM(DD56:DO56)</f>
        <v>0</v>
      </c>
    </row>
    <row r="57" spans="1:120" ht="15" hidden="1" customHeight="1">
      <c r="A57" s="626"/>
      <c r="B57" s="678" t="s">
        <v>442</v>
      </c>
      <c r="C57" s="679">
        <v>21080</v>
      </c>
      <c r="D57" s="680">
        <v>130824</v>
      </c>
      <c r="E57" s="622">
        <v>118179</v>
      </c>
      <c r="F57" s="622">
        <v>130823</v>
      </c>
      <c r="G57" s="622">
        <v>126614</v>
      </c>
      <c r="H57" s="622">
        <v>130823</v>
      </c>
      <c r="I57" s="622">
        <v>126593</v>
      </c>
      <c r="J57" s="622">
        <v>130822</v>
      </c>
      <c r="K57" s="622">
        <v>130844</v>
      </c>
      <c r="L57" s="622">
        <v>126616</v>
      </c>
      <c r="M57" s="622">
        <v>130822</v>
      </c>
      <c r="N57" s="622">
        <v>126615</v>
      </c>
      <c r="O57" s="681">
        <v>128650</v>
      </c>
      <c r="P57" s="682">
        <f>SUM(D57:O57)</f>
        <v>1538225</v>
      </c>
      <c r="Q57" s="680">
        <v>112770</v>
      </c>
      <c r="R57" s="622">
        <v>39231</v>
      </c>
      <c r="S57" s="622">
        <v>43448</v>
      </c>
      <c r="T57" s="622">
        <v>42036</v>
      </c>
      <c r="U57" s="622">
        <v>43430</v>
      </c>
      <c r="V57" s="623">
        <v>-49294</v>
      </c>
      <c r="W57" s="622"/>
      <c r="X57" s="622"/>
      <c r="Y57" s="622"/>
      <c r="Z57" s="622"/>
      <c r="AA57" s="622"/>
      <c r="AB57" s="681"/>
      <c r="AC57" s="683">
        <f>SUM(Q57:AB57)</f>
        <v>231621</v>
      </c>
      <c r="AD57" s="873"/>
      <c r="AE57" s="872"/>
      <c r="AF57" s="872"/>
      <c r="AG57" s="872"/>
      <c r="AH57" s="872"/>
      <c r="AI57" s="839"/>
      <c r="AJ57" s="872"/>
      <c r="AK57" s="872"/>
      <c r="AL57" s="872"/>
      <c r="AM57" s="872"/>
      <c r="AN57" s="872"/>
      <c r="AO57" s="871"/>
      <c r="AP57" s="884">
        <f>SUM(AD57:AO57)</f>
        <v>0</v>
      </c>
      <c r="AQ57" s="891"/>
      <c r="AR57" s="892"/>
      <c r="AS57" s="892"/>
      <c r="AT57" s="892"/>
      <c r="AU57" s="892"/>
      <c r="AV57" s="899"/>
      <c r="AW57" s="907"/>
      <c r="AX57" s="907"/>
      <c r="AY57" s="914"/>
      <c r="AZ57" s="1002"/>
      <c r="BA57" s="1002"/>
      <c r="BB57" s="1003"/>
      <c r="BC57" s="884">
        <f>SUM(AQ57:BB57)</f>
        <v>0</v>
      </c>
      <c r="BD57" s="1015"/>
      <c r="BE57" s="1002"/>
      <c r="BF57" s="1025"/>
      <c r="BG57" s="1039"/>
      <c r="BH57" s="1039"/>
      <c r="BI57" s="1043"/>
      <c r="BJ57" s="1163"/>
      <c r="BK57" s="1163"/>
      <c r="BL57" s="1163"/>
      <c r="BM57" s="1163"/>
      <c r="BN57" s="1163"/>
      <c r="BO57" s="1175"/>
      <c r="BP57" s="884">
        <f>SUM(BD57:BO57)</f>
        <v>0</v>
      </c>
      <c r="BQ57" s="1224"/>
      <c r="BR57" s="1225"/>
      <c r="BS57" s="1225"/>
      <c r="BT57" s="1225"/>
      <c r="BU57" s="1225"/>
      <c r="BV57" s="1231"/>
      <c r="BW57" s="1225"/>
      <c r="BX57" s="1225"/>
      <c r="BY57" s="1225"/>
      <c r="BZ57" s="1163"/>
      <c r="CA57" s="1163"/>
      <c r="CB57" s="1175"/>
      <c r="CC57" s="1195">
        <f>SUM(BQ57:CB57)</f>
        <v>0</v>
      </c>
      <c r="CD57" s="1293"/>
      <c r="CE57" s="1295"/>
      <c r="CF57" s="1295"/>
      <c r="CG57" s="1334"/>
      <c r="CH57" s="1334"/>
      <c r="CI57" s="1334"/>
      <c r="CJ57" s="1334"/>
      <c r="CK57" s="1334"/>
      <c r="CL57" s="1334"/>
      <c r="CM57" s="1369"/>
      <c r="CN57" s="1369"/>
      <c r="CO57" s="1370"/>
      <c r="CP57" s="1294">
        <f>SUM(CD57:CO57)</f>
        <v>0</v>
      </c>
      <c r="CQ57" s="1392"/>
      <c r="CR57" s="1394"/>
      <c r="CS57" s="1394"/>
      <c r="CT57" s="1394"/>
      <c r="CU57" s="1394"/>
      <c r="CV57" s="1394"/>
      <c r="CW57" s="1394"/>
      <c r="CX57" s="1394"/>
      <c r="CY57" s="1394"/>
      <c r="CZ57" s="1432"/>
      <c r="DA57" s="1432"/>
      <c r="DB57" s="1433"/>
      <c r="DC57" s="1393">
        <f>SUM(CQ57:DB57)</f>
        <v>0</v>
      </c>
      <c r="DD57" s="1451"/>
      <c r="DE57" s="1453"/>
      <c r="DF57" s="1453"/>
      <c r="DG57" s="1453"/>
      <c r="DH57" s="1453"/>
      <c r="DI57" s="1453"/>
      <c r="DJ57" s="1453"/>
      <c r="DK57" s="1453"/>
      <c r="DL57" s="1453"/>
      <c r="DM57" s="1453"/>
      <c r="DN57" s="1453"/>
      <c r="DO57" s="1454"/>
      <c r="DP57" s="1452">
        <f>SUM(DD57:DO57)</f>
        <v>0</v>
      </c>
    </row>
    <row r="58" spans="1:120" ht="15" hidden="1" customHeight="1">
      <c r="A58" s="626"/>
      <c r="B58" s="684" t="s">
        <v>443</v>
      </c>
      <c r="C58" s="685"/>
      <c r="D58" s="686">
        <v>4246</v>
      </c>
      <c r="E58" s="687"/>
      <c r="F58" s="687"/>
      <c r="G58" s="687"/>
      <c r="H58" s="687"/>
      <c r="I58" s="687"/>
      <c r="J58" s="687"/>
      <c r="K58" s="687"/>
      <c r="L58" s="687"/>
      <c r="M58" s="687"/>
      <c r="N58" s="687"/>
      <c r="O58" s="688"/>
      <c r="P58" s="689">
        <f>SUM(D58:O58)</f>
        <v>4246</v>
      </c>
      <c r="Q58" s="686">
        <v>262294</v>
      </c>
      <c r="R58" s="687"/>
      <c r="S58" s="687"/>
      <c r="T58" s="687"/>
      <c r="U58" s="687"/>
      <c r="V58" s="705">
        <v>57792</v>
      </c>
      <c r="W58" s="687"/>
      <c r="X58" s="687"/>
      <c r="Y58" s="687"/>
      <c r="Z58" s="687"/>
      <c r="AA58" s="687"/>
      <c r="AB58" s="688"/>
      <c r="AC58" s="690">
        <f>SUM(Q58:AB58)</f>
        <v>320086</v>
      </c>
      <c r="AD58" s="830"/>
      <c r="AE58" s="831"/>
      <c r="AF58" s="831"/>
      <c r="AG58" s="831"/>
      <c r="AH58" s="831"/>
      <c r="AI58" s="862"/>
      <c r="AJ58" s="831"/>
      <c r="AK58" s="831"/>
      <c r="AL58" s="831"/>
      <c r="AM58" s="831"/>
      <c r="AN58" s="831"/>
      <c r="AO58" s="832"/>
      <c r="AP58" s="883">
        <f>SUM(AD58:AO58)</f>
        <v>0</v>
      </c>
      <c r="AQ58" s="893"/>
      <c r="AR58" s="894"/>
      <c r="AS58" s="894"/>
      <c r="AT58" s="894"/>
      <c r="AU58" s="894"/>
      <c r="AV58" s="900"/>
      <c r="AW58" s="908"/>
      <c r="AX58" s="908"/>
      <c r="AY58" s="915"/>
      <c r="AZ58" s="1004"/>
      <c r="BA58" s="1004"/>
      <c r="BB58" s="1005"/>
      <c r="BC58" s="883">
        <f>SUM(AQ58:BB58)</f>
        <v>0</v>
      </c>
      <c r="BD58" s="1016"/>
      <c r="BE58" s="1004"/>
      <c r="BF58" s="1026"/>
      <c r="BG58" s="1040"/>
      <c r="BH58" s="1040"/>
      <c r="BI58" s="1044"/>
      <c r="BJ58" s="1164"/>
      <c r="BK58" s="1164"/>
      <c r="BL58" s="1164"/>
      <c r="BM58" s="1176"/>
      <c r="BN58" s="1176"/>
      <c r="BO58" s="1177"/>
      <c r="BP58" s="883">
        <f>SUM(BD58:BO58)</f>
        <v>0</v>
      </c>
      <c r="BQ58" s="1232"/>
      <c r="BR58" s="1230"/>
      <c r="BS58" s="1230"/>
      <c r="BT58" s="1230"/>
      <c r="BU58" s="1230"/>
      <c r="BV58" s="1233"/>
      <c r="BW58" s="1230"/>
      <c r="BX58" s="1230"/>
      <c r="BY58" s="1230"/>
      <c r="BZ58" s="1176"/>
      <c r="CA58" s="1176"/>
      <c r="CB58" s="1177"/>
      <c r="CC58" s="1196">
        <f>SUM(BQ58:CB58)</f>
        <v>0</v>
      </c>
      <c r="CD58" s="1226"/>
      <c r="CE58" s="1296"/>
      <c r="CF58" s="1296"/>
      <c r="CG58" s="1335"/>
      <c r="CH58" s="1335"/>
      <c r="CI58" s="1335"/>
      <c r="CJ58" s="1335"/>
      <c r="CK58" s="1335"/>
      <c r="CL58" s="1335"/>
      <c r="CM58" s="1371"/>
      <c r="CN58" s="1371"/>
      <c r="CO58" s="1372"/>
      <c r="CP58" s="1297">
        <f>SUM(CD58:CO58)</f>
        <v>0</v>
      </c>
      <c r="CQ58" s="1395"/>
      <c r="CR58" s="1396"/>
      <c r="CS58" s="1396"/>
      <c r="CT58" s="1396"/>
      <c r="CU58" s="1396"/>
      <c r="CV58" s="1396"/>
      <c r="CW58" s="1396"/>
      <c r="CX58" s="1396"/>
      <c r="CY58" s="1396"/>
      <c r="CZ58" s="1434"/>
      <c r="DA58" s="1434"/>
      <c r="DB58" s="1435"/>
      <c r="DC58" s="1397">
        <f>SUM(CQ58:DB58)</f>
        <v>0</v>
      </c>
      <c r="DD58" s="1395"/>
      <c r="DE58" s="1455"/>
      <c r="DF58" s="1455"/>
      <c r="DG58" s="1455"/>
      <c r="DH58" s="1455"/>
      <c r="DI58" s="1455"/>
      <c r="DJ58" s="1455"/>
      <c r="DK58" s="1455"/>
      <c r="DL58" s="1455"/>
      <c r="DM58" s="1455"/>
      <c r="DN58" s="1455"/>
      <c r="DO58" s="1456"/>
      <c r="DP58" s="1457">
        <f>SUM(DD58:DO58)</f>
        <v>0</v>
      </c>
    </row>
    <row r="59" spans="1:120" s="30" customFormat="1" ht="15" customHeight="1">
      <c r="A59" s="2174" t="s">
        <v>115</v>
      </c>
      <c r="B59" s="2175"/>
      <c r="C59" s="707">
        <f>SUM(C60:C64)</f>
        <v>47760154</v>
      </c>
      <c r="D59" s="694">
        <f>D60+D61-D62+D63-D64</f>
        <v>47900390</v>
      </c>
      <c r="E59" s="457">
        <f t="shared" ref="E59:O59" si="126">E60+E61-E62+E63-E64</f>
        <v>48027046</v>
      </c>
      <c r="F59" s="457">
        <f t="shared" si="126"/>
        <v>48167282</v>
      </c>
      <c r="G59" s="457">
        <f t="shared" si="126"/>
        <v>48303006</v>
      </c>
      <c r="H59" s="457">
        <f t="shared" si="126"/>
        <v>48443243</v>
      </c>
      <c r="I59" s="457">
        <f t="shared" si="126"/>
        <v>48578970</v>
      </c>
      <c r="J59" s="457">
        <f t="shared" si="126"/>
        <v>48719203</v>
      </c>
      <c r="K59" s="457">
        <f t="shared" si="126"/>
        <v>48859463</v>
      </c>
      <c r="L59" s="457">
        <f t="shared" si="126"/>
        <v>48995189</v>
      </c>
      <c r="M59" s="457">
        <f t="shared" si="126"/>
        <v>49135424</v>
      </c>
      <c r="N59" s="457">
        <f t="shared" si="126"/>
        <v>49271125</v>
      </c>
      <c r="O59" s="695">
        <f t="shared" si="126"/>
        <v>27194894</v>
      </c>
      <c r="P59" s="696">
        <f>P60+P61-P62+P63-P64</f>
        <v>76466019</v>
      </c>
      <c r="Q59" s="694">
        <f>Q60+Q61-Q62+Q63-Q64</f>
        <v>76642150</v>
      </c>
      <c r="R59" s="457">
        <f t="shared" ref="R59:AB59" si="127">R60+R61-R62+R63-R64</f>
        <v>28809411</v>
      </c>
      <c r="S59" s="457">
        <f t="shared" si="127"/>
        <v>28882241</v>
      </c>
      <c r="T59" s="457">
        <f t="shared" si="127"/>
        <v>28952715</v>
      </c>
      <c r="U59" s="457">
        <f t="shared" si="127"/>
        <v>29025521</v>
      </c>
      <c r="V59" s="457">
        <f t="shared" si="127"/>
        <v>29095950</v>
      </c>
      <c r="W59" s="457">
        <f t="shared" si="127"/>
        <v>29168720</v>
      </c>
      <c r="X59" s="457">
        <f t="shared" si="127"/>
        <v>29241482</v>
      </c>
      <c r="Y59" s="457">
        <f t="shared" si="127"/>
        <v>29311909</v>
      </c>
      <c r="Z59" s="457">
        <f t="shared" si="127"/>
        <v>29384666</v>
      </c>
      <c r="AA59" s="457">
        <f t="shared" si="127"/>
        <v>29455095</v>
      </c>
      <c r="AB59" s="695">
        <f t="shared" si="127"/>
        <v>29338880</v>
      </c>
      <c r="AC59" s="697">
        <f>AC60+AC61-AC62+AC63-AC64</f>
        <v>29338880</v>
      </c>
      <c r="AD59" s="833">
        <f>AD60+AD61-AD62+AD63-AD64</f>
        <v>29401391</v>
      </c>
      <c r="AE59" s="457">
        <f t="shared" ref="AE59:AO59" si="128">AE60+AE61-AE62+AE63-AE64</f>
        <v>29459905</v>
      </c>
      <c r="AF59" s="457">
        <f t="shared" si="128"/>
        <v>29522431</v>
      </c>
      <c r="AG59" s="457">
        <f t="shared" si="128"/>
        <v>29582933</v>
      </c>
      <c r="AH59" s="457">
        <f t="shared" si="128"/>
        <v>29645472</v>
      </c>
      <c r="AI59" s="457">
        <f t="shared" si="128"/>
        <v>29705972</v>
      </c>
      <c r="AJ59" s="457">
        <f t="shared" si="128"/>
        <v>29768508</v>
      </c>
      <c r="AK59" s="457">
        <f t="shared" si="128"/>
        <v>29831030</v>
      </c>
      <c r="AL59" s="457">
        <f t="shared" si="128"/>
        <v>29891545</v>
      </c>
      <c r="AM59" s="457">
        <f t="shared" si="128"/>
        <v>29954067</v>
      </c>
      <c r="AN59" s="457">
        <f t="shared" si="128"/>
        <v>30014579</v>
      </c>
      <c r="AO59" s="834">
        <f t="shared" si="128"/>
        <v>39911362</v>
      </c>
      <c r="AP59" s="697">
        <f t="shared" ref="AP59:BB59" si="129">AP60+AP61-AP62+AP63-AP64</f>
        <v>39911362</v>
      </c>
      <c r="AQ59" s="895">
        <f t="shared" si="129"/>
        <v>39981348</v>
      </c>
      <c r="AR59" s="896">
        <f t="shared" si="129"/>
        <v>40045627</v>
      </c>
      <c r="AS59" s="896">
        <f t="shared" si="129"/>
        <v>40116768</v>
      </c>
      <c r="AT59" s="896">
        <f t="shared" si="129"/>
        <v>40185636</v>
      </c>
      <c r="AU59" s="896">
        <f t="shared" si="129"/>
        <v>40256817</v>
      </c>
      <c r="AV59" s="896">
        <f t="shared" si="129"/>
        <v>40325685</v>
      </c>
      <c r="AW59" s="896">
        <f t="shared" si="129"/>
        <v>40396826</v>
      </c>
      <c r="AX59" s="896">
        <f t="shared" si="129"/>
        <v>40468008</v>
      </c>
      <c r="AY59" s="896">
        <f t="shared" si="129"/>
        <v>40536877</v>
      </c>
      <c r="AZ59" s="896">
        <f t="shared" si="129"/>
        <v>40608019</v>
      </c>
      <c r="BA59" s="896">
        <f t="shared" si="129"/>
        <v>40676886</v>
      </c>
      <c r="BB59" s="1006">
        <f t="shared" si="129"/>
        <v>40629773</v>
      </c>
      <c r="BC59" s="697">
        <f t="shared" ref="BC59:BI59" si="130">BC60+BC61-BC62+BC63-BC64</f>
        <v>40629773</v>
      </c>
      <c r="BD59" s="1017">
        <f t="shared" si="130"/>
        <v>40613454</v>
      </c>
      <c r="BE59" s="1017">
        <f t="shared" si="130"/>
        <v>40680613</v>
      </c>
      <c r="BF59" s="1017">
        <f t="shared" si="130"/>
        <v>40754945</v>
      </c>
      <c r="BG59" s="1041">
        <f t="shared" si="130"/>
        <v>40826885</v>
      </c>
      <c r="BH59" s="1041">
        <f t="shared" si="130"/>
        <v>40901258</v>
      </c>
      <c r="BI59" s="1041">
        <f t="shared" si="130"/>
        <v>40973199</v>
      </c>
      <c r="BJ59" s="1165">
        <f t="shared" ref="BJ59:BX59" si="131">BJ60+BJ61-BJ62+BJ63-BJ64</f>
        <v>41047571</v>
      </c>
      <c r="BK59" s="1165">
        <f t="shared" si="131"/>
        <v>41121903</v>
      </c>
      <c r="BL59" s="1165">
        <f t="shared" si="131"/>
        <v>41193885</v>
      </c>
      <c r="BM59" s="1165">
        <f t="shared" si="131"/>
        <v>41268217</v>
      </c>
      <c r="BN59" s="1165">
        <f t="shared" si="131"/>
        <v>41340198</v>
      </c>
      <c r="BO59" s="1165">
        <f t="shared" si="131"/>
        <v>41415805</v>
      </c>
      <c r="BP59" s="697">
        <f t="shared" si="131"/>
        <v>41415805</v>
      </c>
      <c r="BQ59" s="1165">
        <f t="shared" si="131"/>
        <v>41285919</v>
      </c>
      <c r="BR59" s="1165">
        <f t="shared" si="131"/>
        <v>41361744</v>
      </c>
      <c r="BS59" s="1165">
        <f t="shared" si="131"/>
        <v>41445674</v>
      </c>
      <c r="BT59" s="1165">
        <f t="shared" si="131"/>
        <v>41526929</v>
      </c>
      <c r="BU59" s="1165">
        <f t="shared" si="131"/>
        <v>41610862</v>
      </c>
      <c r="BV59" s="1165">
        <f t="shared" si="131"/>
        <v>41692116</v>
      </c>
      <c r="BW59" s="1165">
        <f t="shared" si="131"/>
        <v>41776048</v>
      </c>
      <c r="BX59" s="1165">
        <f t="shared" si="131"/>
        <v>41860022</v>
      </c>
      <c r="BY59" s="1165">
        <f t="shared" ref="BY59:CK59" si="132">BY60+BY61-BY62+BY63-BY64</f>
        <v>41941238</v>
      </c>
      <c r="BZ59" s="1272">
        <f t="shared" si="132"/>
        <v>42025212</v>
      </c>
      <c r="CA59" s="1272">
        <f t="shared" si="132"/>
        <v>42106427</v>
      </c>
      <c r="CB59" s="1272">
        <f t="shared" si="132"/>
        <v>42190303</v>
      </c>
      <c r="CC59" s="1197">
        <f t="shared" si="132"/>
        <v>42190303</v>
      </c>
      <c r="CD59" s="1165">
        <f t="shared" si="132"/>
        <v>42073955</v>
      </c>
      <c r="CE59" s="1165">
        <f t="shared" si="132"/>
        <v>42150036</v>
      </c>
      <c r="CF59" s="1165">
        <f t="shared" si="132"/>
        <v>42236934</v>
      </c>
      <c r="CG59" s="1336">
        <f t="shared" si="132"/>
        <v>42315740</v>
      </c>
      <c r="CH59" s="1336">
        <f t="shared" si="132"/>
        <v>42399953</v>
      </c>
      <c r="CI59" s="1336">
        <f t="shared" si="132"/>
        <v>42484164</v>
      </c>
      <c r="CJ59" s="1336">
        <f t="shared" si="132"/>
        <v>42568336</v>
      </c>
      <c r="CK59" s="1336">
        <f t="shared" si="132"/>
        <v>42652550</v>
      </c>
      <c r="CL59" s="1336">
        <f>CL60+CL61-CL62+CL63-CL64</f>
        <v>42731355</v>
      </c>
      <c r="CM59" s="1336">
        <f>CM60+CM61-CM62+CM63-CM64</f>
        <v>42815567</v>
      </c>
      <c r="CN59" s="1336">
        <f>CN60+CN61-CN62+CN63-CN64</f>
        <v>42899737</v>
      </c>
      <c r="CO59" s="1336">
        <f>CO60+CO61-CO62+CO63-CO64</f>
        <v>42801131</v>
      </c>
      <c r="CP59" s="1298">
        <f>CP60+CP61-CP62+CP63-CP64</f>
        <v>42801131</v>
      </c>
      <c r="CQ59" s="1336">
        <f t="shared" ref="CQ59:CX59" si="133">CQ60+CQ61-CQ62+CQ63-CQ64</f>
        <v>27811586</v>
      </c>
      <c r="CR59" s="1336">
        <f t="shared" si="133"/>
        <v>27841480</v>
      </c>
      <c r="CS59" s="1336">
        <f t="shared" si="133"/>
        <v>27885893</v>
      </c>
      <c r="CT59" s="1336">
        <f t="shared" si="133"/>
        <v>27928860</v>
      </c>
      <c r="CU59" s="1336">
        <f t="shared" si="133"/>
        <v>27973272</v>
      </c>
      <c r="CV59" s="1336">
        <f t="shared" si="133"/>
        <v>28016239</v>
      </c>
      <c r="CW59" s="1336">
        <f t="shared" si="133"/>
        <v>28060651</v>
      </c>
      <c r="CX59" s="1336">
        <f t="shared" si="133"/>
        <v>28105036</v>
      </c>
      <c r="CY59" s="1336">
        <f>CY60+CY61-CY62+CY63-CY64</f>
        <v>28148030</v>
      </c>
      <c r="CZ59" s="1336">
        <f>CZ60+CZ61-CZ62+CZ63-CZ64</f>
        <v>28192415</v>
      </c>
      <c r="DA59" s="1336">
        <f>DA60+DA61-DA62+DA63-DA64</f>
        <v>28235409</v>
      </c>
      <c r="DB59" s="1336">
        <f>DB60+DB61-DB62+DB63-DB64</f>
        <v>28166499</v>
      </c>
      <c r="DC59" s="1298">
        <f>DC60+DC61-DC62+DC63-DC64</f>
        <v>28166499</v>
      </c>
      <c r="DD59" s="1336">
        <f t="shared" ref="DD59:DK59" si="134">DD60+DD61-DD62+DD63-DD64</f>
        <v>28210724</v>
      </c>
      <c r="DE59" s="1336">
        <f t="shared" si="134"/>
        <v>28242477</v>
      </c>
      <c r="DF59" s="1336">
        <f t="shared" si="134"/>
        <v>28271268</v>
      </c>
      <c r="DG59" s="1336">
        <f t="shared" si="134"/>
        <v>28302081</v>
      </c>
      <c r="DH59" s="1336">
        <f t="shared" si="134"/>
        <v>28337558</v>
      </c>
      <c r="DI59" s="1336">
        <f t="shared" si="134"/>
        <v>28375802</v>
      </c>
      <c r="DJ59" s="1336">
        <f t="shared" si="134"/>
        <v>28375802</v>
      </c>
      <c r="DK59" s="1336">
        <f t="shared" si="134"/>
        <v>28375802</v>
      </c>
      <c r="DL59" s="1336">
        <f>DL60+DL61-DL62+DL63-DL64</f>
        <v>28375802</v>
      </c>
      <c r="DM59" s="1336">
        <f>DM60+DM61-DM62+DM63-DM64</f>
        <v>28375802</v>
      </c>
      <c r="DN59" s="1336">
        <f>DN60+DN61-DN62+DN63-DN64</f>
        <v>28375802</v>
      </c>
      <c r="DO59" s="1336">
        <f>DO60+DO61-DO62+DO63-DO64</f>
        <v>28375802</v>
      </c>
      <c r="DP59" s="1298">
        <f>DP60+DP61-DP62+DP63-DP64</f>
        <v>28375802</v>
      </c>
    </row>
    <row r="60" spans="1:120" ht="15" customHeight="1">
      <c r="A60" s="626"/>
      <c r="B60" s="678" t="s">
        <v>444</v>
      </c>
      <c r="C60" s="679"/>
      <c r="D60" s="680">
        <f t="shared" ref="D60:I60" si="135">C59</f>
        <v>47760154</v>
      </c>
      <c r="E60" s="622">
        <f t="shared" si="135"/>
        <v>47900390</v>
      </c>
      <c r="F60" s="622">
        <f t="shared" si="135"/>
        <v>48027046</v>
      </c>
      <c r="G60" s="622">
        <f t="shared" si="135"/>
        <v>48167282</v>
      </c>
      <c r="H60" s="622">
        <f t="shared" si="135"/>
        <v>48303006</v>
      </c>
      <c r="I60" s="622">
        <f t="shared" si="135"/>
        <v>48443243</v>
      </c>
      <c r="J60" s="622">
        <f>I59</f>
        <v>48578970</v>
      </c>
      <c r="K60" s="622">
        <f>J59</f>
        <v>48719203</v>
      </c>
      <c r="L60" s="622">
        <f>K59</f>
        <v>48859463</v>
      </c>
      <c r="M60" s="622">
        <f>L59</f>
        <v>48995189</v>
      </c>
      <c r="N60" s="622">
        <f>M59</f>
        <v>49135424</v>
      </c>
      <c r="O60" s="681"/>
      <c r="P60" s="682">
        <f>D60</f>
        <v>47760154</v>
      </c>
      <c r="Q60" s="680">
        <f t="shared" ref="Q60:AB60" si="136">P59</f>
        <v>76466019</v>
      </c>
      <c r="R60" s="622">
        <f t="shared" si="136"/>
        <v>76642150</v>
      </c>
      <c r="S60" s="622">
        <f t="shared" si="136"/>
        <v>28809411</v>
      </c>
      <c r="T60" s="622">
        <f t="shared" si="136"/>
        <v>28882241</v>
      </c>
      <c r="U60" s="622">
        <f t="shared" si="136"/>
        <v>28952715</v>
      </c>
      <c r="V60" s="622">
        <f t="shared" si="136"/>
        <v>29025521</v>
      </c>
      <c r="W60" s="622">
        <f t="shared" si="136"/>
        <v>29095950</v>
      </c>
      <c r="X60" s="622">
        <f t="shared" si="136"/>
        <v>29168720</v>
      </c>
      <c r="Y60" s="622">
        <f t="shared" si="136"/>
        <v>29241482</v>
      </c>
      <c r="Z60" s="622">
        <f t="shared" si="136"/>
        <v>29311909</v>
      </c>
      <c r="AA60" s="622">
        <f t="shared" si="136"/>
        <v>29384666</v>
      </c>
      <c r="AB60" s="681">
        <f t="shared" si="136"/>
        <v>29455095</v>
      </c>
      <c r="AC60" s="683">
        <f>Q60</f>
        <v>76466019</v>
      </c>
      <c r="AD60" s="873">
        <f t="shared" ref="AD60:AO60" si="137">AC59</f>
        <v>29338880</v>
      </c>
      <c r="AE60" s="872">
        <f t="shared" si="137"/>
        <v>29401391</v>
      </c>
      <c r="AF60" s="872">
        <f t="shared" si="137"/>
        <v>29459905</v>
      </c>
      <c r="AG60" s="872">
        <f t="shared" si="137"/>
        <v>29522431</v>
      </c>
      <c r="AH60" s="872">
        <f t="shared" si="137"/>
        <v>29582933</v>
      </c>
      <c r="AI60" s="872">
        <f t="shared" si="137"/>
        <v>29645472</v>
      </c>
      <c r="AJ60" s="872">
        <f t="shared" si="137"/>
        <v>29705972</v>
      </c>
      <c r="AK60" s="872">
        <f t="shared" si="137"/>
        <v>29768508</v>
      </c>
      <c r="AL60" s="872">
        <f t="shared" si="137"/>
        <v>29831030</v>
      </c>
      <c r="AM60" s="872">
        <f t="shared" si="137"/>
        <v>29891545</v>
      </c>
      <c r="AN60" s="872">
        <f t="shared" si="137"/>
        <v>29954067</v>
      </c>
      <c r="AO60" s="871">
        <f t="shared" si="137"/>
        <v>30014579</v>
      </c>
      <c r="AP60" s="884">
        <f>AD60</f>
        <v>29338880</v>
      </c>
      <c r="AQ60" s="891">
        <f t="shared" ref="AQ60:AX60" si="138">AP59</f>
        <v>39911362</v>
      </c>
      <c r="AR60" s="892">
        <f t="shared" si="138"/>
        <v>39981348</v>
      </c>
      <c r="AS60" s="892">
        <f t="shared" si="138"/>
        <v>40045627</v>
      </c>
      <c r="AT60" s="892">
        <f t="shared" si="138"/>
        <v>40116768</v>
      </c>
      <c r="AU60" s="892">
        <f t="shared" si="138"/>
        <v>40185636</v>
      </c>
      <c r="AV60" s="892">
        <f t="shared" si="138"/>
        <v>40256817</v>
      </c>
      <c r="AW60" s="907">
        <f t="shared" si="138"/>
        <v>40325685</v>
      </c>
      <c r="AX60" s="907">
        <f t="shared" si="138"/>
        <v>40396826</v>
      </c>
      <c r="AY60" s="914">
        <f>AX59</f>
        <v>40468008</v>
      </c>
      <c r="AZ60" s="1002">
        <f>AY59</f>
        <v>40536877</v>
      </c>
      <c r="BA60" s="1002">
        <f>AZ59</f>
        <v>40608019</v>
      </c>
      <c r="BB60" s="1003">
        <f>BA59</f>
        <v>40676886</v>
      </c>
      <c r="BC60" s="884">
        <f>AQ60</f>
        <v>39911362</v>
      </c>
      <c r="BD60" s="1015">
        <f t="shared" ref="BD60:BJ60" si="139">BC59</f>
        <v>40629773</v>
      </c>
      <c r="BE60" s="1015">
        <f t="shared" si="139"/>
        <v>40613454</v>
      </c>
      <c r="BF60" s="1024">
        <f t="shared" si="139"/>
        <v>40680613</v>
      </c>
      <c r="BG60" s="1038">
        <f t="shared" si="139"/>
        <v>40754945</v>
      </c>
      <c r="BH60" s="1038">
        <f t="shared" si="139"/>
        <v>40826885</v>
      </c>
      <c r="BI60" s="1038">
        <f t="shared" si="139"/>
        <v>40901258</v>
      </c>
      <c r="BJ60" s="1162">
        <f t="shared" si="139"/>
        <v>40973199</v>
      </c>
      <c r="BK60" s="1162">
        <f>BJ59</f>
        <v>41047571</v>
      </c>
      <c r="BL60" s="1162">
        <f>BK59</f>
        <v>41121903</v>
      </c>
      <c r="BM60" s="1162">
        <f>BL59</f>
        <v>41193885</v>
      </c>
      <c r="BN60" s="1162">
        <f>BM59</f>
        <v>41268217</v>
      </c>
      <c r="BO60" s="1162">
        <f>BN59</f>
        <v>41340198</v>
      </c>
      <c r="BP60" s="884">
        <f>BD60</f>
        <v>40629773</v>
      </c>
      <c r="BQ60" s="1224">
        <f t="shared" ref="BQ60:CB60" si="140">BP59</f>
        <v>41415805</v>
      </c>
      <c r="BR60" s="1224">
        <f t="shared" si="140"/>
        <v>41285919</v>
      </c>
      <c r="BS60" s="1224">
        <f t="shared" si="140"/>
        <v>41361744</v>
      </c>
      <c r="BT60" s="1224">
        <f t="shared" si="140"/>
        <v>41445674</v>
      </c>
      <c r="BU60" s="1224">
        <f t="shared" si="140"/>
        <v>41526929</v>
      </c>
      <c r="BV60" s="1224">
        <f t="shared" si="140"/>
        <v>41610862</v>
      </c>
      <c r="BW60" s="1224">
        <f t="shared" si="140"/>
        <v>41692116</v>
      </c>
      <c r="BX60" s="1224">
        <f t="shared" si="140"/>
        <v>41776048</v>
      </c>
      <c r="BY60" s="1224">
        <f t="shared" si="140"/>
        <v>41860022</v>
      </c>
      <c r="BZ60" s="1194">
        <f t="shared" si="140"/>
        <v>41941238</v>
      </c>
      <c r="CA60" s="1194">
        <f t="shared" si="140"/>
        <v>42025212</v>
      </c>
      <c r="CB60" s="1194">
        <f t="shared" si="140"/>
        <v>42106427</v>
      </c>
      <c r="CC60" s="1195">
        <f>BQ60</f>
        <v>41415805</v>
      </c>
      <c r="CD60" s="1293">
        <f>CC59</f>
        <v>42190303</v>
      </c>
      <c r="CE60" s="1293">
        <f>CD59</f>
        <v>42073955</v>
      </c>
      <c r="CF60" s="1293">
        <f>CE59</f>
        <v>42150036</v>
      </c>
      <c r="CG60" s="1333">
        <f t="shared" ref="CG60:CO60" si="141">CF59</f>
        <v>42236934</v>
      </c>
      <c r="CH60" s="1333">
        <f t="shared" si="141"/>
        <v>42315740</v>
      </c>
      <c r="CI60" s="1333">
        <f t="shared" si="141"/>
        <v>42399953</v>
      </c>
      <c r="CJ60" s="1333">
        <f t="shared" si="141"/>
        <v>42484164</v>
      </c>
      <c r="CK60" s="1333">
        <f t="shared" si="141"/>
        <v>42568336</v>
      </c>
      <c r="CL60" s="1333">
        <f t="shared" si="141"/>
        <v>42652550</v>
      </c>
      <c r="CM60" s="1368">
        <f t="shared" si="141"/>
        <v>42731355</v>
      </c>
      <c r="CN60" s="1368">
        <f t="shared" si="141"/>
        <v>42815567</v>
      </c>
      <c r="CO60" s="1368">
        <f t="shared" si="141"/>
        <v>42899737</v>
      </c>
      <c r="CP60" s="1294">
        <f>CD60</f>
        <v>42190303</v>
      </c>
      <c r="CQ60" s="1392">
        <f t="shared" ref="CQ60:DB60" si="142">CP59</f>
        <v>42801131</v>
      </c>
      <c r="CR60" s="1392">
        <f t="shared" si="142"/>
        <v>27811586</v>
      </c>
      <c r="CS60" s="1392">
        <f t="shared" si="142"/>
        <v>27841480</v>
      </c>
      <c r="CT60" s="1392">
        <f t="shared" si="142"/>
        <v>27885893</v>
      </c>
      <c r="CU60" s="1392">
        <f t="shared" si="142"/>
        <v>27928860</v>
      </c>
      <c r="CV60" s="1392">
        <f t="shared" si="142"/>
        <v>27973272</v>
      </c>
      <c r="CW60" s="1392">
        <f t="shared" si="142"/>
        <v>28016239</v>
      </c>
      <c r="CX60" s="1392">
        <f t="shared" si="142"/>
        <v>28060651</v>
      </c>
      <c r="CY60" s="1392">
        <f t="shared" si="142"/>
        <v>28105036</v>
      </c>
      <c r="CZ60" s="1431">
        <f t="shared" si="142"/>
        <v>28148030</v>
      </c>
      <c r="DA60" s="1431">
        <f t="shared" si="142"/>
        <v>28192415</v>
      </c>
      <c r="DB60" s="1431">
        <f t="shared" si="142"/>
        <v>28235409</v>
      </c>
      <c r="DC60" s="1393">
        <f>CQ60</f>
        <v>42801131</v>
      </c>
      <c r="DD60" s="1451">
        <f t="shared" ref="DD60:DO60" si="143">DC59</f>
        <v>28166499</v>
      </c>
      <c r="DE60" s="1451">
        <f t="shared" si="143"/>
        <v>28210724</v>
      </c>
      <c r="DF60" s="1451">
        <f t="shared" si="143"/>
        <v>28242477</v>
      </c>
      <c r="DG60" s="1451">
        <f t="shared" si="143"/>
        <v>28271268</v>
      </c>
      <c r="DH60" s="1451">
        <f t="shared" si="143"/>
        <v>28302081</v>
      </c>
      <c r="DI60" s="1451">
        <f t="shared" si="143"/>
        <v>28337558</v>
      </c>
      <c r="DJ60" s="1451">
        <f t="shared" si="143"/>
        <v>28375802</v>
      </c>
      <c r="DK60" s="1451">
        <f t="shared" si="143"/>
        <v>28375802</v>
      </c>
      <c r="DL60" s="1451">
        <f t="shared" si="143"/>
        <v>28375802</v>
      </c>
      <c r="DM60" s="1451">
        <f t="shared" si="143"/>
        <v>28375802</v>
      </c>
      <c r="DN60" s="1451">
        <f t="shared" si="143"/>
        <v>28375802</v>
      </c>
      <c r="DO60" s="1451">
        <f t="shared" si="143"/>
        <v>28375802</v>
      </c>
      <c r="DP60" s="1452">
        <f>DD60</f>
        <v>28166499</v>
      </c>
    </row>
    <row r="61" spans="1:120" ht="15" customHeight="1">
      <c r="A61" s="626"/>
      <c r="B61" s="678" t="s">
        <v>440</v>
      </c>
      <c r="C61" s="679">
        <v>47733024</v>
      </c>
      <c r="D61" s="680"/>
      <c r="E61" s="622"/>
      <c r="F61" s="622"/>
      <c r="G61" s="622"/>
      <c r="H61" s="622"/>
      <c r="I61" s="622"/>
      <c r="J61" s="622"/>
      <c r="K61" s="622"/>
      <c r="L61" s="622"/>
      <c r="M61" s="622"/>
      <c r="N61" s="622"/>
      <c r="O61" s="681">
        <v>27335365</v>
      </c>
      <c r="P61" s="682">
        <f>SUM(D61:O61)</f>
        <v>27335365</v>
      </c>
      <c r="Q61" s="680"/>
      <c r="R61" s="622"/>
      <c r="S61" s="622"/>
      <c r="T61" s="622"/>
      <c r="U61" s="622"/>
      <c r="V61" s="622"/>
      <c r="W61" s="622"/>
      <c r="X61" s="622"/>
      <c r="Y61" s="622"/>
      <c r="Z61" s="622"/>
      <c r="AA61" s="622"/>
      <c r="AB61" s="681"/>
      <c r="AC61" s="683">
        <f>SUM(Q61:AB61)</f>
        <v>0</v>
      </c>
      <c r="AD61" s="873"/>
      <c r="AE61" s="872"/>
      <c r="AF61" s="872"/>
      <c r="AG61" s="872"/>
      <c r="AH61" s="872"/>
      <c r="AI61" s="872"/>
      <c r="AJ61" s="872"/>
      <c r="AK61" s="872"/>
      <c r="AL61" s="872"/>
      <c r="AM61" s="872"/>
      <c r="AN61" s="872"/>
      <c r="AO61" s="871">
        <v>10000000</v>
      </c>
      <c r="AP61" s="884">
        <f>SUM(AD61:AO61)</f>
        <v>10000000</v>
      </c>
      <c r="AQ61" s="891"/>
      <c r="AR61" s="892"/>
      <c r="AS61" s="892"/>
      <c r="AT61" s="892"/>
      <c r="AU61" s="892"/>
      <c r="AV61" s="892"/>
      <c r="AW61" s="907"/>
      <c r="AX61" s="907"/>
      <c r="AY61" s="914"/>
      <c r="AZ61" s="1002"/>
      <c r="BA61" s="1002"/>
      <c r="BB61" s="1003"/>
      <c r="BC61" s="884">
        <f>SUM(AQ61:BB61)</f>
        <v>0</v>
      </c>
      <c r="BD61" s="1015"/>
      <c r="BE61" s="1002"/>
      <c r="BF61" s="1025"/>
      <c r="BG61" s="1039"/>
      <c r="BH61" s="1039"/>
      <c r="BI61" s="1039"/>
      <c r="BJ61" s="1163"/>
      <c r="BK61" s="1163"/>
      <c r="BL61" s="1163"/>
      <c r="BM61" s="1163"/>
      <c r="BN61" s="1163"/>
      <c r="BO61" s="1175"/>
      <c r="BP61" s="884">
        <f>SUM(BD61:BO61)</f>
        <v>0</v>
      </c>
      <c r="BQ61" s="1224"/>
      <c r="BR61" s="1225"/>
      <c r="BS61" s="1225"/>
      <c r="BT61" s="1225"/>
      <c r="BU61" s="1225"/>
      <c r="BV61" s="1225"/>
      <c r="BW61" s="1225"/>
      <c r="BX61" s="1225"/>
      <c r="BY61" s="1225"/>
      <c r="BZ61" s="1163"/>
      <c r="CA61" s="1163"/>
      <c r="CB61" s="1175"/>
      <c r="CC61" s="1195">
        <f>SUM(BQ61:CB61)</f>
        <v>0</v>
      </c>
      <c r="CD61" s="1293"/>
      <c r="CE61" s="1295"/>
      <c r="CF61" s="1295"/>
      <c r="CG61" s="1334"/>
      <c r="CH61" s="1334"/>
      <c r="CI61" s="1334"/>
      <c r="CJ61" s="1334"/>
      <c r="CK61" s="1334"/>
      <c r="CL61" s="1334"/>
      <c r="CM61" s="1369"/>
      <c r="CN61" s="1369"/>
      <c r="CO61" s="1369"/>
      <c r="CP61" s="1294">
        <f>SUM(CD61:CO61)</f>
        <v>0</v>
      </c>
      <c r="CQ61" s="1392"/>
      <c r="CR61" s="1394"/>
      <c r="CS61" s="1394"/>
      <c r="CT61" s="1394"/>
      <c r="CU61" s="1394"/>
      <c r="CV61" s="1394"/>
      <c r="CW61" s="1394"/>
      <c r="CX61" s="1394"/>
      <c r="CY61" s="1394"/>
      <c r="CZ61" s="1432"/>
      <c r="DA61" s="1432"/>
      <c r="DB61" s="1432"/>
      <c r="DC61" s="1393">
        <f>SUM(CQ61:DB61)</f>
        <v>0</v>
      </c>
      <c r="DD61" s="1451"/>
      <c r="DE61" s="1453"/>
      <c r="DF61" s="1453"/>
      <c r="DG61" s="1453"/>
      <c r="DH61" s="1453"/>
      <c r="DI61" s="1453"/>
      <c r="DJ61" s="1453"/>
      <c r="DK61" s="1453"/>
      <c r="DL61" s="1453"/>
      <c r="DM61" s="1453"/>
      <c r="DN61" s="1453"/>
      <c r="DO61" s="1453"/>
      <c r="DP61" s="1452">
        <f>SUM(DD61:DO61)</f>
        <v>0</v>
      </c>
    </row>
    <row r="62" spans="1:120" ht="15" customHeight="1">
      <c r="A62" s="626"/>
      <c r="B62" s="678" t="s">
        <v>441</v>
      </c>
      <c r="C62" s="679"/>
      <c r="D62" s="680"/>
      <c r="E62" s="622"/>
      <c r="F62" s="622"/>
      <c r="G62" s="622"/>
      <c r="H62" s="622"/>
      <c r="I62" s="622"/>
      <c r="J62" s="622"/>
      <c r="K62" s="622"/>
      <c r="L62" s="622"/>
      <c r="M62" s="622"/>
      <c r="N62" s="622"/>
      <c r="O62" s="681"/>
      <c r="P62" s="682">
        <f>SUM(D62:O62)</f>
        <v>0</v>
      </c>
      <c r="Q62" s="680"/>
      <c r="R62" s="622">
        <v>47895924</v>
      </c>
      <c r="S62" s="622"/>
      <c r="T62" s="622"/>
      <c r="U62" s="622"/>
      <c r="V62" s="622"/>
      <c r="W62" s="622"/>
      <c r="X62" s="622"/>
      <c r="Y62" s="622"/>
      <c r="Z62" s="622"/>
      <c r="AA62" s="622"/>
      <c r="AB62" s="681"/>
      <c r="AC62" s="683">
        <f>SUM(Q62:AB62)</f>
        <v>47895924</v>
      </c>
      <c r="AD62" s="873"/>
      <c r="AE62" s="872"/>
      <c r="AF62" s="872"/>
      <c r="AG62" s="872"/>
      <c r="AH62" s="872"/>
      <c r="AI62" s="872"/>
      <c r="AJ62" s="872"/>
      <c r="AK62" s="872"/>
      <c r="AL62" s="872"/>
      <c r="AM62" s="872"/>
      <c r="AN62" s="872"/>
      <c r="AO62" s="871"/>
      <c r="AP62" s="884">
        <f>SUM(AD62:AO62)</f>
        <v>0</v>
      </c>
      <c r="AQ62" s="891"/>
      <c r="AR62" s="892"/>
      <c r="AS62" s="892"/>
      <c r="AT62" s="892"/>
      <c r="AU62" s="892"/>
      <c r="AV62" s="892"/>
      <c r="AW62" s="907"/>
      <c r="AX62" s="907"/>
      <c r="AY62" s="914"/>
      <c r="AZ62" s="1002"/>
      <c r="BA62" s="1002"/>
      <c r="BB62" s="1003"/>
      <c r="BC62" s="884">
        <f>SUM(AQ62:BB62)</f>
        <v>0</v>
      </c>
      <c r="BD62" s="1015"/>
      <c r="BE62" s="1002"/>
      <c r="BF62" s="1025"/>
      <c r="BG62" s="1039"/>
      <c r="BH62" s="1039"/>
      <c r="BI62" s="1039"/>
      <c r="BJ62" s="1163"/>
      <c r="BK62" s="1163"/>
      <c r="BL62" s="1163"/>
      <c r="BM62" s="1163"/>
      <c r="BN62" s="1163"/>
      <c r="BO62" s="1175"/>
      <c r="BP62" s="884">
        <f>SUM(BD62:BO62)</f>
        <v>0</v>
      </c>
      <c r="BQ62" s="1224"/>
      <c r="BR62" s="1225"/>
      <c r="BS62" s="1225"/>
      <c r="BT62" s="1225"/>
      <c r="BU62" s="1225"/>
      <c r="BV62" s="1225"/>
      <c r="BW62" s="1225"/>
      <c r="BX62" s="1225"/>
      <c r="BY62" s="1225"/>
      <c r="BZ62" s="1163"/>
      <c r="CA62" s="1163"/>
      <c r="CB62" s="1175"/>
      <c r="CC62" s="1195">
        <f>SUM(BQ62:CB62)</f>
        <v>0</v>
      </c>
      <c r="CD62" s="1293"/>
      <c r="CE62" s="1295"/>
      <c r="CF62" s="1295"/>
      <c r="CG62" s="1334"/>
      <c r="CH62" s="1334"/>
      <c r="CI62" s="1334"/>
      <c r="CJ62" s="1334"/>
      <c r="CK62" s="1334"/>
      <c r="CL62" s="1334"/>
      <c r="CM62" s="1369"/>
      <c r="CN62" s="1369"/>
      <c r="CO62" s="1370"/>
      <c r="CP62" s="1294">
        <f>SUM(CD62:CO62)</f>
        <v>0</v>
      </c>
      <c r="CQ62" s="1392">
        <v>15000000</v>
      </c>
      <c r="CR62" s="1394"/>
      <c r="CS62" s="1394"/>
      <c r="CT62" s="1394"/>
      <c r="CU62" s="1394"/>
      <c r="CV62" s="1394"/>
      <c r="CW62" s="1394"/>
      <c r="CX62" s="1394"/>
      <c r="CY62" s="1394"/>
      <c r="CZ62" s="1432"/>
      <c r="DA62" s="1432"/>
      <c r="DB62" s="1433"/>
      <c r="DC62" s="1393">
        <f>SUM(CQ62:DB62)</f>
        <v>15000000</v>
      </c>
      <c r="DD62" s="1451"/>
      <c r="DE62" s="1453"/>
      <c r="DF62" s="1453"/>
      <c r="DG62" s="1453"/>
      <c r="DH62" s="1453"/>
      <c r="DI62" s="1453"/>
      <c r="DJ62" s="1453"/>
      <c r="DK62" s="1453"/>
      <c r="DL62" s="1453"/>
      <c r="DM62" s="1453"/>
      <c r="DN62" s="1453"/>
      <c r="DO62" s="1454"/>
      <c r="DP62" s="1452">
        <f>SUM(DD62:DO62)</f>
        <v>0</v>
      </c>
    </row>
    <row r="63" spans="1:120" ht="15" customHeight="1">
      <c r="A63" s="626"/>
      <c r="B63" s="678" t="s">
        <v>442</v>
      </c>
      <c r="C63" s="679">
        <v>27130</v>
      </c>
      <c r="D63" s="680">
        <v>140236</v>
      </c>
      <c r="E63" s="622">
        <v>126656</v>
      </c>
      <c r="F63" s="622">
        <v>140236</v>
      </c>
      <c r="G63" s="622">
        <v>135724</v>
      </c>
      <c r="H63" s="622">
        <v>140237</v>
      </c>
      <c r="I63" s="622">
        <v>135727</v>
      </c>
      <c r="J63" s="622">
        <v>140233</v>
      </c>
      <c r="K63" s="622">
        <v>140260</v>
      </c>
      <c r="L63" s="622">
        <v>135726</v>
      </c>
      <c r="M63" s="622">
        <v>140235</v>
      </c>
      <c r="N63" s="622">
        <v>135701</v>
      </c>
      <c r="O63" s="681">
        <v>141181</v>
      </c>
      <c r="P63" s="682">
        <f>SUM(D63:O63)</f>
        <v>1652152</v>
      </c>
      <c r="Q63" s="680">
        <v>176131</v>
      </c>
      <c r="R63" s="622">
        <v>63185</v>
      </c>
      <c r="S63" s="622">
        <v>72830</v>
      </c>
      <c r="T63" s="622">
        <v>70474</v>
      </c>
      <c r="U63" s="622">
        <v>72806</v>
      </c>
      <c r="V63" s="622">
        <v>70429</v>
      </c>
      <c r="W63" s="622">
        <v>72770</v>
      </c>
      <c r="X63" s="622">
        <v>72762</v>
      </c>
      <c r="Y63" s="622">
        <v>70427</v>
      </c>
      <c r="Z63" s="622">
        <v>72757</v>
      </c>
      <c r="AA63" s="622">
        <v>70429</v>
      </c>
      <c r="AB63" s="681">
        <v>70994</v>
      </c>
      <c r="AC63" s="683">
        <f>SUM(Q63:AB63)</f>
        <v>955994</v>
      </c>
      <c r="AD63" s="873">
        <v>62511</v>
      </c>
      <c r="AE63" s="872">
        <v>58514</v>
      </c>
      <c r="AF63" s="872">
        <v>62526</v>
      </c>
      <c r="AG63" s="872">
        <v>60502</v>
      </c>
      <c r="AH63" s="872">
        <v>62539</v>
      </c>
      <c r="AI63" s="872">
        <v>60500</v>
      </c>
      <c r="AJ63" s="872">
        <v>62536</v>
      </c>
      <c r="AK63" s="872">
        <v>62522</v>
      </c>
      <c r="AL63" s="872">
        <v>60515</v>
      </c>
      <c r="AM63" s="872">
        <v>62522</v>
      </c>
      <c r="AN63" s="872">
        <v>60512</v>
      </c>
      <c r="AO63" s="871">
        <v>60422</v>
      </c>
      <c r="AP63" s="884">
        <f>SUM(AD63:AO63)</f>
        <v>736121</v>
      </c>
      <c r="AQ63" s="891">
        <v>69986</v>
      </c>
      <c r="AR63" s="892">
        <v>64279</v>
      </c>
      <c r="AS63" s="892">
        <v>71141</v>
      </c>
      <c r="AT63" s="892">
        <v>68868</v>
      </c>
      <c r="AU63" s="892">
        <v>71181</v>
      </c>
      <c r="AV63" s="892">
        <v>68868</v>
      </c>
      <c r="AW63" s="907">
        <v>71141</v>
      </c>
      <c r="AX63" s="907">
        <v>71182</v>
      </c>
      <c r="AY63" s="914">
        <v>68869</v>
      </c>
      <c r="AZ63" s="1002">
        <v>71142</v>
      </c>
      <c r="BA63" s="1002">
        <v>68867</v>
      </c>
      <c r="BB63" s="1003">
        <v>72628</v>
      </c>
      <c r="BC63" s="884">
        <f>SUM(AQ63:BB63)</f>
        <v>838152</v>
      </c>
      <c r="BD63" s="1015">
        <v>74393</v>
      </c>
      <c r="BE63" s="1002">
        <v>67159</v>
      </c>
      <c r="BF63" s="1025">
        <v>74332</v>
      </c>
      <c r="BG63" s="1039">
        <v>71940</v>
      </c>
      <c r="BH63" s="1039">
        <v>74373</v>
      </c>
      <c r="BI63" s="1039">
        <f>218254-BG63-BH63</f>
        <v>71941</v>
      </c>
      <c r="BJ63" s="1163">
        <v>74372</v>
      </c>
      <c r="BK63" s="1163">
        <v>74332</v>
      </c>
      <c r="BL63" s="1163">
        <v>71982</v>
      </c>
      <c r="BM63" s="1163">
        <v>74332</v>
      </c>
      <c r="BN63" s="1163">
        <v>71981</v>
      </c>
      <c r="BO63" s="1175">
        <v>75607</v>
      </c>
      <c r="BP63" s="884">
        <f>SUM(BD63:BO63)</f>
        <v>876744</v>
      </c>
      <c r="BQ63" s="1224">
        <v>83960</v>
      </c>
      <c r="BR63" s="1225">
        <v>75825</v>
      </c>
      <c r="BS63" s="1225">
        <v>83930</v>
      </c>
      <c r="BT63" s="1225">
        <v>81255</v>
      </c>
      <c r="BU63" s="1225">
        <v>83933</v>
      </c>
      <c r="BV63" s="1225">
        <v>81254</v>
      </c>
      <c r="BW63" s="1225">
        <v>83932</v>
      </c>
      <c r="BX63" s="1225">
        <v>83974</v>
      </c>
      <c r="BY63" s="1225">
        <v>81216</v>
      </c>
      <c r="BZ63" s="1163">
        <v>83974</v>
      </c>
      <c r="CA63" s="1163">
        <v>81215</v>
      </c>
      <c r="CB63" s="1175">
        <v>83876</v>
      </c>
      <c r="CC63" s="1195">
        <f>SUM(BQ63:CB63)</f>
        <v>988344</v>
      </c>
      <c r="CD63" s="1293">
        <v>84208</v>
      </c>
      <c r="CE63" s="1295">
        <v>76081</v>
      </c>
      <c r="CF63" s="1295">
        <v>86898</v>
      </c>
      <c r="CG63" s="1334">
        <v>78806</v>
      </c>
      <c r="CH63" s="1334">
        <v>84213</v>
      </c>
      <c r="CI63" s="1334">
        <v>84211</v>
      </c>
      <c r="CJ63" s="1334">
        <v>84172</v>
      </c>
      <c r="CK63" s="1334">
        <v>84214</v>
      </c>
      <c r="CL63" s="1334">
        <v>78805</v>
      </c>
      <c r="CM63" s="1369">
        <v>84212</v>
      </c>
      <c r="CN63" s="1369">
        <v>84170</v>
      </c>
      <c r="CO63" s="1370">
        <v>68985</v>
      </c>
      <c r="CP63" s="1294">
        <f>SUM(CD63:CO63)</f>
        <v>978975</v>
      </c>
      <c r="CQ63" s="1392">
        <v>10455</v>
      </c>
      <c r="CR63" s="1394">
        <v>29894</v>
      </c>
      <c r="CS63" s="1394">
        <v>44413</v>
      </c>
      <c r="CT63" s="1394">
        <v>42967</v>
      </c>
      <c r="CU63" s="1394">
        <v>44412</v>
      </c>
      <c r="CV63" s="1394">
        <v>42967</v>
      </c>
      <c r="CW63" s="1394">
        <v>44412</v>
      </c>
      <c r="CX63" s="1394">
        <v>44385</v>
      </c>
      <c r="CY63" s="1394">
        <v>42994</v>
      </c>
      <c r="CZ63" s="1432">
        <v>44385</v>
      </c>
      <c r="DA63" s="1432">
        <v>42994</v>
      </c>
      <c r="DB63" s="1433">
        <v>44374</v>
      </c>
      <c r="DC63" s="1393">
        <f>SUM(CQ63:DB63)</f>
        <v>478652</v>
      </c>
      <c r="DD63" s="1451">
        <v>44225</v>
      </c>
      <c r="DE63" s="1453">
        <v>31753</v>
      </c>
      <c r="DF63" s="1453">
        <v>28791</v>
      </c>
      <c r="DG63" s="1453">
        <v>30813</v>
      </c>
      <c r="DH63" s="1453">
        <v>35477</v>
      </c>
      <c r="DI63" s="1453">
        <v>38244</v>
      </c>
      <c r="DJ63" s="1453"/>
      <c r="DK63" s="1453"/>
      <c r="DL63" s="1453"/>
      <c r="DM63" s="1453"/>
      <c r="DN63" s="1453"/>
      <c r="DO63" s="1454"/>
      <c r="DP63" s="1452">
        <f>SUM(DD63:DO63)</f>
        <v>209303</v>
      </c>
    </row>
    <row r="64" spans="1:120" ht="15" customHeight="1">
      <c r="A64" s="626"/>
      <c r="B64" s="684" t="s">
        <v>443</v>
      </c>
      <c r="C64" s="685"/>
      <c r="D64" s="686"/>
      <c r="E64" s="687"/>
      <c r="F64" s="687"/>
      <c r="G64" s="687"/>
      <c r="H64" s="687"/>
      <c r="I64" s="687"/>
      <c r="J64" s="687"/>
      <c r="K64" s="687"/>
      <c r="L64" s="687"/>
      <c r="M64" s="687"/>
      <c r="N64" s="687"/>
      <c r="O64" s="688">
        <v>281652</v>
      </c>
      <c r="P64" s="689">
        <f>SUM(D64:O64)</f>
        <v>281652</v>
      </c>
      <c r="Q64" s="686"/>
      <c r="R64" s="687"/>
      <c r="S64" s="687"/>
      <c r="T64" s="687"/>
      <c r="U64" s="687"/>
      <c r="V64" s="687"/>
      <c r="W64" s="687"/>
      <c r="X64" s="687"/>
      <c r="Y64" s="687"/>
      <c r="Z64" s="687"/>
      <c r="AA64" s="687"/>
      <c r="AB64" s="688">
        <v>187209</v>
      </c>
      <c r="AC64" s="690">
        <f>SUM(Q64:AB64)</f>
        <v>187209</v>
      </c>
      <c r="AD64" s="830"/>
      <c r="AE64" s="831"/>
      <c r="AF64" s="831"/>
      <c r="AG64" s="831"/>
      <c r="AH64" s="831"/>
      <c r="AI64" s="831"/>
      <c r="AJ64" s="831"/>
      <c r="AK64" s="831"/>
      <c r="AL64" s="831"/>
      <c r="AM64" s="831"/>
      <c r="AN64" s="831"/>
      <c r="AO64" s="832">
        <v>163639</v>
      </c>
      <c r="AP64" s="883">
        <f>SUM(AD64:AO64)</f>
        <v>163639</v>
      </c>
      <c r="AQ64" s="893"/>
      <c r="AR64" s="894"/>
      <c r="AS64" s="894"/>
      <c r="AT64" s="894"/>
      <c r="AU64" s="894"/>
      <c r="AV64" s="894"/>
      <c r="AW64" s="908"/>
      <c r="AX64" s="908"/>
      <c r="AY64" s="915"/>
      <c r="AZ64" s="1004"/>
      <c r="BA64" s="1004"/>
      <c r="BB64" s="1005">
        <v>119741</v>
      </c>
      <c r="BC64" s="883">
        <f>SUM(AQ64:BB64)</f>
        <v>119741</v>
      </c>
      <c r="BD64" s="1016">
        <v>90712</v>
      </c>
      <c r="BE64" s="1004"/>
      <c r="BF64" s="1026"/>
      <c r="BG64" s="1040"/>
      <c r="BH64" s="1040"/>
      <c r="BI64" s="1040"/>
      <c r="BJ64" s="1164"/>
      <c r="BK64" s="1164"/>
      <c r="BL64" s="1164"/>
      <c r="BM64" s="1176"/>
      <c r="BN64" s="1176"/>
      <c r="BO64" s="1177"/>
      <c r="BP64" s="883">
        <f>SUM(BD64:BO64)</f>
        <v>90712</v>
      </c>
      <c r="BQ64" s="1232">
        <v>213846</v>
      </c>
      <c r="BR64" s="1230"/>
      <c r="BS64" s="1230"/>
      <c r="BT64" s="1230"/>
      <c r="BU64" s="1230"/>
      <c r="BV64" s="1230"/>
      <c r="BW64" s="1230"/>
      <c r="BX64" s="1230"/>
      <c r="BY64" s="1230"/>
      <c r="BZ64" s="1176"/>
      <c r="CA64" s="1176"/>
      <c r="CB64" s="1177"/>
      <c r="CC64" s="1196">
        <f>SUM(BQ64:CB64)</f>
        <v>213846</v>
      </c>
      <c r="CD64" s="1226">
        <v>200556</v>
      </c>
      <c r="CE64" s="1296"/>
      <c r="CF64" s="1296"/>
      <c r="CG64" s="1335"/>
      <c r="CH64" s="1335"/>
      <c r="CI64" s="1335"/>
      <c r="CJ64" s="1335"/>
      <c r="CK64" s="1335"/>
      <c r="CL64" s="1335"/>
      <c r="CM64" s="1371"/>
      <c r="CN64" s="1371"/>
      <c r="CO64" s="1372">
        <v>167591</v>
      </c>
      <c r="CP64" s="1297">
        <f>SUM(CD64:CO64)</f>
        <v>368147</v>
      </c>
      <c r="CQ64" s="1395"/>
      <c r="CR64" s="1396"/>
      <c r="CS64" s="1396"/>
      <c r="CT64" s="1396"/>
      <c r="CU64" s="1396"/>
      <c r="CV64" s="1396"/>
      <c r="CW64" s="1396"/>
      <c r="CX64" s="1396"/>
      <c r="CY64" s="1396"/>
      <c r="CZ64" s="1434"/>
      <c r="DA64" s="1434"/>
      <c r="DB64" s="1435">
        <v>113284</v>
      </c>
      <c r="DC64" s="1397">
        <f>SUM(CQ64:DB64)</f>
        <v>113284</v>
      </c>
      <c r="DD64" s="1395"/>
      <c r="DE64" s="1455"/>
      <c r="DF64" s="1455"/>
      <c r="DG64" s="1455"/>
      <c r="DH64" s="1455"/>
      <c r="DI64" s="1455"/>
      <c r="DJ64" s="1455"/>
      <c r="DK64" s="1455"/>
      <c r="DL64" s="1455"/>
      <c r="DM64" s="1455"/>
      <c r="DN64" s="1455"/>
      <c r="DO64" s="1456"/>
      <c r="DP64" s="1457">
        <f>SUM(DD64:DO64)</f>
        <v>0</v>
      </c>
    </row>
    <row r="65" spans="1:120" s="30" customFormat="1" ht="15" customHeight="1">
      <c r="A65" s="2174" t="s">
        <v>445</v>
      </c>
      <c r="B65" s="2175"/>
      <c r="C65" s="707"/>
      <c r="D65" s="694">
        <f>D66+D67-D68+D69-D70</f>
        <v>0</v>
      </c>
      <c r="E65" s="457">
        <f t="shared" ref="E65:O65" si="144">E66+E67-E68+E69-E70</f>
        <v>0</v>
      </c>
      <c r="F65" s="457">
        <f t="shared" si="144"/>
        <v>0</v>
      </c>
      <c r="G65" s="457">
        <f t="shared" si="144"/>
        <v>0</v>
      </c>
      <c r="H65" s="457">
        <f t="shared" si="144"/>
        <v>0</v>
      </c>
      <c r="I65" s="457">
        <f t="shared" si="144"/>
        <v>0</v>
      </c>
      <c r="J65" s="457">
        <f t="shared" si="144"/>
        <v>0</v>
      </c>
      <c r="K65" s="457">
        <f t="shared" si="144"/>
        <v>0</v>
      </c>
      <c r="L65" s="457">
        <f t="shared" si="144"/>
        <v>0</v>
      </c>
      <c r="M65" s="457">
        <f t="shared" si="144"/>
        <v>0</v>
      </c>
      <c r="N65" s="457">
        <f t="shared" si="144"/>
        <v>0</v>
      </c>
      <c r="O65" s="695">
        <f t="shared" si="144"/>
        <v>41011911</v>
      </c>
      <c r="P65" s="696">
        <f>P66+P67-P68+P69-P70</f>
        <v>41011911</v>
      </c>
      <c r="Q65" s="694">
        <f>Q66+Q67-Q68+Q69-Q70</f>
        <v>41103499</v>
      </c>
      <c r="R65" s="457">
        <f t="shared" ref="R65:AB65" si="145">R66+R67-R68+R69-R70</f>
        <v>41186224</v>
      </c>
      <c r="S65" s="457">
        <f t="shared" si="145"/>
        <v>41277813</v>
      </c>
      <c r="T65" s="457">
        <f t="shared" si="145"/>
        <v>41366447</v>
      </c>
      <c r="U65" s="457">
        <f t="shared" si="145"/>
        <v>41458035</v>
      </c>
      <c r="V65" s="457">
        <f t="shared" si="145"/>
        <v>41546669</v>
      </c>
      <c r="W65" s="457">
        <f t="shared" si="145"/>
        <v>41638258</v>
      </c>
      <c r="X65" s="457">
        <f t="shared" si="145"/>
        <v>41729846</v>
      </c>
      <c r="Y65" s="457">
        <f t="shared" si="145"/>
        <v>41818480</v>
      </c>
      <c r="Z65" s="457">
        <f t="shared" si="145"/>
        <v>41910069</v>
      </c>
      <c r="AA65" s="457">
        <f t="shared" si="145"/>
        <v>41998703</v>
      </c>
      <c r="AB65" s="695">
        <f t="shared" si="145"/>
        <v>41778680</v>
      </c>
      <c r="AC65" s="697">
        <f>AC66+AC67-AC68+AC69-AC70</f>
        <v>41778680</v>
      </c>
      <c r="AD65" s="833">
        <f>AD66+AD67-AD68+AD69-AD70</f>
        <v>41869568</v>
      </c>
      <c r="AE65" s="457">
        <f t="shared" ref="AE65:AO65" si="146">AE66+AE67-AE68+AE69-AE70</f>
        <v>41954592</v>
      </c>
      <c r="AF65" s="457">
        <f t="shared" si="146"/>
        <v>42045479</v>
      </c>
      <c r="AG65" s="457">
        <f t="shared" si="146"/>
        <v>42133435</v>
      </c>
      <c r="AH65" s="457">
        <f t="shared" si="146"/>
        <v>42224323</v>
      </c>
      <c r="AI65" s="457">
        <f t="shared" si="146"/>
        <v>42312276</v>
      </c>
      <c r="AJ65" s="457">
        <f t="shared" si="146"/>
        <v>42403158</v>
      </c>
      <c r="AK65" s="457">
        <f t="shared" si="146"/>
        <v>42494041</v>
      </c>
      <c r="AL65" s="457">
        <f t="shared" si="146"/>
        <v>42581992</v>
      </c>
      <c r="AM65" s="457">
        <f t="shared" si="146"/>
        <v>42672875</v>
      </c>
      <c r="AN65" s="457">
        <f t="shared" si="146"/>
        <v>42760825</v>
      </c>
      <c r="AO65" s="834">
        <f t="shared" si="146"/>
        <v>62568587</v>
      </c>
      <c r="AP65" s="697">
        <f t="shared" ref="AP65:BB65" si="147">AP66+AP67-AP68+AP69-AP70</f>
        <v>62568587</v>
      </c>
      <c r="AQ65" s="895">
        <f t="shared" si="147"/>
        <v>62674836</v>
      </c>
      <c r="AR65" s="896">
        <f t="shared" si="147"/>
        <v>62770804</v>
      </c>
      <c r="AS65" s="896">
        <f t="shared" si="147"/>
        <v>62877052</v>
      </c>
      <c r="AT65" s="896">
        <f t="shared" si="147"/>
        <v>62979875</v>
      </c>
      <c r="AU65" s="896">
        <f t="shared" si="147"/>
        <v>63086124</v>
      </c>
      <c r="AV65" s="896">
        <f t="shared" si="147"/>
        <v>63188947</v>
      </c>
      <c r="AW65" s="896">
        <f t="shared" si="147"/>
        <v>63295195</v>
      </c>
      <c r="AX65" s="896">
        <f t="shared" si="147"/>
        <v>63401445</v>
      </c>
      <c r="AY65" s="896">
        <f t="shared" si="147"/>
        <v>63504266</v>
      </c>
      <c r="AZ65" s="896">
        <f t="shared" si="147"/>
        <v>63610516</v>
      </c>
      <c r="BA65" s="896">
        <f t="shared" si="147"/>
        <v>63713338</v>
      </c>
      <c r="BB65" s="1006">
        <f t="shared" si="147"/>
        <v>63819591</v>
      </c>
      <c r="BC65" s="697">
        <f t="shared" ref="BC65:BI65" si="148">BC66+BC67-BC68+BC69-BC70</f>
        <v>63819591</v>
      </c>
      <c r="BD65" s="1017">
        <f t="shared" si="148"/>
        <v>63508728</v>
      </c>
      <c r="BE65" s="1017">
        <f t="shared" si="148"/>
        <v>63604067</v>
      </c>
      <c r="BF65" s="1017">
        <f t="shared" si="148"/>
        <v>63709621</v>
      </c>
      <c r="BG65" s="1041">
        <f t="shared" si="148"/>
        <v>63811768</v>
      </c>
      <c r="BH65" s="1041">
        <f t="shared" si="148"/>
        <v>63917322</v>
      </c>
      <c r="BI65" s="1041">
        <f t="shared" si="148"/>
        <v>64019471</v>
      </c>
      <c r="BJ65" s="1165">
        <f t="shared" ref="BJ65:BX65" si="149">BJ66+BJ67-BJ68+BJ69-BJ70</f>
        <v>64125024</v>
      </c>
      <c r="BK65" s="1165">
        <f t="shared" si="149"/>
        <v>64230578</v>
      </c>
      <c r="BL65" s="1165">
        <f t="shared" si="149"/>
        <v>64332727</v>
      </c>
      <c r="BM65" s="1165">
        <f t="shared" si="149"/>
        <v>64438281</v>
      </c>
      <c r="BN65" s="1165">
        <f t="shared" si="149"/>
        <v>64540429</v>
      </c>
      <c r="BO65" s="1165">
        <f t="shared" si="149"/>
        <v>64646534</v>
      </c>
      <c r="BP65" s="697">
        <f t="shared" si="149"/>
        <v>64646534</v>
      </c>
      <c r="BQ65" s="1165">
        <f t="shared" si="149"/>
        <v>64350596</v>
      </c>
      <c r="BR65" s="1165">
        <f t="shared" si="149"/>
        <v>64452092</v>
      </c>
      <c r="BS65" s="1165">
        <f t="shared" si="149"/>
        <v>64564461</v>
      </c>
      <c r="BT65" s="1165">
        <f t="shared" si="149"/>
        <v>64673207</v>
      </c>
      <c r="BU65" s="1165">
        <f t="shared" si="149"/>
        <v>64785577</v>
      </c>
      <c r="BV65" s="1165">
        <f t="shared" si="149"/>
        <v>64894323</v>
      </c>
      <c r="BW65" s="1165">
        <f t="shared" si="149"/>
        <v>65006690</v>
      </c>
      <c r="BX65" s="1165">
        <f t="shared" si="149"/>
        <v>65119056</v>
      </c>
      <c r="BY65" s="1165">
        <f t="shared" ref="BY65:CK65" si="150">BY66+BY67-BY68+BY69-BY70</f>
        <v>65227798</v>
      </c>
      <c r="BZ65" s="1272">
        <f t="shared" si="150"/>
        <v>65340162</v>
      </c>
      <c r="CA65" s="1272">
        <f t="shared" si="150"/>
        <v>65448900</v>
      </c>
      <c r="CB65" s="1272">
        <f t="shared" si="150"/>
        <v>65202651</v>
      </c>
      <c r="CC65" s="1197">
        <f t="shared" si="150"/>
        <v>65202651</v>
      </c>
      <c r="CD65" s="1165">
        <f t="shared" si="150"/>
        <v>65314408</v>
      </c>
      <c r="CE65" s="1165">
        <f t="shared" si="150"/>
        <v>65418954</v>
      </c>
      <c r="CF65" s="1165">
        <f t="shared" si="150"/>
        <v>65530709</v>
      </c>
      <c r="CG65" s="1336">
        <f t="shared" si="150"/>
        <v>65638857</v>
      </c>
      <c r="CH65" s="1336">
        <f t="shared" si="150"/>
        <v>65750610</v>
      </c>
      <c r="CI65" s="1336">
        <f t="shared" si="150"/>
        <v>65858757</v>
      </c>
      <c r="CJ65" s="1336">
        <f t="shared" si="150"/>
        <v>65970509</v>
      </c>
      <c r="CK65" s="1336">
        <f t="shared" si="150"/>
        <v>66082260</v>
      </c>
      <c r="CL65" s="1336">
        <f>CL66+CL67-CL68+CL69-CL70</f>
        <v>66190406</v>
      </c>
      <c r="CM65" s="1336">
        <f>CM66+CM67-CM68+CM69-CM70</f>
        <v>66302158</v>
      </c>
      <c r="CN65" s="1336">
        <f>CN66+CN67-CN68+CN69-CN70</f>
        <v>66410305</v>
      </c>
      <c r="CO65" s="1336">
        <f>CO66+CO67-CO68+CO69-CO70</f>
        <v>66155433</v>
      </c>
      <c r="CP65" s="1298">
        <f>CP66+CP67-CP68+CP69-CP70</f>
        <v>66155433</v>
      </c>
      <c r="CQ65" s="1336">
        <f t="shared" ref="CQ65:CX65" si="151">CQ66+CQ67-CQ68+CQ69-CQ70</f>
        <v>43207846</v>
      </c>
      <c r="CR65" s="1336">
        <f t="shared" si="151"/>
        <v>43247891</v>
      </c>
      <c r="CS65" s="1336">
        <f t="shared" si="151"/>
        <v>43292227</v>
      </c>
      <c r="CT65" s="1336">
        <f t="shared" si="151"/>
        <v>43335132</v>
      </c>
      <c r="CU65" s="1336">
        <f t="shared" si="151"/>
        <v>43379467</v>
      </c>
      <c r="CV65" s="1336">
        <f t="shared" si="151"/>
        <v>43422372</v>
      </c>
      <c r="CW65" s="1336">
        <f t="shared" si="151"/>
        <v>43466708</v>
      </c>
      <c r="CX65" s="1336">
        <f t="shared" si="151"/>
        <v>43511044</v>
      </c>
      <c r="CY65" s="1336">
        <f>CY66+CY67-CY68+CY69-CY70</f>
        <v>23518775</v>
      </c>
      <c r="CZ65" s="1336">
        <f>CZ66+CZ67-CZ68+CZ69-CZ70</f>
        <v>23542653</v>
      </c>
      <c r="DA65" s="1336">
        <f>DA66+DA67-DA68+DA69-DA70</f>
        <v>23565766</v>
      </c>
      <c r="DB65" s="1336">
        <f>DB66+DB67-DB68+DB69-DB70</f>
        <v>23376679</v>
      </c>
      <c r="DC65" s="1298">
        <f>DC66+DC67-DC68+DC69-DC70</f>
        <v>23376679</v>
      </c>
      <c r="DD65" s="1336">
        <f t="shared" ref="DD65:DK65" si="152">DD66+DD67-DD68+DD69-DD70</f>
        <v>23400401</v>
      </c>
      <c r="DE65" s="1336">
        <f t="shared" si="152"/>
        <v>23421826</v>
      </c>
      <c r="DF65" s="1336">
        <f t="shared" si="152"/>
        <v>23445550</v>
      </c>
      <c r="DG65" s="1336">
        <f t="shared" si="152"/>
        <v>23468506</v>
      </c>
      <c r="DH65" s="1336">
        <f t="shared" si="152"/>
        <v>23492230</v>
      </c>
      <c r="DI65" s="1336">
        <f t="shared" si="152"/>
        <v>23515187</v>
      </c>
      <c r="DJ65" s="1336">
        <f t="shared" si="152"/>
        <v>23515187</v>
      </c>
      <c r="DK65" s="1336">
        <f t="shared" si="152"/>
        <v>23515187</v>
      </c>
      <c r="DL65" s="1336">
        <f>DL66+DL67-DL68+DL69-DL70</f>
        <v>23515187</v>
      </c>
      <c r="DM65" s="1336">
        <f>DM66+DM67-DM68+DM69-DM70</f>
        <v>23515187</v>
      </c>
      <c r="DN65" s="1336">
        <f>DN66+DN67-DN68+DN69-DN70</f>
        <v>23515187</v>
      </c>
      <c r="DO65" s="1336">
        <f>DO66+DO67-DO68+DO69-DO70</f>
        <v>23515187</v>
      </c>
      <c r="DP65" s="1298">
        <f>DP66+DP67-DP68+DP69-DP70</f>
        <v>23515187</v>
      </c>
    </row>
    <row r="66" spans="1:120" ht="15" customHeight="1">
      <c r="A66" s="626"/>
      <c r="B66" s="678" t="s">
        <v>444</v>
      </c>
      <c r="C66" s="679"/>
      <c r="D66" s="680"/>
      <c r="E66" s="622"/>
      <c r="F66" s="622"/>
      <c r="G66" s="622"/>
      <c r="H66" s="622"/>
      <c r="I66" s="622"/>
      <c r="J66" s="622"/>
      <c r="K66" s="622"/>
      <c r="L66" s="622"/>
      <c r="M66" s="622"/>
      <c r="N66" s="622"/>
      <c r="O66" s="681"/>
      <c r="P66" s="682">
        <f>D66</f>
        <v>0</v>
      </c>
      <c r="Q66" s="680">
        <f t="shared" ref="Q66:AB66" si="153">P65</f>
        <v>41011911</v>
      </c>
      <c r="R66" s="622">
        <f t="shared" si="153"/>
        <v>41103499</v>
      </c>
      <c r="S66" s="622">
        <f t="shared" si="153"/>
        <v>41186224</v>
      </c>
      <c r="T66" s="622">
        <f t="shared" si="153"/>
        <v>41277813</v>
      </c>
      <c r="U66" s="622">
        <f t="shared" si="153"/>
        <v>41366447</v>
      </c>
      <c r="V66" s="622">
        <f t="shared" si="153"/>
        <v>41458035</v>
      </c>
      <c r="W66" s="622">
        <f t="shared" si="153"/>
        <v>41546669</v>
      </c>
      <c r="X66" s="622">
        <f t="shared" si="153"/>
        <v>41638258</v>
      </c>
      <c r="Y66" s="622">
        <f t="shared" si="153"/>
        <v>41729846</v>
      </c>
      <c r="Z66" s="622">
        <f t="shared" si="153"/>
        <v>41818480</v>
      </c>
      <c r="AA66" s="622">
        <f t="shared" si="153"/>
        <v>41910069</v>
      </c>
      <c r="AB66" s="681">
        <f t="shared" si="153"/>
        <v>41998703</v>
      </c>
      <c r="AC66" s="683">
        <f>Q66</f>
        <v>41011911</v>
      </c>
      <c r="AD66" s="873">
        <f t="shared" ref="AD66:AO66" si="154">AC65</f>
        <v>41778680</v>
      </c>
      <c r="AE66" s="872">
        <f t="shared" si="154"/>
        <v>41869568</v>
      </c>
      <c r="AF66" s="872">
        <f t="shared" si="154"/>
        <v>41954592</v>
      </c>
      <c r="AG66" s="872">
        <f t="shared" si="154"/>
        <v>42045479</v>
      </c>
      <c r="AH66" s="872">
        <f t="shared" si="154"/>
        <v>42133435</v>
      </c>
      <c r="AI66" s="872">
        <f t="shared" si="154"/>
        <v>42224323</v>
      </c>
      <c r="AJ66" s="872">
        <f t="shared" si="154"/>
        <v>42312276</v>
      </c>
      <c r="AK66" s="872">
        <f t="shared" si="154"/>
        <v>42403158</v>
      </c>
      <c r="AL66" s="872">
        <f t="shared" si="154"/>
        <v>42494041</v>
      </c>
      <c r="AM66" s="872">
        <f t="shared" si="154"/>
        <v>42581992</v>
      </c>
      <c r="AN66" s="872">
        <f t="shared" si="154"/>
        <v>42672875</v>
      </c>
      <c r="AO66" s="871">
        <f t="shared" si="154"/>
        <v>42760825</v>
      </c>
      <c r="AP66" s="884">
        <f>AD66</f>
        <v>41778680</v>
      </c>
      <c r="AQ66" s="891">
        <f t="shared" ref="AQ66:AX66" si="155">AP65</f>
        <v>62568587</v>
      </c>
      <c r="AR66" s="892">
        <f t="shared" si="155"/>
        <v>62674836</v>
      </c>
      <c r="AS66" s="892">
        <f t="shared" si="155"/>
        <v>62770804</v>
      </c>
      <c r="AT66" s="892">
        <f t="shared" si="155"/>
        <v>62877052</v>
      </c>
      <c r="AU66" s="892">
        <f t="shared" si="155"/>
        <v>62979875</v>
      </c>
      <c r="AV66" s="892">
        <f t="shared" si="155"/>
        <v>63086124</v>
      </c>
      <c r="AW66" s="907">
        <f t="shared" si="155"/>
        <v>63188947</v>
      </c>
      <c r="AX66" s="907">
        <f t="shared" si="155"/>
        <v>63295195</v>
      </c>
      <c r="AY66" s="914">
        <f>AX65</f>
        <v>63401445</v>
      </c>
      <c r="AZ66" s="1002">
        <f>AY65</f>
        <v>63504266</v>
      </c>
      <c r="BA66" s="1002">
        <f>AZ65</f>
        <v>63610516</v>
      </c>
      <c r="BB66" s="1003">
        <f>BA65</f>
        <v>63713338</v>
      </c>
      <c r="BC66" s="884">
        <f>AQ66</f>
        <v>62568587</v>
      </c>
      <c r="BD66" s="1015">
        <f t="shared" ref="BD66:BJ66" si="156">BC65</f>
        <v>63819591</v>
      </c>
      <c r="BE66" s="1015">
        <f t="shared" si="156"/>
        <v>63508728</v>
      </c>
      <c r="BF66" s="1024">
        <f t="shared" si="156"/>
        <v>63604067</v>
      </c>
      <c r="BG66" s="1038">
        <f t="shared" si="156"/>
        <v>63709621</v>
      </c>
      <c r="BH66" s="1038">
        <f t="shared" si="156"/>
        <v>63811768</v>
      </c>
      <c r="BI66" s="1038">
        <f t="shared" si="156"/>
        <v>63917322</v>
      </c>
      <c r="BJ66" s="1162">
        <f t="shared" si="156"/>
        <v>64019471</v>
      </c>
      <c r="BK66" s="1162">
        <f>BJ65</f>
        <v>64125024</v>
      </c>
      <c r="BL66" s="1162">
        <f>BK65</f>
        <v>64230578</v>
      </c>
      <c r="BM66" s="1162">
        <f>BL65</f>
        <v>64332727</v>
      </c>
      <c r="BN66" s="1162">
        <f>BM65</f>
        <v>64438281</v>
      </c>
      <c r="BO66" s="1162">
        <f>BN65</f>
        <v>64540429</v>
      </c>
      <c r="BP66" s="884">
        <f>BD66</f>
        <v>63819591</v>
      </c>
      <c r="BQ66" s="1224">
        <f t="shared" ref="BQ66:CB66" si="157">BP65</f>
        <v>64646534</v>
      </c>
      <c r="BR66" s="1224">
        <f t="shared" si="157"/>
        <v>64350596</v>
      </c>
      <c r="BS66" s="1224">
        <f t="shared" si="157"/>
        <v>64452092</v>
      </c>
      <c r="BT66" s="1224">
        <f t="shared" si="157"/>
        <v>64564461</v>
      </c>
      <c r="BU66" s="1224">
        <f t="shared" si="157"/>
        <v>64673207</v>
      </c>
      <c r="BV66" s="1224">
        <f t="shared" si="157"/>
        <v>64785577</v>
      </c>
      <c r="BW66" s="1224">
        <f t="shared" si="157"/>
        <v>64894323</v>
      </c>
      <c r="BX66" s="1224">
        <f t="shared" si="157"/>
        <v>65006690</v>
      </c>
      <c r="BY66" s="1224">
        <f t="shared" si="157"/>
        <v>65119056</v>
      </c>
      <c r="BZ66" s="1194">
        <f t="shared" si="157"/>
        <v>65227798</v>
      </c>
      <c r="CA66" s="1194">
        <f t="shared" si="157"/>
        <v>65340162</v>
      </c>
      <c r="CB66" s="1194">
        <f t="shared" si="157"/>
        <v>65448900</v>
      </c>
      <c r="CC66" s="1195">
        <f>BQ66</f>
        <v>64646534</v>
      </c>
      <c r="CD66" s="1293">
        <f>CC65</f>
        <v>65202651</v>
      </c>
      <c r="CE66" s="1293">
        <f>CD65</f>
        <v>65314408</v>
      </c>
      <c r="CF66" s="1293">
        <f>CE65</f>
        <v>65418954</v>
      </c>
      <c r="CG66" s="1333">
        <f t="shared" ref="CG66:CO66" si="158">CF65</f>
        <v>65530709</v>
      </c>
      <c r="CH66" s="1333">
        <f t="shared" si="158"/>
        <v>65638857</v>
      </c>
      <c r="CI66" s="1333">
        <f t="shared" si="158"/>
        <v>65750610</v>
      </c>
      <c r="CJ66" s="1333">
        <f t="shared" si="158"/>
        <v>65858757</v>
      </c>
      <c r="CK66" s="1333">
        <f t="shared" si="158"/>
        <v>65970509</v>
      </c>
      <c r="CL66" s="1333">
        <f t="shared" si="158"/>
        <v>66082260</v>
      </c>
      <c r="CM66" s="1368">
        <f t="shared" si="158"/>
        <v>66190406</v>
      </c>
      <c r="CN66" s="1368">
        <f t="shared" si="158"/>
        <v>66302158</v>
      </c>
      <c r="CO66" s="1368">
        <f t="shared" si="158"/>
        <v>66410305</v>
      </c>
      <c r="CP66" s="1294">
        <f>CD66</f>
        <v>65202651</v>
      </c>
      <c r="CQ66" s="1392">
        <f t="shared" ref="CQ66:DB66" si="159">CP65</f>
        <v>66155433</v>
      </c>
      <c r="CR66" s="1392">
        <f t="shared" si="159"/>
        <v>43207846</v>
      </c>
      <c r="CS66" s="1392">
        <f t="shared" si="159"/>
        <v>43247891</v>
      </c>
      <c r="CT66" s="1392">
        <f t="shared" si="159"/>
        <v>43292227</v>
      </c>
      <c r="CU66" s="1392">
        <f t="shared" si="159"/>
        <v>43335132</v>
      </c>
      <c r="CV66" s="1392">
        <f t="shared" si="159"/>
        <v>43379467</v>
      </c>
      <c r="CW66" s="1392">
        <f t="shared" si="159"/>
        <v>43422372</v>
      </c>
      <c r="CX66" s="1392">
        <f t="shared" si="159"/>
        <v>43466708</v>
      </c>
      <c r="CY66" s="1392">
        <f t="shared" si="159"/>
        <v>43511044</v>
      </c>
      <c r="CZ66" s="1431">
        <f t="shared" si="159"/>
        <v>23518775</v>
      </c>
      <c r="DA66" s="1431">
        <f t="shared" si="159"/>
        <v>23542653</v>
      </c>
      <c r="DB66" s="1431">
        <f t="shared" si="159"/>
        <v>23565766</v>
      </c>
      <c r="DC66" s="1393">
        <f>CQ66</f>
        <v>66155433</v>
      </c>
      <c r="DD66" s="1451">
        <f t="shared" ref="DD66:DO66" si="160">DC65</f>
        <v>23376679</v>
      </c>
      <c r="DE66" s="1451">
        <f t="shared" si="160"/>
        <v>23400401</v>
      </c>
      <c r="DF66" s="1451">
        <f t="shared" si="160"/>
        <v>23421826</v>
      </c>
      <c r="DG66" s="1451">
        <f t="shared" si="160"/>
        <v>23445550</v>
      </c>
      <c r="DH66" s="1451">
        <f t="shared" si="160"/>
        <v>23468506</v>
      </c>
      <c r="DI66" s="1451">
        <f t="shared" si="160"/>
        <v>23492230</v>
      </c>
      <c r="DJ66" s="1451">
        <f t="shared" si="160"/>
        <v>23515187</v>
      </c>
      <c r="DK66" s="1451">
        <f t="shared" si="160"/>
        <v>23515187</v>
      </c>
      <c r="DL66" s="1451">
        <f t="shared" si="160"/>
        <v>23515187</v>
      </c>
      <c r="DM66" s="1451">
        <f t="shared" si="160"/>
        <v>23515187</v>
      </c>
      <c r="DN66" s="1451">
        <f t="shared" si="160"/>
        <v>23515187</v>
      </c>
      <c r="DO66" s="1451">
        <f t="shared" si="160"/>
        <v>23515187</v>
      </c>
      <c r="DP66" s="1452">
        <f>DD66</f>
        <v>23376679</v>
      </c>
    </row>
    <row r="67" spans="1:120" ht="15" customHeight="1">
      <c r="A67" s="626"/>
      <c r="B67" s="678" t="s">
        <v>440</v>
      </c>
      <c r="C67" s="679"/>
      <c r="D67" s="680"/>
      <c r="E67" s="622"/>
      <c r="F67" s="622"/>
      <c r="G67" s="622"/>
      <c r="H67" s="622"/>
      <c r="I67" s="622"/>
      <c r="J67" s="622"/>
      <c r="K67" s="622"/>
      <c r="L67" s="622"/>
      <c r="M67" s="622"/>
      <c r="N67" s="622"/>
      <c r="O67" s="681">
        <v>41003048</v>
      </c>
      <c r="P67" s="682">
        <f>SUM(D67:O67)</f>
        <v>41003048</v>
      </c>
      <c r="Q67" s="680"/>
      <c r="R67" s="622"/>
      <c r="S67" s="622"/>
      <c r="T67" s="622"/>
      <c r="U67" s="622"/>
      <c r="V67" s="622"/>
      <c r="W67" s="622"/>
      <c r="X67" s="622"/>
      <c r="Y67" s="622"/>
      <c r="Z67" s="622"/>
      <c r="AA67" s="622"/>
      <c r="AB67" s="681"/>
      <c r="AC67" s="683">
        <f>SUM(Q67:AB67)</f>
        <v>0</v>
      </c>
      <c r="AD67" s="873"/>
      <c r="AE67" s="872"/>
      <c r="AF67" s="872"/>
      <c r="AG67" s="872"/>
      <c r="AH67" s="872"/>
      <c r="AI67" s="872"/>
      <c r="AJ67" s="872"/>
      <c r="AK67" s="872"/>
      <c r="AL67" s="872"/>
      <c r="AM67" s="872"/>
      <c r="AN67" s="872"/>
      <c r="AO67" s="871">
        <v>20000000</v>
      </c>
      <c r="AP67" s="884">
        <f>SUM(AD67:AO67)</f>
        <v>20000000</v>
      </c>
      <c r="AQ67" s="891"/>
      <c r="AR67" s="892"/>
      <c r="AS67" s="892"/>
      <c r="AT67" s="892"/>
      <c r="AU67" s="892"/>
      <c r="AV67" s="892"/>
      <c r="AW67" s="907"/>
      <c r="AX67" s="907"/>
      <c r="AY67" s="914"/>
      <c r="AZ67" s="1002"/>
      <c r="BA67" s="1002"/>
      <c r="BB67" s="1003"/>
      <c r="BC67" s="884">
        <f>SUM(AQ67:BB67)</f>
        <v>0</v>
      </c>
      <c r="BD67" s="1015"/>
      <c r="BE67" s="1002"/>
      <c r="BF67" s="1025"/>
      <c r="BG67" s="1039"/>
      <c r="BH67" s="1039"/>
      <c r="BI67" s="1039"/>
      <c r="BJ67" s="1163"/>
      <c r="BK67" s="1163"/>
      <c r="BL67" s="1163"/>
      <c r="BM67" s="1163"/>
      <c r="BN67" s="1163"/>
      <c r="BO67" s="1175"/>
      <c r="BP67" s="884">
        <f>SUM(BD67:BO67)</f>
        <v>0</v>
      </c>
      <c r="BQ67" s="1224"/>
      <c r="BR67" s="1225"/>
      <c r="BS67" s="1225"/>
      <c r="BT67" s="1225"/>
      <c r="BU67" s="1225"/>
      <c r="BV67" s="1225"/>
      <c r="BW67" s="1225"/>
      <c r="BX67" s="1225"/>
      <c r="BY67" s="1225"/>
      <c r="BZ67" s="1163"/>
      <c r="CA67" s="1163"/>
      <c r="CB67" s="1175"/>
      <c r="CC67" s="1195">
        <f>SUM(BQ67:CB67)</f>
        <v>0</v>
      </c>
      <c r="CD67" s="1293"/>
      <c r="CE67" s="1295"/>
      <c r="CF67" s="1295"/>
      <c r="CG67" s="1334"/>
      <c r="CH67" s="1334"/>
      <c r="CI67" s="1334"/>
      <c r="CJ67" s="1334"/>
      <c r="CK67" s="1334"/>
      <c r="CL67" s="1334"/>
      <c r="CM67" s="1369"/>
      <c r="CN67" s="1369"/>
      <c r="CO67" s="1370"/>
      <c r="CP67" s="1294">
        <f>SUM(CD67:CO67)</f>
        <v>0</v>
      </c>
      <c r="CQ67" s="1392"/>
      <c r="CR67" s="1394"/>
      <c r="CS67" s="1394"/>
      <c r="CT67" s="1394"/>
      <c r="CU67" s="1394"/>
      <c r="CV67" s="1394"/>
      <c r="CW67" s="1394"/>
      <c r="CX67" s="1394"/>
      <c r="CY67" s="1394"/>
      <c r="CZ67" s="1432"/>
      <c r="DA67" s="1432"/>
      <c r="DB67" s="1433"/>
      <c r="DC67" s="1393">
        <f>SUM(CQ67:DB67)</f>
        <v>0</v>
      </c>
      <c r="DD67" s="1451"/>
      <c r="DE67" s="1453"/>
      <c r="DF67" s="1453"/>
      <c r="DG67" s="1453"/>
      <c r="DH67" s="1453"/>
      <c r="DI67" s="1453"/>
      <c r="DJ67" s="1453"/>
      <c r="DK67" s="1453"/>
      <c r="DL67" s="1453"/>
      <c r="DM67" s="1453"/>
      <c r="DN67" s="1453"/>
      <c r="DO67" s="1454"/>
      <c r="DP67" s="1452">
        <f>SUM(DD67:DO67)</f>
        <v>0</v>
      </c>
    </row>
    <row r="68" spans="1:120" ht="15" customHeight="1">
      <c r="A68" s="626"/>
      <c r="B68" s="678" t="s">
        <v>441</v>
      </c>
      <c r="C68" s="679"/>
      <c r="D68" s="680"/>
      <c r="E68" s="622"/>
      <c r="F68" s="622"/>
      <c r="G68" s="622"/>
      <c r="H68" s="622"/>
      <c r="I68" s="622"/>
      <c r="J68" s="622"/>
      <c r="K68" s="622"/>
      <c r="L68" s="622"/>
      <c r="M68" s="622"/>
      <c r="N68" s="622"/>
      <c r="O68" s="681"/>
      <c r="P68" s="682">
        <f>SUM(D68:O68)</f>
        <v>0</v>
      </c>
      <c r="Q68" s="680"/>
      <c r="R68" s="622"/>
      <c r="S68" s="622"/>
      <c r="T68" s="622"/>
      <c r="U68" s="622"/>
      <c r="V68" s="622"/>
      <c r="W68" s="622"/>
      <c r="X68" s="622"/>
      <c r="Y68" s="622"/>
      <c r="Z68" s="622"/>
      <c r="AA68" s="622"/>
      <c r="AB68" s="681"/>
      <c r="AC68" s="683">
        <f>SUM(Q68:AB68)</f>
        <v>0</v>
      </c>
      <c r="AD68" s="873"/>
      <c r="AE68" s="872"/>
      <c r="AF68" s="872"/>
      <c r="AG68" s="872"/>
      <c r="AH68" s="872"/>
      <c r="AI68" s="872"/>
      <c r="AJ68" s="872"/>
      <c r="AK68" s="872"/>
      <c r="AL68" s="872"/>
      <c r="AM68" s="872"/>
      <c r="AN68" s="872"/>
      <c r="AO68" s="871"/>
      <c r="AP68" s="884">
        <f>SUM(AD68:AO68)</f>
        <v>0</v>
      </c>
      <c r="AQ68" s="891"/>
      <c r="AR68" s="892"/>
      <c r="AS68" s="892"/>
      <c r="AT68" s="892"/>
      <c r="AU68" s="892"/>
      <c r="AV68" s="892"/>
      <c r="AW68" s="907"/>
      <c r="AX68" s="907"/>
      <c r="AY68" s="914"/>
      <c r="AZ68" s="1002"/>
      <c r="BA68" s="1002"/>
      <c r="BB68" s="1003"/>
      <c r="BC68" s="884">
        <f>SUM(AQ68:BB68)</f>
        <v>0</v>
      </c>
      <c r="BD68" s="1015"/>
      <c r="BE68" s="1002"/>
      <c r="BF68" s="1025"/>
      <c r="BG68" s="1039"/>
      <c r="BH68" s="1039"/>
      <c r="BI68" s="1039"/>
      <c r="BJ68" s="1163"/>
      <c r="BK68" s="1163"/>
      <c r="BL68" s="1163"/>
      <c r="BM68" s="1163"/>
      <c r="BN68" s="1163"/>
      <c r="BO68" s="1175"/>
      <c r="BP68" s="884">
        <f>SUM(BD68:BO68)</f>
        <v>0</v>
      </c>
      <c r="BQ68" s="1224"/>
      <c r="BR68" s="1225"/>
      <c r="BS68" s="1225"/>
      <c r="BT68" s="1225"/>
      <c r="BU68" s="1225"/>
      <c r="BV68" s="1225"/>
      <c r="BW68" s="1225"/>
      <c r="BX68" s="1225"/>
      <c r="BY68" s="1225"/>
      <c r="BZ68" s="1163"/>
      <c r="CA68" s="1163"/>
      <c r="CB68" s="1175"/>
      <c r="CC68" s="1195">
        <f>SUM(BQ68:CB68)</f>
        <v>0</v>
      </c>
      <c r="CD68" s="1293"/>
      <c r="CE68" s="1295"/>
      <c r="CF68" s="1295"/>
      <c r="CG68" s="1334"/>
      <c r="CH68" s="1334"/>
      <c r="CI68" s="1334"/>
      <c r="CJ68" s="1334"/>
      <c r="CK68" s="1334"/>
      <c r="CL68" s="1334"/>
      <c r="CM68" s="1369"/>
      <c r="CN68" s="1369"/>
      <c r="CO68" s="1370"/>
      <c r="CP68" s="1294">
        <f>SUM(CD68:CO68)</f>
        <v>0</v>
      </c>
      <c r="CQ68" s="1392">
        <v>23000000</v>
      </c>
      <c r="CR68" s="1394"/>
      <c r="CS68" s="1394"/>
      <c r="CT68" s="1394"/>
      <c r="CU68" s="1394"/>
      <c r="CV68" s="1394"/>
      <c r="CW68" s="1394"/>
      <c r="CX68" s="1394"/>
      <c r="CY68" s="1394">
        <v>20000000</v>
      </c>
      <c r="CZ68" s="1432"/>
      <c r="DA68" s="1432"/>
      <c r="DB68" s="1433"/>
      <c r="DC68" s="1393">
        <f>SUM(CQ68:DB68)</f>
        <v>43000000</v>
      </c>
      <c r="DD68" s="1451"/>
      <c r="DE68" s="1453"/>
      <c r="DF68" s="1453"/>
      <c r="DG68" s="1453"/>
      <c r="DH68" s="1453"/>
      <c r="DI68" s="1453"/>
      <c r="DJ68" s="1453"/>
      <c r="DK68" s="1453"/>
      <c r="DL68" s="1453"/>
      <c r="DM68" s="1453"/>
      <c r="DN68" s="1453"/>
      <c r="DO68" s="1454"/>
      <c r="DP68" s="1452">
        <f>SUM(DD68:DO68)</f>
        <v>0</v>
      </c>
    </row>
    <row r="69" spans="1:120" ht="15" customHeight="1">
      <c r="A69" s="626"/>
      <c r="B69" s="678" t="s">
        <v>442</v>
      </c>
      <c r="C69" s="679"/>
      <c r="D69" s="680"/>
      <c r="E69" s="622"/>
      <c r="F69" s="622"/>
      <c r="G69" s="622"/>
      <c r="H69" s="622"/>
      <c r="I69" s="622"/>
      <c r="J69" s="622"/>
      <c r="K69" s="622"/>
      <c r="L69" s="622"/>
      <c r="M69" s="622"/>
      <c r="N69" s="622"/>
      <c r="O69" s="681">
        <v>8863</v>
      </c>
      <c r="P69" s="682">
        <f>SUM(D69:O69)</f>
        <v>8863</v>
      </c>
      <c r="Q69" s="680">
        <v>91588</v>
      </c>
      <c r="R69" s="622">
        <v>82725</v>
      </c>
      <c r="S69" s="622">
        <v>91589</v>
      </c>
      <c r="T69" s="622">
        <v>88634</v>
      </c>
      <c r="U69" s="622">
        <v>91588</v>
      </c>
      <c r="V69" s="622">
        <v>88634</v>
      </c>
      <c r="W69" s="622">
        <v>91589</v>
      </c>
      <c r="X69" s="622">
        <v>91588</v>
      </c>
      <c r="Y69" s="622">
        <v>88634</v>
      </c>
      <c r="Z69" s="622">
        <v>91589</v>
      </c>
      <c r="AA69" s="622">
        <v>88634</v>
      </c>
      <c r="AB69" s="681">
        <v>91554</v>
      </c>
      <c r="AC69" s="683">
        <f>SUM(Q69:AB69)</f>
        <v>1078346</v>
      </c>
      <c r="AD69" s="873">
        <v>90888</v>
      </c>
      <c r="AE69" s="872">
        <v>85024</v>
      </c>
      <c r="AF69" s="872">
        <v>90887</v>
      </c>
      <c r="AG69" s="872">
        <v>87956</v>
      </c>
      <c r="AH69" s="872">
        <v>90888</v>
      </c>
      <c r="AI69" s="872">
        <v>87953</v>
      </c>
      <c r="AJ69" s="872">
        <v>90882</v>
      </c>
      <c r="AK69" s="872">
        <v>90883</v>
      </c>
      <c r="AL69" s="872">
        <v>87951</v>
      </c>
      <c r="AM69" s="872">
        <v>90883</v>
      </c>
      <c r="AN69" s="872">
        <v>87950</v>
      </c>
      <c r="AO69" s="871">
        <v>95244</v>
      </c>
      <c r="AP69" s="884">
        <f>SUM(AD69:AO69)</f>
        <v>1077389</v>
      </c>
      <c r="AQ69" s="891">
        <v>106249</v>
      </c>
      <c r="AR69" s="892">
        <v>95968</v>
      </c>
      <c r="AS69" s="892">
        <v>106248</v>
      </c>
      <c r="AT69" s="892">
        <v>102823</v>
      </c>
      <c r="AU69" s="892">
        <v>106249</v>
      </c>
      <c r="AV69" s="892">
        <v>102823</v>
      </c>
      <c r="AW69" s="907">
        <v>106248</v>
      </c>
      <c r="AX69" s="907">
        <v>106250</v>
      </c>
      <c r="AY69" s="914">
        <v>102821</v>
      </c>
      <c r="AZ69" s="1002">
        <v>106250</v>
      </c>
      <c r="BA69" s="1002">
        <v>102822</v>
      </c>
      <c r="BB69" s="1003">
        <v>106253</v>
      </c>
      <c r="BC69" s="884">
        <f>SUM(AQ69:BB69)</f>
        <v>1251004</v>
      </c>
      <c r="BD69" s="1015">
        <v>106167</v>
      </c>
      <c r="BE69" s="1002">
        <v>95339</v>
      </c>
      <c r="BF69" s="1025">
        <v>105554</v>
      </c>
      <c r="BG69" s="1039">
        <v>102147</v>
      </c>
      <c r="BH69" s="1039">
        <v>105554</v>
      </c>
      <c r="BI69" s="1039">
        <v>102149</v>
      </c>
      <c r="BJ69" s="1163">
        <v>105553</v>
      </c>
      <c r="BK69" s="1163">
        <v>105554</v>
      </c>
      <c r="BL69" s="1163">
        <v>102149</v>
      </c>
      <c r="BM69" s="1163">
        <v>105554</v>
      </c>
      <c r="BN69" s="1163">
        <v>102148</v>
      </c>
      <c r="BO69" s="1175">
        <v>106105</v>
      </c>
      <c r="BP69" s="884">
        <f>SUM(BD69:BO69)</f>
        <v>1243973</v>
      </c>
      <c r="BQ69" s="1224">
        <v>112390</v>
      </c>
      <c r="BR69" s="1225">
        <v>101496</v>
      </c>
      <c r="BS69" s="1225">
        <v>112369</v>
      </c>
      <c r="BT69" s="1225">
        <v>108746</v>
      </c>
      <c r="BU69" s="1225">
        <v>112370</v>
      </c>
      <c r="BV69" s="1225">
        <v>108746</v>
      </c>
      <c r="BW69" s="1225">
        <v>112367</v>
      </c>
      <c r="BX69" s="1225">
        <v>112366</v>
      </c>
      <c r="BY69" s="1225">
        <v>108742</v>
      </c>
      <c r="BZ69" s="1163">
        <v>112364</v>
      </c>
      <c r="CA69" s="1163">
        <v>108738</v>
      </c>
      <c r="CB69" s="1175">
        <v>112298</v>
      </c>
      <c r="CC69" s="1195">
        <f>SUM(BQ69:CB69)</f>
        <v>1322992</v>
      </c>
      <c r="CD69" s="1293">
        <v>111757</v>
      </c>
      <c r="CE69" s="1295">
        <v>104546</v>
      </c>
      <c r="CF69" s="1295">
        <v>111755</v>
      </c>
      <c r="CG69" s="1334">
        <v>108148</v>
      </c>
      <c r="CH69" s="1334">
        <v>111753</v>
      </c>
      <c r="CI69" s="1334">
        <v>108147</v>
      </c>
      <c r="CJ69" s="1334">
        <v>111752</v>
      </c>
      <c r="CK69" s="1334">
        <v>111751</v>
      </c>
      <c r="CL69" s="1334">
        <v>108146</v>
      </c>
      <c r="CM69" s="1369">
        <v>111752</v>
      </c>
      <c r="CN69" s="1369">
        <v>108147</v>
      </c>
      <c r="CO69" s="1370">
        <v>108979</v>
      </c>
      <c r="CP69" s="1294">
        <f>SUM(CD69:CO69)</f>
        <v>1316633</v>
      </c>
      <c r="CQ69" s="1392">
        <v>52413</v>
      </c>
      <c r="CR69" s="1394">
        <v>40045</v>
      </c>
      <c r="CS69" s="1394">
        <v>44336</v>
      </c>
      <c r="CT69" s="1394">
        <v>42905</v>
      </c>
      <c r="CU69" s="1394">
        <v>44335</v>
      </c>
      <c r="CV69" s="1394">
        <v>42905</v>
      </c>
      <c r="CW69" s="1394">
        <v>44336</v>
      </c>
      <c r="CX69" s="1394">
        <v>44336</v>
      </c>
      <c r="CY69" s="1394">
        <v>7731</v>
      </c>
      <c r="CZ69" s="1432">
        <v>23878</v>
      </c>
      <c r="DA69" s="1432">
        <v>23113</v>
      </c>
      <c r="DB69" s="1433">
        <v>23894</v>
      </c>
      <c r="DC69" s="1393">
        <f>SUM(CQ69:DB69)</f>
        <v>434227</v>
      </c>
      <c r="DD69" s="1451">
        <v>23722</v>
      </c>
      <c r="DE69" s="1453">
        <v>21425</v>
      </c>
      <c r="DF69" s="1453">
        <v>23724</v>
      </c>
      <c r="DG69" s="1453">
        <v>22956</v>
      </c>
      <c r="DH69" s="1453">
        <v>23724</v>
      </c>
      <c r="DI69" s="1453">
        <v>22957</v>
      </c>
      <c r="DJ69" s="1453"/>
      <c r="DK69" s="1453"/>
      <c r="DL69" s="1453"/>
      <c r="DM69" s="1453"/>
      <c r="DN69" s="1453"/>
      <c r="DO69" s="1454"/>
      <c r="DP69" s="1452">
        <f>SUM(DD69:DO69)</f>
        <v>138508</v>
      </c>
    </row>
    <row r="70" spans="1:120" ht="15" customHeight="1">
      <c r="A70" s="458"/>
      <c r="B70" s="698" t="s">
        <v>443</v>
      </c>
      <c r="C70" s="699"/>
      <c r="D70" s="700"/>
      <c r="E70" s="701"/>
      <c r="F70" s="701"/>
      <c r="G70" s="701"/>
      <c r="H70" s="701"/>
      <c r="I70" s="701"/>
      <c r="J70" s="701"/>
      <c r="K70" s="701"/>
      <c r="L70" s="701"/>
      <c r="M70" s="701"/>
      <c r="N70" s="701"/>
      <c r="O70" s="702"/>
      <c r="P70" s="703">
        <f>SUM(D70:O70)</f>
        <v>0</v>
      </c>
      <c r="Q70" s="700"/>
      <c r="R70" s="701"/>
      <c r="S70" s="701"/>
      <c r="T70" s="701"/>
      <c r="U70" s="701"/>
      <c r="V70" s="701"/>
      <c r="W70" s="701"/>
      <c r="X70" s="701"/>
      <c r="Y70" s="701"/>
      <c r="Z70" s="701"/>
      <c r="AA70" s="701"/>
      <c r="AB70" s="702">
        <v>311577</v>
      </c>
      <c r="AC70" s="704">
        <f>SUM(Q70:AB70)</f>
        <v>311577</v>
      </c>
      <c r="AD70" s="835"/>
      <c r="AE70" s="836"/>
      <c r="AF70" s="836"/>
      <c r="AG70" s="836"/>
      <c r="AH70" s="836"/>
      <c r="AI70" s="836"/>
      <c r="AJ70" s="836"/>
      <c r="AK70" s="836"/>
      <c r="AL70" s="836"/>
      <c r="AM70" s="836"/>
      <c r="AN70" s="836"/>
      <c r="AO70" s="837">
        <v>287482</v>
      </c>
      <c r="AP70" s="704">
        <f>SUM(AD70:AO70)</f>
        <v>287482</v>
      </c>
      <c r="AQ70" s="897"/>
      <c r="AR70" s="898"/>
      <c r="AS70" s="898"/>
      <c r="AT70" s="898"/>
      <c r="AU70" s="898"/>
      <c r="AV70" s="898"/>
      <c r="AW70" s="898"/>
      <c r="AX70" s="898"/>
      <c r="AY70" s="916"/>
      <c r="AZ70" s="1007"/>
      <c r="BA70" s="1007"/>
      <c r="BB70" s="1008"/>
      <c r="BC70" s="704">
        <f>SUM(AQ70:BB70)</f>
        <v>0</v>
      </c>
      <c r="BD70" s="1019">
        <v>417030</v>
      </c>
      <c r="BE70" s="1007"/>
      <c r="BF70" s="1027"/>
      <c r="BG70" s="1042"/>
      <c r="BH70" s="1042"/>
      <c r="BI70" s="1042"/>
      <c r="BJ70" s="1166"/>
      <c r="BK70" s="1166"/>
      <c r="BL70" s="1166"/>
      <c r="BM70" s="1166"/>
      <c r="BN70" s="1166"/>
      <c r="BO70" s="1178"/>
      <c r="BP70" s="704">
        <f>SUM(BD70:BO70)</f>
        <v>417030</v>
      </c>
      <c r="BQ70" s="1228">
        <v>408328</v>
      </c>
      <c r="BR70" s="1229"/>
      <c r="BS70" s="1229"/>
      <c r="BT70" s="1229"/>
      <c r="BU70" s="1229"/>
      <c r="BV70" s="1229"/>
      <c r="BW70" s="1229"/>
      <c r="BX70" s="1229"/>
      <c r="BY70" s="1229"/>
      <c r="BZ70" s="1198"/>
      <c r="CA70" s="1198"/>
      <c r="CB70" s="1199">
        <v>358547</v>
      </c>
      <c r="CC70" s="1200">
        <f>SUM(BQ70:CB70)</f>
        <v>766875</v>
      </c>
      <c r="CD70" s="1299"/>
      <c r="CE70" s="1300"/>
      <c r="CF70" s="1300"/>
      <c r="CG70" s="1337"/>
      <c r="CH70" s="1337"/>
      <c r="CI70" s="1337"/>
      <c r="CJ70" s="1337"/>
      <c r="CK70" s="1337"/>
      <c r="CL70" s="1337"/>
      <c r="CM70" s="1373"/>
      <c r="CN70" s="1373"/>
      <c r="CO70" s="1374">
        <v>363851</v>
      </c>
      <c r="CP70" s="1301">
        <f>SUM(CD70:CO70)</f>
        <v>363851</v>
      </c>
      <c r="CQ70" s="1398"/>
      <c r="CR70" s="1399"/>
      <c r="CS70" s="1399"/>
      <c r="CT70" s="1399"/>
      <c r="CU70" s="1399"/>
      <c r="CV70" s="1399"/>
      <c r="CW70" s="1399"/>
      <c r="CX70" s="1399"/>
      <c r="CY70" s="1399"/>
      <c r="CZ70" s="1436"/>
      <c r="DA70" s="1436"/>
      <c r="DB70" s="1437">
        <v>212981</v>
      </c>
      <c r="DC70" s="1400">
        <f>SUM(CQ70:DB70)</f>
        <v>212981</v>
      </c>
      <c r="DD70" s="1458"/>
      <c r="DE70" s="1459"/>
      <c r="DF70" s="1459"/>
      <c r="DG70" s="1459"/>
      <c r="DH70" s="1459"/>
      <c r="DI70" s="1459"/>
      <c r="DJ70" s="1459"/>
      <c r="DK70" s="1459"/>
      <c r="DL70" s="1459"/>
      <c r="DM70" s="1459"/>
      <c r="DN70" s="1459"/>
      <c r="DO70" s="1460"/>
      <c r="DP70" s="1461">
        <f>SUM(DD70:DO70)</f>
        <v>0</v>
      </c>
    </row>
    <row r="71" spans="1:120" s="30" customFormat="1" ht="15" customHeight="1">
      <c r="A71" s="2176" t="s">
        <v>446</v>
      </c>
      <c r="B71" s="2177"/>
      <c r="C71" s="463"/>
      <c r="D71" s="621">
        <f>D72+D73-D74+D75-D76</f>
        <v>0</v>
      </c>
      <c r="E71" s="459">
        <f t="shared" ref="E71:O71" si="161">E72+E73-E74+E75-E76</f>
        <v>0</v>
      </c>
      <c r="F71" s="459">
        <f t="shared" si="161"/>
        <v>0</v>
      </c>
      <c r="G71" s="459">
        <f t="shared" si="161"/>
        <v>0</v>
      </c>
      <c r="H71" s="459">
        <f t="shared" si="161"/>
        <v>0</v>
      </c>
      <c r="I71" s="459">
        <f t="shared" si="161"/>
        <v>0</v>
      </c>
      <c r="J71" s="459">
        <f t="shared" si="161"/>
        <v>0</v>
      </c>
      <c r="K71" s="459">
        <f t="shared" si="161"/>
        <v>0</v>
      </c>
      <c r="L71" s="459">
        <f t="shared" si="161"/>
        <v>0</v>
      </c>
      <c r="M71" s="459">
        <f t="shared" si="161"/>
        <v>0</v>
      </c>
      <c r="N71" s="459">
        <f t="shared" si="161"/>
        <v>0</v>
      </c>
      <c r="O71" s="460">
        <f t="shared" si="161"/>
        <v>13669936</v>
      </c>
      <c r="P71" s="455">
        <f>P72+P73-P74+P75-P76</f>
        <v>13669936</v>
      </c>
      <c r="Q71" s="621">
        <f>Q72+Q73-Q74+Q75-Q76</f>
        <v>13704471</v>
      </c>
      <c r="R71" s="459">
        <f t="shared" ref="R71:AB71" si="162">R72+R73-R74+R75-R76</f>
        <v>13736067</v>
      </c>
      <c r="S71" s="459">
        <f t="shared" si="162"/>
        <v>13771052</v>
      </c>
      <c r="T71" s="459">
        <f t="shared" si="162"/>
        <v>13804907</v>
      </c>
      <c r="U71" s="459">
        <f t="shared" si="162"/>
        <v>13839891</v>
      </c>
      <c r="V71" s="459">
        <f t="shared" si="162"/>
        <v>13873745</v>
      </c>
      <c r="W71" s="459">
        <f t="shared" si="162"/>
        <v>13908725</v>
      </c>
      <c r="X71" s="459">
        <f t="shared" si="162"/>
        <v>13943698</v>
      </c>
      <c r="Y71" s="459">
        <f t="shared" si="162"/>
        <v>13977552</v>
      </c>
      <c r="Z71" s="459">
        <f t="shared" si="162"/>
        <v>14012532</v>
      </c>
      <c r="AA71" s="459">
        <f t="shared" si="162"/>
        <v>14046384</v>
      </c>
      <c r="AB71" s="460">
        <f t="shared" si="162"/>
        <v>14081039</v>
      </c>
      <c r="AC71" s="456">
        <f>AC72+AC73-AC74+AC75-AC76</f>
        <v>14081039</v>
      </c>
      <c r="AD71" s="876">
        <f>AD72+AD73-AD74+AD75-AD76</f>
        <v>14027770</v>
      </c>
      <c r="AE71" s="459">
        <f t="shared" ref="AE71:AO71" si="163">AE72+AE73-AE74+AE75-AE76</f>
        <v>14055695</v>
      </c>
      <c r="AF71" s="459">
        <f t="shared" si="163"/>
        <v>14085564</v>
      </c>
      <c r="AG71" s="459">
        <f t="shared" si="163"/>
        <v>14114453</v>
      </c>
      <c r="AH71" s="459">
        <f t="shared" si="163"/>
        <v>14144323</v>
      </c>
      <c r="AI71" s="459">
        <f t="shared" si="163"/>
        <v>14173212</v>
      </c>
      <c r="AJ71" s="459">
        <f t="shared" si="163"/>
        <v>14203081</v>
      </c>
      <c r="AK71" s="459">
        <f t="shared" si="163"/>
        <v>14232936</v>
      </c>
      <c r="AL71" s="459">
        <f t="shared" si="163"/>
        <v>14261840</v>
      </c>
      <c r="AM71" s="459">
        <f t="shared" si="163"/>
        <v>14291695</v>
      </c>
      <c r="AN71" s="459">
        <f t="shared" si="163"/>
        <v>14320598</v>
      </c>
      <c r="AO71" s="838">
        <f t="shared" si="163"/>
        <v>34354541</v>
      </c>
      <c r="AP71" s="456">
        <f t="shared" ref="AP71:BB71" si="164">AP72+AP73-AP74+AP75-AP76</f>
        <v>34354541</v>
      </c>
      <c r="AQ71" s="875">
        <f t="shared" si="164"/>
        <v>34337833</v>
      </c>
      <c r="AR71" s="868">
        <f t="shared" si="164"/>
        <v>34393042</v>
      </c>
      <c r="AS71" s="868">
        <f t="shared" si="164"/>
        <v>34454180</v>
      </c>
      <c r="AT71" s="868">
        <f t="shared" si="164"/>
        <v>34513330</v>
      </c>
      <c r="AU71" s="868">
        <f t="shared" si="164"/>
        <v>34574434</v>
      </c>
      <c r="AV71" s="868">
        <f t="shared" si="164"/>
        <v>34633584</v>
      </c>
      <c r="AW71" s="868">
        <f t="shared" si="164"/>
        <v>34694721</v>
      </c>
      <c r="AX71" s="868">
        <f t="shared" si="164"/>
        <v>34755825</v>
      </c>
      <c r="AY71" s="868">
        <f t="shared" si="164"/>
        <v>34814975</v>
      </c>
      <c r="AZ71" s="868">
        <f t="shared" si="164"/>
        <v>34876113</v>
      </c>
      <c r="BA71" s="868">
        <f t="shared" si="164"/>
        <v>34935263</v>
      </c>
      <c r="BB71" s="869">
        <f t="shared" si="164"/>
        <v>34996554</v>
      </c>
      <c r="BC71" s="456">
        <f t="shared" ref="BC71:BI71" si="165">BC72+BC73-BC74+BC75-BC76</f>
        <v>34996554</v>
      </c>
      <c r="BD71" s="875">
        <f t="shared" si="165"/>
        <v>34904298</v>
      </c>
      <c r="BE71" s="875">
        <f t="shared" si="165"/>
        <v>34961629</v>
      </c>
      <c r="BF71" s="875">
        <f t="shared" si="165"/>
        <v>35025090</v>
      </c>
      <c r="BG71" s="875">
        <f t="shared" si="165"/>
        <v>35086530</v>
      </c>
      <c r="BH71" s="875">
        <f t="shared" si="165"/>
        <v>35150026</v>
      </c>
      <c r="BI71" s="875">
        <f t="shared" si="165"/>
        <v>35211431</v>
      </c>
      <c r="BJ71" s="875">
        <f t="shared" ref="BJ71:BY71" si="166">BJ72+BJ73-BJ74+BJ75-BJ76</f>
        <v>35274926</v>
      </c>
      <c r="BK71" s="875">
        <f t="shared" si="166"/>
        <v>35338386</v>
      </c>
      <c r="BL71" s="875">
        <f t="shared" si="166"/>
        <v>35399828</v>
      </c>
      <c r="BM71" s="875">
        <f t="shared" si="166"/>
        <v>35463323</v>
      </c>
      <c r="BN71" s="875">
        <f t="shared" si="166"/>
        <v>35524728</v>
      </c>
      <c r="BO71" s="875">
        <f t="shared" si="166"/>
        <v>35589885</v>
      </c>
      <c r="BP71" s="456">
        <f t="shared" si="166"/>
        <v>35589885</v>
      </c>
      <c r="BQ71" s="875">
        <f t="shared" si="166"/>
        <v>35507766</v>
      </c>
      <c r="BR71" s="875">
        <f t="shared" si="166"/>
        <v>35572979</v>
      </c>
      <c r="BS71" s="875">
        <f t="shared" si="166"/>
        <v>35645169</v>
      </c>
      <c r="BT71" s="875">
        <f t="shared" si="166"/>
        <v>35715058</v>
      </c>
      <c r="BU71" s="875">
        <f t="shared" si="166"/>
        <v>35787248</v>
      </c>
      <c r="BV71" s="875">
        <f t="shared" si="166"/>
        <v>35857135</v>
      </c>
      <c r="BW71" s="875">
        <f t="shared" si="166"/>
        <v>35929324</v>
      </c>
      <c r="BX71" s="875">
        <f t="shared" si="166"/>
        <v>986682</v>
      </c>
      <c r="BY71" s="875">
        <f t="shared" si="166"/>
        <v>988236</v>
      </c>
      <c r="BZ71" s="1270">
        <f t="shared" ref="BZ71:CG71" si="167">BZ72+BZ73-BZ74+BZ75-BZ76</f>
        <v>989763</v>
      </c>
      <c r="CA71" s="1270">
        <f t="shared" si="167"/>
        <v>991155</v>
      </c>
      <c r="CB71" s="1270">
        <f t="shared" si="167"/>
        <v>992575</v>
      </c>
      <c r="CC71" s="1193">
        <f t="shared" si="167"/>
        <v>992575</v>
      </c>
      <c r="CD71" s="1270">
        <f t="shared" si="167"/>
        <v>900805</v>
      </c>
      <c r="CE71" s="1270">
        <f t="shared" si="167"/>
        <v>901681</v>
      </c>
      <c r="CF71" s="1270">
        <f t="shared" si="167"/>
        <v>902524</v>
      </c>
      <c r="CG71" s="1332">
        <f t="shared" si="167"/>
        <v>903077</v>
      </c>
      <c r="CH71" s="1332">
        <f t="shared" ref="CH71:DA71" si="168">CH72+CH73-CH74+CH75-CH76</f>
        <v>903651</v>
      </c>
      <c r="CI71" s="1332">
        <f t="shared" si="168"/>
        <v>904066</v>
      </c>
      <c r="CJ71" s="1332">
        <f t="shared" si="168"/>
        <v>904470</v>
      </c>
      <c r="CK71" s="1332">
        <f t="shared" si="168"/>
        <v>904873</v>
      </c>
      <c r="CL71" s="1332">
        <f t="shared" si="168"/>
        <v>905250</v>
      </c>
      <c r="CM71" s="1332">
        <f t="shared" si="168"/>
        <v>905654</v>
      </c>
      <c r="CN71" s="1332">
        <f t="shared" si="168"/>
        <v>906057</v>
      </c>
      <c r="CO71" s="1332">
        <f t="shared" si="168"/>
        <v>906455</v>
      </c>
      <c r="CP71" s="1193">
        <f t="shared" si="168"/>
        <v>906455</v>
      </c>
      <c r="CQ71" s="1332">
        <f t="shared" si="168"/>
        <v>903739</v>
      </c>
      <c r="CR71" s="1332">
        <f t="shared" si="168"/>
        <v>904084</v>
      </c>
      <c r="CS71" s="1332">
        <f t="shared" si="168"/>
        <v>904485</v>
      </c>
      <c r="CT71" s="1332">
        <f t="shared" si="168"/>
        <v>904851</v>
      </c>
      <c r="CU71" s="1332">
        <f t="shared" si="168"/>
        <v>905245</v>
      </c>
      <c r="CV71" s="1332">
        <f t="shared" si="168"/>
        <v>905635</v>
      </c>
      <c r="CW71" s="1332">
        <f t="shared" si="168"/>
        <v>906025</v>
      </c>
      <c r="CX71" s="1332">
        <f t="shared" si="168"/>
        <v>906466</v>
      </c>
      <c r="CY71" s="1332">
        <f t="shared" si="168"/>
        <v>907042</v>
      </c>
      <c r="CZ71" s="1332">
        <f t="shared" si="168"/>
        <v>907594</v>
      </c>
      <c r="DA71" s="1332">
        <f t="shared" si="168"/>
        <v>908216</v>
      </c>
      <c r="DB71" s="1332">
        <f>DB72+DB73-DB74+DB75-DB76</f>
        <v>908993</v>
      </c>
      <c r="DC71" s="1193">
        <f>DC72+DC73-DC74+DC75-DC76</f>
        <v>908993</v>
      </c>
      <c r="DD71" s="1332">
        <f t="shared" ref="DD71:DN71" si="169">DD72+DD73-DD74+DD75-DD76</f>
        <v>906774</v>
      </c>
      <c r="DE71" s="1332">
        <f t="shared" si="169"/>
        <v>907752</v>
      </c>
      <c r="DF71" s="1332">
        <f t="shared" si="169"/>
        <v>908733</v>
      </c>
      <c r="DG71" s="1332">
        <f t="shared" si="169"/>
        <v>909739</v>
      </c>
      <c r="DH71" s="1332">
        <f t="shared" si="169"/>
        <v>910960</v>
      </c>
      <c r="DI71" s="1332">
        <f t="shared" si="169"/>
        <v>912263</v>
      </c>
      <c r="DJ71" s="1332">
        <f t="shared" si="169"/>
        <v>912263</v>
      </c>
      <c r="DK71" s="1332">
        <f t="shared" si="169"/>
        <v>912263</v>
      </c>
      <c r="DL71" s="1332">
        <f t="shared" si="169"/>
        <v>912263</v>
      </c>
      <c r="DM71" s="1332">
        <f t="shared" si="169"/>
        <v>912263</v>
      </c>
      <c r="DN71" s="1332">
        <f t="shared" si="169"/>
        <v>912263</v>
      </c>
      <c r="DO71" s="1332">
        <f>DO72+DO73-DO74+DO75-DO76</f>
        <v>912263</v>
      </c>
      <c r="DP71" s="1193">
        <f>DP72+DP73-DP74+DP75-DP76</f>
        <v>912263</v>
      </c>
    </row>
    <row r="72" spans="1:120" ht="15" customHeight="1">
      <c r="A72" s="626"/>
      <c r="B72" s="678" t="s">
        <v>444</v>
      </c>
      <c r="C72" s="679"/>
      <c r="D72" s="680"/>
      <c r="E72" s="622"/>
      <c r="F72" s="622"/>
      <c r="G72" s="622"/>
      <c r="H72" s="622"/>
      <c r="I72" s="622"/>
      <c r="J72" s="622"/>
      <c r="K72" s="622"/>
      <c r="L72" s="622"/>
      <c r="M72" s="622"/>
      <c r="N72" s="622"/>
      <c r="O72" s="681"/>
      <c r="P72" s="682">
        <f>D72</f>
        <v>0</v>
      </c>
      <c r="Q72" s="680">
        <f t="shared" ref="Q72:AB72" si="170">P71</f>
        <v>13669936</v>
      </c>
      <c r="R72" s="622">
        <f t="shared" si="170"/>
        <v>13704471</v>
      </c>
      <c r="S72" s="622">
        <f t="shared" si="170"/>
        <v>13736067</v>
      </c>
      <c r="T72" s="622">
        <f t="shared" si="170"/>
        <v>13771052</v>
      </c>
      <c r="U72" s="622">
        <f t="shared" si="170"/>
        <v>13804907</v>
      </c>
      <c r="V72" s="622">
        <f t="shared" si="170"/>
        <v>13839891</v>
      </c>
      <c r="W72" s="622">
        <f t="shared" si="170"/>
        <v>13873745</v>
      </c>
      <c r="X72" s="622">
        <f t="shared" si="170"/>
        <v>13908725</v>
      </c>
      <c r="Y72" s="622">
        <f t="shared" si="170"/>
        <v>13943698</v>
      </c>
      <c r="Z72" s="622">
        <f t="shared" si="170"/>
        <v>13977552</v>
      </c>
      <c r="AA72" s="622">
        <f t="shared" si="170"/>
        <v>14012532</v>
      </c>
      <c r="AB72" s="681">
        <f t="shared" si="170"/>
        <v>14046384</v>
      </c>
      <c r="AC72" s="683">
        <f>Q72</f>
        <v>13669936</v>
      </c>
      <c r="AD72" s="873">
        <f t="shared" ref="AD72:AO72" si="171">AC71</f>
        <v>14081039</v>
      </c>
      <c r="AE72" s="872">
        <f t="shared" si="171"/>
        <v>14027770</v>
      </c>
      <c r="AF72" s="872">
        <f t="shared" si="171"/>
        <v>14055695</v>
      </c>
      <c r="AG72" s="872">
        <f t="shared" si="171"/>
        <v>14085564</v>
      </c>
      <c r="AH72" s="872">
        <f t="shared" si="171"/>
        <v>14114453</v>
      </c>
      <c r="AI72" s="872">
        <f t="shared" si="171"/>
        <v>14144323</v>
      </c>
      <c r="AJ72" s="872">
        <f t="shared" si="171"/>
        <v>14173212</v>
      </c>
      <c r="AK72" s="872">
        <f t="shared" si="171"/>
        <v>14203081</v>
      </c>
      <c r="AL72" s="872">
        <f t="shared" si="171"/>
        <v>14232936</v>
      </c>
      <c r="AM72" s="872">
        <f t="shared" si="171"/>
        <v>14261840</v>
      </c>
      <c r="AN72" s="872">
        <f t="shared" si="171"/>
        <v>14291695</v>
      </c>
      <c r="AO72" s="871">
        <f t="shared" si="171"/>
        <v>14320598</v>
      </c>
      <c r="AP72" s="884">
        <f>AD72</f>
        <v>14081039</v>
      </c>
      <c r="AQ72" s="891">
        <f t="shared" ref="AQ72:AX72" si="172">AP71</f>
        <v>34354541</v>
      </c>
      <c r="AR72" s="892">
        <f t="shared" si="172"/>
        <v>34337833</v>
      </c>
      <c r="AS72" s="892">
        <f t="shared" si="172"/>
        <v>34393042</v>
      </c>
      <c r="AT72" s="892">
        <f t="shared" si="172"/>
        <v>34454180</v>
      </c>
      <c r="AU72" s="892">
        <f t="shared" si="172"/>
        <v>34513330</v>
      </c>
      <c r="AV72" s="892">
        <f t="shared" si="172"/>
        <v>34574434</v>
      </c>
      <c r="AW72" s="907">
        <f t="shared" si="172"/>
        <v>34633584</v>
      </c>
      <c r="AX72" s="907">
        <f t="shared" si="172"/>
        <v>34694721</v>
      </c>
      <c r="AY72" s="914">
        <f>AX71</f>
        <v>34755825</v>
      </c>
      <c r="AZ72" s="1002">
        <f>AY71</f>
        <v>34814975</v>
      </c>
      <c r="BA72" s="1002">
        <f>AZ71</f>
        <v>34876113</v>
      </c>
      <c r="BB72" s="1003">
        <f>BA71</f>
        <v>34935263</v>
      </c>
      <c r="BC72" s="884">
        <f>AQ72</f>
        <v>34354541</v>
      </c>
      <c r="BD72" s="1015">
        <f t="shared" ref="BD72:BJ72" si="173">BC71</f>
        <v>34996554</v>
      </c>
      <c r="BE72" s="1015">
        <f t="shared" si="173"/>
        <v>34904298</v>
      </c>
      <c r="BF72" s="1024">
        <f t="shared" si="173"/>
        <v>34961629</v>
      </c>
      <c r="BG72" s="1038">
        <f t="shared" si="173"/>
        <v>35025090</v>
      </c>
      <c r="BH72" s="1038">
        <f t="shared" si="173"/>
        <v>35086530</v>
      </c>
      <c r="BI72" s="1038">
        <f t="shared" si="173"/>
        <v>35150026</v>
      </c>
      <c r="BJ72" s="1162">
        <f t="shared" si="173"/>
        <v>35211431</v>
      </c>
      <c r="BK72" s="1162">
        <f>BJ71</f>
        <v>35274926</v>
      </c>
      <c r="BL72" s="1162">
        <f>BK71</f>
        <v>35338386</v>
      </c>
      <c r="BM72" s="1162">
        <f>BL71</f>
        <v>35399828</v>
      </c>
      <c r="BN72" s="1162">
        <f>BM71</f>
        <v>35463323</v>
      </c>
      <c r="BO72" s="1162">
        <f>BN71</f>
        <v>35524728</v>
      </c>
      <c r="BP72" s="884">
        <f>BD72</f>
        <v>34996554</v>
      </c>
      <c r="BQ72" s="1224">
        <f t="shared" ref="BQ72:CB72" si="174">BP71</f>
        <v>35589885</v>
      </c>
      <c r="BR72" s="1224">
        <f t="shared" si="174"/>
        <v>35507766</v>
      </c>
      <c r="BS72" s="1224">
        <f t="shared" si="174"/>
        <v>35572979</v>
      </c>
      <c r="BT72" s="1224">
        <f t="shared" si="174"/>
        <v>35645169</v>
      </c>
      <c r="BU72" s="1224">
        <f t="shared" si="174"/>
        <v>35715058</v>
      </c>
      <c r="BV72" s="1224">
        <f t="shared" si="174"/>
        <v>35787248</v>
      </c>
      <c r="BW72" s="1224">
        <f t="shared" si="174"/>
        <v>35857135</v>
      </c>
      <c r="BX72" s="1224">
        <f t="shared" si="174"/>
        <v>35929324</v>
      </c>
      <c r="BY72" s="1224">
        <f t="shared" si="174"/>
        <v>986682</v>
      </c>
      <c r="BZ72" s="1194">
        <f t="shared" si="174"/>
        <v>988236</v>
      </c>
      <c r="CA72" s="1194">
        <f t="shared" si="174"/>
        <v>989763</v>
      </c>
      <c r="CB72" s="1194">
        <f t="shared" si="174"/>
        <v>991155</v>
      </c>
      <c r="CC72" s="1195">
        <f>BQ72</f>
        <v>35589885</v>
      </c>
      <c r="CD72" s="1293">
        <f>CC71</f>
        <v>992575</v>
      </c>
      <c r="CE72" s="1293">
        <f>CD71</f>
        <v>900805</v>
      </c>
      <c r="CF72" s="1293">
        <f>CE71</f>
        <v>901681</v>
      </c>
      <c r="CG72" s="1333">
        <f t="shared" ref="CG72:CO72" si="175">CF71</f>
        <v>902524</v>
      </c>
      <c r="CH72" s="1333">
        <f t="shared" si="175"/>
        <v>903077</v>
      </c>
      <c r="CI72" s="1333">
        <f t="shared" si="175"/>
        <v>903651</v>
      </c>
      <c r="CJ72" s="1333">
        <f t="shared" si="175"/>
        <v>904066</v>
      </c>
      <c r="CK72" s="1333">
        <f t="shared" si="175"/>
        <v>904470</v>
      </c>
      <c r="CL72" s="1333">
        <f t="shared" si="175"/>
        <v>904873</v>
      </c>
      <c r="CM72" s="1368">
        <f t="shared" si="175"/>
        <v>905250</v>
      </c>
      <c r="CN72" s="1368">
        <f t="shared" si="175"/>
        <v>905654</v>
      </c>
      <c r="CO72" s="1368">
        <f t="shared" si="175"/>
        <v>906057</v>
      </c>
      <c r="CP72" s="1294">
        <f>CD72</f>
        <v>992575</v>
      </c>
      <c r="CQ72" s="1392">
        <f t="shared" ref="CQ72:DB72" si="176">CP71</f>
        <v>906455</v>
      </c>
      <c r="CR72" s="1392">
        <f t="shared" si="176"/>
        <v>903739</v>
      </c>
      <c r="CS72" s="1392">
        <f t="shared" si="176"/>
        <v>904084</v>
      </c>
      <c r="CT72" s="1392">
        <f t="shared" si="176"/>
        <v>904485</v>
      </c>
      <c r="CU72" s="1392">
        <f t="shared" si="176"/>
        <v>904851</v>
      </c>
      <c r="CV72" s="1392">
        <f t="shared" si="176"/>
        <v>905245</v>
      </c>
      <c r="CW72" s="1392">
        <f t="shared" si="176"/>
        <v>905635</v>
      </c>
      <c r="CX72" s="1392">
        <f t="shared" si="176"/>
        <v>906025</v>
      </c>
      <c r="CY72" s="1392">
        <f t="shared" si="176"/>
        <v>906466</v>
      </c>
      <c r="CZ72" s="1431">
        <f t="shared" si="176"/>
        <v>907042</v>
      </c>
      <c r="DA72" s="1431">
        <f t="shared" si="176"/>
        <v>907594</v>
      </c>
      <c r="DB72" s="1431">
        <f t="shared" si="176"/>
        <v>908216</v>
      </c>
      <c r="DC72" s="1393">
        <f>CQ72</f>
        <v>906455</v>
      </c>
      <c r="DD72" s="1451">
        <f t="shared" ref="DD72:DO72" si="177">DC71</f>
        <v>908993</v>
      </c>
      <c r="DE72" s="1451">
        <f t="shared" si="177"/>
        <v>906774</v>
      </c>
      <c r="DF72" s="1451">
        <f t="shared" si="177"/>
        <v>907752</v>
      </c>
      <c r="DG72" s="1451">
        <f t="shared" si="177"/>
        <v>908733</v>
      </c>
      <c r="DH72" s="1451">
        <f t="shared" si="177"/>
        <v>909739</v>
      </c>
      <c r="DI72" s="1451">
        <f t="shared" si="177"/>
        <v>910960</v>
      </c>
      <c r="DJ72" s="1451">
        <f t="shared" si="177"/>
        <v>912263</v>
      </c>
      <c r="DK72" s="1451">
        <f t="shared" si="177"/>
        <v>912263</v>
      </c>
      <c r="DL72" s="1451">
        <f t="shared" si="177"/>
        <v>912263</v>
      </c>
      <c r="DM72" s="1451">
        <f t="shared" si="177"/>
        <v>912263</v>
      </c>
      <c r="DN72" s="1451">
        <f t="shared" si="177"/>
        <v>912263</v>
      </c>
      <c r="DO72" s="1451">
        <f t="shared" si="177"/>
        <v>912263</v>
      </c>
      <c r="DP72" s="1452">
        <f>DD72</f>
        <v>908993</v>
      </c>
    </row>
    <row r="73" spans="1:120" ht="15" customHeight="1">
      <c r="A73" s="626"/>
      <c r="B73" s="678" t="s">
        <v>440</v>
      </c>
      <c r="C73" s="679"/>
      <c r="D73" s="680"/>
      <c r="E73" s="622"/>
      <c r="F73" s="622"/>
      <c r="G73" s="622"/>
      <c r="H73" s="622"/>
      <c r="I73" s="622"/>
      <c r="J73" s="622"/>
      <c r="K73" s="622"/>
      <c r="L73" s="622"/>
      <c r="M73" s="622"/>
      <c r="N73" s="622"/>
      <c r="O73" s="681">
        <v>13667683</v>
      </c>
      <c r="P73" s="682">
        <f>SUM(D73:O73)</f>
        <v>13667683</v>
      </c>
      <c r="Q73" s="680"/>
      <c r="R73" s="622"/>
      <c r="S73" s="622"/>
      <c r="T73" s="622"/>
      <c r="U73" s="622"/>
      <c r="V73" s="622"/>
      <c r="W73" s="622"/>
      <c r="X73" s="622"/>
      <c r="Y73" s="622"/>
      <c r="Z73" s="622"/>
      <c r="AA73" s="622"/>
      <c r="AB73" s="681"/>
      <c r="AC73" s="683">
        <f>SUM(Q73:AB73)</f>
        <v>0</v>
      </c>
      <c r="AD73" s="873"/>
      <c r="AE73" s="872"/>
      <c r="AF73" s="872"/>
      <c r="AG73" s="872"/>
      <c r="AH73" s="872"/>
      <c r="AI73" s="872"/>
      <c r="AJ73" s="872"/>
      <c r="AK73" s="872"/>
      <c r="AL73" s="872"/>
      <c r="AM73" s="872"/>
      <c r="AN73" s="872"/>
      <c r="AO73" s="871">
        <v>20000000</v>
      </c>
      <c r="AP73" s="884">
        <f>SUM(AD73:AO73)</f>
        <v>20000000</v>
      </c>
      <c r="AQ73" s="891"/>
      <c r="AR73" s="892"/>
      <c r="AS73" s="892"/>
      <c r="AT73" s="892"/>
      <c r="AU73" s="892"/>
      <c r="AV73" s="892"/>
      <c r="AW73" s="907"/>
      <c r="AX73" s="907"/>
      <c r="AY73" s="914"/>
      <c r="AZ73" s="1002"/>
      <c r="BA73" s="1002"/>
      <c r="BB73" s="1003"/>
      <c r="BC73" s="884">
        <f>SUM(AQ73:BB73)</f>
        <v>0</v>
      </c>
      <c r="BD73" s="1015"/>
      <c r="BE73" s="1002"/>
      <c r="BF73" s="1025"/>
      <c r="BG73" s="1039"/>
      <c r="BH73" s="1039"/>
      <c r="BI73" s="1039"/>
      <c r="BJ73" s="1163"/>
      <c r="BK73" s="1163"/>
      <c r="BL73" s="1163"/>
      <c r="BM73" s="1163"/>
      <c r="BN73" s="1163"/>
      <c r="BO73" s="1175"/>
      <c r="BP73" s="884">
        <f>SUM(BD73:BO73)</f>
        <v>0</v>
      </c>
      <c r="BQ73" s="1224"/>
      <c r="BR73" s="1225"/>
      <c r="BS73" s="1225"/>
      <c r="BT73" s="1225"/>
      <c r="BU73" s="1225"/>
      <c r="BV73" s="1225"/>
      <c r="BW73" s="1225"/>
      <c r="BX73" s="1225"/>
      <c r="BY73" s="1225"/>
      <c r="BZ73" s="1163"/>
      <c r="CA73" s="1163"/>
      <c r="CB73" s="1175"/>
      <c r="CC73" s="1195">
        <f>SUM(BQ73:CB73)</f>
        <v>0</v>
      </c>
      <c r="CD73" s="1293"/>
      <c r="CE73" s="1295"/>
      <c r="CF73" s="1295"/>
      <c r="CG73" s="1334"/>
      <c r="CH73" s="1334"/>
      <c r="CI73" s="1334"/>
      <c r="CJ73" s="1334"/>
      <c r="CK73" s="1334"/>
      <c r="CL73" s="1334"/>
      <c r="CM73" s="1369"/>
      <c r="CN73" s="1369"/>
      <c r="CO73" s="1370"/>
      <c r="CP73" s="1294">
        <f>SUM(CD73:CO73)</f>
        <v>0</v>
      </c>
      <c r="CQ73" s="1392"/>
      <c r="CR73" s="1394"/>
      <c r="CS73" s="1394"/>
      <c r="CT73" s="1394"/>
      <c r="CU73" s="1394"/>
      <c r="CV73" s="1394"/>
      <c r="CW73" s="1394"/>
      <c r="CX73" s="1394"/>
      <c r="CY73" s="1394"/>
      <c r="CZ73" s="1432"/>
      <c r="DA73" s="1432"/>
      <c r="DB73" s="1433"/>
      <c r="DC73" s="1393">
        <f>SUM(CQ73:DB73)</f>
        <v>0</v>
      </c>
      <c r="DD73" s="1451"/>
      <c r="DE73" s="1453"/>
      <c r="DF73" s="1453"/>
      <c r="DG73" s="1453"/>
      <c r="DH73" s="1453"/>
      <c r="DI73" s="1453"/>
      <c r="DJ73" s="1453"/>
      <c r="DK73" s="1453"/>
      <c r="DL73" s="1453"/>
      <c r="DM73" s="1453"/>
      <c r="DN73" s="1453"/>
      <c r="DO73" s="1454"/>
      <c r="DP73" s="1452">
        <f>SUM(DD73:DO73)</f>
        <v>0</v>
      </c>
    </row>
    <row r="74" spans="1:120" ht="15" customHeight="1">
      <c r="A74" s="626"/>
      <c r="B74" s="678" t="s">
        <v>441</v>
      </c>
      <c r="C74" s="679"/>
      <c r="D74" s="680"/>
      <c r="E74" s="622"/>
      <c r="F74" s="622"/>
      <c r="G74" s="622"/>
      <c r="H74" s="622"/>
      <c r="I74" s="622"/>
      <c r="J74" s="622"/>
      <c r="K74" s="622"/>
      <c r="L74" s="622"/>
      <c r="M74" s="622"/>
      <c r="N74" s="622"/>
      <c r="O74" s="681"/>
      <c r="P74" s="682">
        <f>SUM(D74:O74)</f>
        <v>0</v>
      </c>
      <c r="Q74" s="680"/>
      <c r="R74" s="622"/>
      <c r="S74" s="622"/>
      <c r="T74" s="622"/>
      <c r="U74" s="622"/>
      <c r="V74" s="622"/>
      <c r="W74" s="622"/>
      <c r="X74" s="622"/>
      <c r="Y74" s="622"/>
      <c r="Z74" s="622"/>
      <c r="AA74" s="622"/>
      <c r="AB74" s="681"/>
      <c r="AC74" s="683">
        <f>SUM(Q74:AB74)</f>
        <v>0</v>
      </c>
      <c r="AD74" s="873"/>
      <c r="AE74" s="872"/>
      <c r="AF74" s="872"/>
      <c r="AG74" s="872"/>
      <c r="AH74" s="872"/>
      <c r="AI74" s="872"/>
      <c r="AJ74" s="872"/>
      <c r="AK74" s="872"/>
      <c r="AL74" s="872"/>
      <c r="AM74" s="872"/>
      <c r="AN74" s="872"/>
      <c r="AO74" s="871"/>
      <c r="AP74" s="884">
        <f>SUM(AD74:AO74)</f>
        <v>0</v>
      </c>
      <c r="AQ74" s="891"/>
      <c r="AR74" s="892"/>
      <c r="AS74" s="892"/>
      <c r="AT74" s="892"/>
      <c r="AU74" s="892"/>
      <c r="AV74" s="892"/>
      <c r="AW74" s="907"/>
      <c r="AX74" s="907"/>
      <c r="AY74" s="914"/>
      <c r="AZ74" s="1002"/>
      <c r="BA74" s="1002"/>
      <c r="BB74" s="1003"/>
      <c r="BC74" s="884">
        <f>SUM(AQ74:BB74)</f>
        <v>0</v>
      </c>
      <c r="BD74" s="1015"/>
      <c r="BE74" s="1002"/>
      <c r="BF74" s="1025"/>
      <c r="BG74" s="1039"/>
      <c r="BH74" s="1039"/>
      <c r="BI74" s="1039"/>
      <c r="BJ74" s="1163"/>
      <c r="BK74" s="1163"/>
      <c r="BL74" s="1163"/>
      <c r="BM74" s="1163"/>
      <c r="BN74" s="1163"/>
      <c r="BO74" s="1175"/>
      <c r="BP74" s="884">
        <f>SUM(BD74:BO74)</f>
        <v>0</v>
      </c>
      <c r="BQ74" s="1224"/>
      <c r="BR74" s="1225"/>
      <c r="BS74" s="1225"/>
      <c r="BT74" s="1225"/>
      <c r="BU74" s="1225"/>
      <c r="BV74" s="1225"/>
      <c r="BW74" s="1225"/>
      <c r="BX74" s="1225">
        <v>35000000</v>
      </c>
      <c r="BY74" s="1225"/>
      <c r="BZ74" s="1163"/>
      <c r="CA74" s="1163"/>
      <c r="CB74" s="1175"/>
      <c r="CC74" s="1195">
        <f>SUM(BQ74:CB74)</f>
        <v>35000000</v>
      </c>
      <c r="CD74" s="1293"/>
      <c r="CE74" s="1295"/>
      <c r="CF74" s="1295"/>
      <c r="CG74" s="1334"/>
      <c r="CH74" s="1334"/>
      <c r="CI74" s="1334"/>
      <c r="CJ74" s="1334"/>
      <c r="CK74" s="1334"/>
      <c r="CL74" s="1334"/>
      <c r="CM74" s="1369"/>
      <c r="CN74" s="1369"/>
      <c r="CO74" s="1370"/>
      <c r="CP74" s="1294">
        <f>SUM(CD74:CO74)</f>
        <v>0</v>
      </c>
      <c r="CQ74" s="1392"/>
      <c r="CR74" s="1394"/>
      <c r="CS74" s="1394"/>
      <c r="CT74" s="1394"/>
      <c r="CU74" s="1394"/>
      <c r="CV74" s="1394"/>
      <c r="CW74" s="1394"/>
      <c r="CX74" s="1394"/>
      <c r="CY74" s="1394"/>
      <c r="CZ74" s="1432"/>
      <c r="DA74" s="1432"/>
      <c r="DB74" s="1433"/>
      <c r="DC74" s="1393">
        <f>SUM(CQ74:DB74)</f>
        <v>0</v>
      </c>
      <c r="DD74" s="1451"/>
      <c r="DE74" s="1453"/>
      <c r="DF74" s="1453"/>
      <c r="DG74" s="1453"/>
      <c r="DH74" s="1453"/>
      <c r="DI74" s="1453"/>
      <c r="DJ74" s="1453"/>
      <c r="DK74" s="1453"/>
      <c r="DL74" s="1453"/>
      <c r="DM74" s="1453"/>
      <c r="DN74" s="1453"/>
      <c r="DO74" s="1454"/>
      <c r="DP74" s="1452">
        <f>SUM(DD74:DO74)</f>
        <v>0</v>
      </c>
    </row>
    <row r="75" spans="1:120" ht="15" customHeight="1">
      <c r="A75" s="626"/>
      <c r="B75" s="678" t="s">
        <v>442</v>
      </c>
      <c r="C75" s="679"/>
      <c r="D75" s="680"/>
      <c r="E75" s="622"/>
      <c r="F75" s="622"/>
      <c r="G75" s="622"/>
      <c r="H75" s="622"/>
      <c r="I75" s="622"/>
      <c r="J75" s="622"/>
      <c r="K75" s="622"/>
      <c r="L75" s="622"/>
      <c r="M75" s="622"/>
      <c r="N75" s="622"/>
      <c r="O75" s="681">
        <v>2253</v>
      </c>
      <c r="P75" s="682">
        <f>SUM(D75:O75)</f>
        <v>2253</v>
      </c>
      <c r="Q75" s="680">
        <v>34984</v>
      </c>
      <c r="R75" s="622">
        <v>31596</v>
      </c>
      <c r="S75" s="622">
        <v>34985</v>
      </c>
      <c r="T75" s="622">
        <v>33855</v>
      </c>
      <c r="U75" s="622">
        <v>34984</v>
      </c>
      <c r="V75" s="622">
        <v>33854</v>
      </c>
      <c r="W75" s="622">
        <v>34980</v>
      </c>
      <c r="X75" s="622">
        <v>34973</v>
      </c>
      <c r="Y75" s="622">
        <v>33854</v>
      </c>
      <c r="Z75" s="622">
        <v>34980</v>
      </c>
      <c r="AA75" s="622">
        <v>33852</v>
      </c>
      <c r="AB75" s="681">
        <v>34655</v>
      </c>
      <c r="AC75" s="683">
        <f>SUM(Q75:AB75)</f>
        <v>411552</v>
      </c>
      <c r="AD75" s="873">
        <v>29934</v>
      </c>
      <c r="AE75" s="872">
        <v>27925</v>
      </c>
      <c r="AF75" s="872">
        <v>29869</v>
      </c>
      <c r="AG75" s="872">
        <v>28889</v>
      </c>
      <c r="AH75" s="872">
        <v>29870</v>
      </c>
      <c r="AI75" s="872">
        <v>28889</v>
      </c>
      <c r="AJ75" s="872">
        <v>29869</v>
      </c>
      <c r="AK75" s="872">
        <v>29855</v>
      </c>
      <c r="AL75" s="872">
        <v>28904</v>
      </c>
      <c r="AM75" s="872">
        <v>29855</v>
      </c>
      <c r="AN75" s="872">
        <v>28903</v>
      </c>
      <c r="AO75" s="871">
        <v>33943</v>
      </c>
      <c r="AP75" s="884">
        <f>SUM(AD75:AO75)</f>
        <v>356705</v>
      </c>
      <c r="AQ75" s="891">
        <v>61151</v>
      </c>
      <c r="AR75" s="892">
        <v>55209</v>
      </c>
      <c r="AS75" s="892">
        <v>61138</v>
      </c>
      <c r="AT75" s="892">
        <f>59150</f>
        <v>59150</v>
      </c>
      <c r="AU75" s="892">
        <v>61104</v>
      </c>
      <c r="AV75" s="892">
        <v>59150</v>
      </c>
      <c r="AW75" s="907">
        <v>61137</v>
      </c>
      <c r="AX75" s="907">
        <v>61104</v>
      </c>
      <c r="AY75" s="914">
        <v>59150</v>
      </c>
      <c r="AZ75" s="1002">
        <v>61138</v>
      </c>
      <c r="BA75" s="1002">
        <v>59150</v>
      </c>
      <c r="BB75" s="1003">
        <v>61291</v>
      </c>
      <c r="BC75" s="884">
        <f>SUM(AQ75:BB75)</f>
        <v>719872</v>
      </c>
      <c r="BD75" s="1015">
        <v>63595</v>
      </c>
      <c r="BE75" s="1002">
        <v>57331</v>
      </c>
      <c r="BF75" s="1025">
        <v>63461</v>
      </c>
      <c r="BG75" s="1039">
        <v>61440</v>
      </c>
      <c r="BH75" s="1039">
        <v>63496</v>
      </c>
      <c r="BI75" s="1039">
        <v>61405</v>
      </c>
      <c r="BJ75" s="1163">
        <v>63495</v>
      </c>
      <c r="BK75" s="1163">
        <v>63460</v>
      </c>
      <c r="BL75" s="1163">
        <v>61442</v>
      </c>
      <c r="BM75" s="1163">
        <v>63495</v>
      </c>
      <c r="BN75" s="1163">
        <v>61405</v>
      </c>
      <c r="BO75" s="1175">
        <v>65157</v>
      </c>
      <c r="BP75" s="884">
        <f>SUM(BD75:BO75)</f>
        <v>749182</v>
      </c>
      <c r="BQ75" s="1224">
        <v>72320</v>
      </c>
      <c r="BR75" s="1225">
        <v>65213</v>
      </c>
      <c r="BS75" s="1225">
        <v>72190</v>
      </c>
      <c r="BT75" s="1225">
        <v>69889</v>
      </c>
      <c r="BU75" s="1225">
        <v>72190</v>
      </c>
      <c r="BV75" s="1225">
        <v>69887</v>
      </c>
      <c r="BW75" s="1225">
        <v>72189</v>
      </c>
      <c r="BX75" s="1225">
        <v>57358</v>
      </c>
      <c r="BY75" s="1225">
        <v>1554</v>
      </c>
      <c r="BZ75" s="1163">
        <v>1527</v>
      </c>
      <c r="CA75" s="1163">
        <v>1392</v>
      </c>
      <c r="CB75" s="1175">
        <v>1420</v>
      </c>
      <c r="CC75" s="1195">
        <f>SUM(BQ75:CB75)</f>
        <v>557129</v>
      </c>
      <c r="CD75" s="1293">
        <v>1003</v>
      </c>
      <c r="CE75" s="1295">
        <v>876</v>
      </c>
      <c r="CF75" s="1295">
        <v>843</v>
      </c>
      <c r="CG75" s="1334">
        <v>553</v>
      </c>
      <c r="CH75" s="1334">
        <v>574</v>
      </c>
      <c r="CI75" s="1334">
        <v>415</v>
      </c>
      <c r="CJ75" s="1334">
        <v>404</v>
      </c>
      <c r="CK75" s="1334">
        <v>403</v>
      </c>
      <c r="CL75" s="1334">
        <v>377</v>
      </c>
      <c r="CM75" s="1369">
        <v>404</v>
      </c>
      <c r="CN75" s="1369">
        <v>403</v>
      </c>
      <c r="CO75" s="1370">
        <v>398</v>
      </c>
      <c r="CP75" s="1294">
        <f>SUM(CD75:CO75)</f>
        <v>6653</v>
      </c>
      <c r="CQ75" s="1392">
        <v>364</v>
      </c>
      <c r="CR75" s="1394">
        <v>345</v>
      </c>
      <c r="CS75" s="1394">
        <v>401</v>
      </c>
      <c r="CT75" s="1394">
        <v>366</v>
      </c>
      <c r="CU75" s="1394">
        <v>394</v>
      </c>
      <c r="CV75" s="1394">
        <v>390</v>
      </c>
      <c r="CW75" s="1394">
        <v>390</v>
      </c>
      <c r="CX75" s="1394">
        <v>441</v>
      </c>
      <c r="CY75" s="1394">
        <v>576</v>
      </c>
      <c r="CZ75" s="1432">
        <v>552</v>
      </c>
      <c r="DA75" s="1432">
        <v>622</v>
      </c>
      <c r="DB75" s="1433">
        <v>777</v>
      </c>
      <c r="DC75" s="1393">
        <f>SUM(CQ75:DB75)</f>
        <v>5618</v>
      </c>
      <c r="DD75" s="1451">
        <v>770</v>
      </c>
      <c r="DE75" s="1453">
        <v>978</v>
      </c>
      <c r="DF75" s="1453">
        <v>981</v>
      </c>
      <c r="DG75" s="1453">
        <v>1006</v>
      </c>
      <c r="DH75" s="1453">
        <v>1221</v>
      </c>
      <c r="DI75" s="1453">
        <v>1303</v>
      </c>
      <c r="DJ75" s="1453"/>
      <c r="DK75" s="1453"/>
      <c r="DL75" s="1453"/>
      <c r="DM75" s="1453"/>
      <c r="DN75" s="1453"/>
      <c r="DO75" s="1454"/>
      <c r="DP75" s="1452">
        <f>SUM(DD75:DO75)</f>
        <v>6259</v>
      </c>
    </row>
    <row r="76" spans="1:120" ht="15" customHeight="1">
      <c r="A76" s="626"/>
      <c r="B76" s="684" t="s">
        <v>443</v>
      </c>
      <c r="C76" s="685"/>
      <c r="D76" s="686"/>
      <c r="E76" s="687"/>
      <c r="F76" s="687"/>
      <c r="G76" s="687"/>
      <c r="H76" s="687"/>
      <c r="I76" s="687"/>
      <c r="J76" s="687"/>
      <c r="K76" s="687"/>
      <c r="L76" s="687"/>
      <c r="M76" s="687"/>
      <c r="N76" s="687"/>
      <c r="O76" s="688"/>
      <c r="P76" s="689">
        <f>SUM(D76:O76)</f>
        <v>0</v>
      </c>
      <c r="Q76" s="686">
        <v>449</v>
      </c>
      <c r="R76" s="687"/>
      <c r="S76" s="687"/>
      <c r="T76" s="687"/>
      <c r="U76" s="687"/>
      <c r="V76" s="687"/>
      <c r="W76" s="687"/>
      <c r="X76" s="687"/>
      <c r="Y76" s="687"/>
      <c r="Z76" s="687"/>
      <c r="AA76" s="687"/>
      <c r="AB76" s="688"/>
      <c r="AC76" s="690">
        <f>SUM(Q76:AB76)</f>
        <v>449</v>
      </c>
      <c r="AD76" s="830">
        <v>83203</v>
      </c>
      <c r="AE76" s="831"/>
      <c r="AF76" s="831"/>
      <c r="AG76" s="831"/>
      <c r="AH76" s="831"/>
      <c r="AI76" s="831"/>
      <c r="AJ76" s="831"/>
      <c r="AK76" s="831"/>
      <c r="AL76" s="831"/>
      <c r="AM76" s="831"/>
      <c r="AN76" s="831"/>
      <c r="AO76" s="832"/>
      <c r="AP76" s="883">
        <f>SUM(AD76:AO76)</f>
        <v>83203</v>
      </c>
      <c r="AQ76" s="893">
        <v>77859</v>
      </c>
      <c r="AR76" s="894"/>
      <c r="AS76" s="894"/>
      <c r="AT76" s="894"/>
      <c r="AU76" s="894"/>
      <c r="AV76" s="894"/>
      <c r="AW76" s="908"/>
      <c r="AX76" s="908"/>
      <c r="AY76" s="915"/>
      <c r="AZ76" s="1004"/>
      <c r="BA76" s="1004"/>
      <c r="BB76" s="1005"/>
      <c r="BC76" s="883">
        <f>SUM(AQ76:BB76)</f>
        <v>77859</v>
      </c>
      <c r="BD76" s="1016">
        <v>155851</v>
      </c>
      <c r="BE76" s="1004"/>
      <c r="BF76" s="1026"/>
      <c r="BG76" s="1040"/>
      <c r="BH76" s="1040"/>
      <c r="BI76" s="1040"/>
      <c r="BJ76" s="1164"/>
      <c r="BK76" s="1164"/>
      <c r="BL76" s="1164"/>
      <c r="BM76" s="1176"/>
      <c r="BN76" s="1176"/>
      <c r="BO76" s="1177"/>
      <c r="BP76" s="883">
        <f>SUM(BD76:BO76)</f>
        <v>155851</v>
      </c>
      <c r="BQ76" s="1232">
        <v>154439</v>
      </c>
      <c r="BR76" s="1230"/>
      <c r="BS76" s="1230"/>
      <c r="BT76" s="1230"/>
      <c r="BU76" s="1230"/>
      <c r="BV76" s="1230"/>
      <c r="BW76" s="1230"/>
      <c r="BX76" s="1230"/>
      <c r="BY76" s="1230"/>
      <c r="BZ76" s="1176"/>
      <c r="CA76" s="1176"/>
      <c r="CB76" s="1177"/>
      <c r="CC76" s="1196">
        <f>SUM(BQ76:CB76)</f>
        <v>154439</v>
      </c>
      <c r="CD76" s="1226">
        <v>92773</v>
      </c>
      <c r="CE76" s="1296"/>
      <c r="CF76" s="1296"/>
      <c r="CG76" s="1335"/>
      <c r="CH76" s="1335"/>
      <c r="CI76" s="1335"/>
      <c r="CJ76" s="1335"/>
      <c r="CK76" s="1335"/>
      <c r="CL76" s="1335"/>
      <c r="CM76" s="1371"/>
      <c r="CN76" s="1371"/>
      <c r="CO76" s="1372"/>
      <c r="CP76" s="1297">
        <f>SUM(CD76:CO76)</f>
        <v>92773</v>
      </c>
      <c r="CQ76" s="1395">
        <v>3080</v>
      </c>
      <c r="CR76" s="1396"/>
      <c r="CS76" s="1396"/>
      <c r="CT76" s="1396"/>
      <c r="CU76" s="1396"/>
      <c r="CV76" s="1396"/>
      <c r="CW76" s="1396"/>
      <c r="CX76" s="1396"/>
      <c r="CY76" s="1396"/>
      <c r="CZ76" s="1434"/>
      <c r="DA76" s="1434"/>
      <c r="DB76" s="1435"/>
      <c r="DC76" s="1397">
        <f>SUM(CQ76:DB76)</f>
        <v>3080</v>
      </c>
      <c r="DD76" s="1395">
        <f>1550+1439</f>
        <v>2989</v>
      </c>
      <c r="DE76" s="1455"/>
      <c r="DF76" s="1455"/>
      <c r="DG76" s="1455"/>
      <c r="DH76" s="1455"/>
      <c r="DI76" s="1455"/>
      <c r="DJ76" s="1455"/>
      <c r="DK76" s="1455"/>
      <c r="DL76" s="1455"/>
      <c r="DM76" s="1455"/>
      <c r="DN76" s="1455"/>
      <c r="DO76" s="1456"/>
      <c r="DP76" s="1457">
        <f>SUM(DD76:DO76)</f>
        <v>2989</v>
      </c>
    </row>
    <row r="77" spans="1:120" s="30" customFormat="1" ht="15" customHeight="1">
      <c r="A77" s="2174" t="s">
        <v>447</v>
      </c>
      <c r="B77" s="2175"/>
      <c r="C77" s="707"/>
      <c r="D77" s="694">
        <f>D78+D79-D80+D81-D82</f>
        <v>0</v>
      </c>
      <c r="E77" s="457">
        <f t="shared" ref="E77:O77" si="178">E78+E79-E80+E81-E82</f>
        <v>0</v>
      </c>
      <c r="F77" s="457">
        <f t="shared" si="178"/>
        <v>0</v>
      </c>
      <c r="G77" s="457">
        <f t="shared" si="178"/>
        <v>0</v>
      </c>
      <c r="H77" s="457">
        <f t="shared" si="178"/>
        <v>0</v>
      </c>
      <c r="I77" s="457">
        <f t="shared" si="178"/>
        <v>0</v>
      </c>
      <c r="J77" s="457">
        <f t="shared" si="178"/>
        <v>0</v>
      </c>
      <c r="K77" s="457">
        <f t="shared" si="178"/>
        <v>0</v>
      </c>
      <c r="L77" s="457">
        <f t="shared" si="178"/>
        <v>0</v>
      </c>
      <c r="M77" s="457">
        <f t="shared" si="178"/>
        <v>0</v>
      </c>
      <c r="N77" s="457">
        <f t="shared" si="178"/>
        <v>0</v>
      </c>
      <c r="O77" s="695">
        <f t="shared" si="178"/>
        <v>27341049</v>
      </c>
      <c r="P77" s="696">
        <f>P78+P79-P80+P81-P82</f>
        <v>27341049</v>
      </c>
      <c r="Q77" s="694">
        <f>Q78+Q79-Q80+Q81-Q82</f>
        <v>27411601</v>
      </c>
      <c r="R77" s="457">
        <f t="shared" ref="R77:AB77" si="179">R78+R79-R80+R81-R82</f>
        <v>27475336</v>
      </c>
      <c r="S77" s="457">
        <f t="shared" si="179"/>
        <v>27545902</v>
      </c>
      <c r="T77" s="457">
        <f t="shared" si="179"/>
        <v>27614186</v>
      </c>
      <c r="U77" s="457">
        <f t="shared" si="179"/>
        <v>27684754</v>
      </c>
      <c r="V77" s="457">
        <f t="shared" si="179"/>
        <v>27753038</v>
      </c>
      <c r="W77" s="457">
        <f t="shared" si="179"/>
        <v>27823604</v>
      </c>
      <c r="X77" s="457">
        <f t="shared" si="179"/>
        <v>27894170</v>
      </c>
      <c r="Y77" s="457">
        <f t="shared" si="179"/>
        <v>27962455</v>
      </c>
      <c r="Z77" s="457">
        <f t="shared" si="179"/>
        <v>28033020</v>
      </c>
      <c r="AA77" s="457">
        <f t="shared" si="179"/>
        <v>28101305</v>
      </c>
      <c r="AB77" s="695">
        <f t="shared" si="179"/>
        <v>48015688</v>
      </c>
      <c r="AC77" s="697">
        <f>AC78+AC79-AC80+AC81-AC82</f>
        <v>48015688</v>
      </c>
      <c r="AD77" s="833">
        <f>AD78+AD79-AD80+AD81-AD82</f>
        <v>48118360</v>
      </c>
      <c r="AE77" s="457">
        <f t="shared" ref="AE77:AO77" si="180">AE78+AE79-AE80+AE81-AE82</f>
        <v>48214457</v>
      </c>
      <c r="AF77" s="457">
        <f t="shared" si="180"/>
        <v>48317129</v>
      </c>
      <c r="AG77" s="457">
        <f t="shared" si="180"/>
        <v>48416537</v>
      </c>
      <c r="AH77" s="457">
        <f t="shared" si="180"/>
        <v>48519210</v>
      </c>
      <c r="AI77" s="457">
        <f t="shared" si="180"/>
        <v>48618618</v>
      </c>
      <c r="AJ77" s="457">
        <f t="shared" si="180"/>
        <v>48721290</v>
      </c>
      <c r="AK77" s="457">
        <f t="shared" si="180"/>
        <v>48824010</v>
      </c>
      <c r="AL77" s="457">
        <f t="shared" si="180"/>
        <v>48923371</v>
      </c>
      <c r="AM77" s="457">
        <f t="shared" si="180"/>
        <v>49026091</v>
      </c>
      <c r="AN77" s="457">
        <f t="shared" si="180"/>
        <v>49125451</v>
      </c>
      <c r="AO77" s="834">
        <f t="shared" si="180"/>
        <v>68977536</v>
      </c>
      <c r="AP77" s="697">
        <f t="shared" ref="AP77:BB77" si="181">AP78+AP79-AP80+AP81-AP82</f>
        <v>68977536</v>
      </c>
      <c r="AQ77" s="895">
        <f t="shared" si="181"/>
        <v>69100560</v>
      </c>
      <c r="AR77" s="896">
        <f t="shared" si="181"/>
        <v>69211655</v>
      </c>
      <c r="AS77" s="896">
        <f t="shared" si="181"/>
        <v>69334611</v>
      </c>
      <c r="AT77" s="896">
        <f t="shared" si="181"/>
        <v>69453635</v>
      </c>
      <c r="AU77" s="896">
        <f t="shared" si="181"/>
        <v>69576660</v>
      </c>
      <c r="AV77" s="896">
        <f t="shared" si="181"/>
        <v>69695685</v>
      </c>
      <c r="AW77" s="896">
        <f t="shared" si="181"/>
        <v>69818641</v>
      </c>
      <c r="AX77" s="896">
        <f t="shared" si="181"/>
        <v>69941665</v>
      </c>
      <c r="AY77" s="896">
        <f t="shared" si="181"/>
        <v>70060690</v>
      </c>
      <c r="AZ77" s="896">
        <f t="shared" si="181"/>
        <v>70183717</v>
      </c>
      <c r="BA77" s="896">
        <f t="shared" si="181"/>
        <v>70302742</v>
      </c>
      <c r="BB77" s="1006">
        <f t="shared" si="181"/>
        <v>90067061</v>
      </c>
      <c r="BC77" s="697">
        <f t="shared" ref="BC77:BI77" si="182">BC78+BC79-BC80+BC81-BC82</f>
        <v>90067061</v>
      </c>
      <c r="BD77" s="1017">
        <f t="shared" si="182"/>
        <v>90232213</v>
      </c>
      <c r="BE77" s="1017">
        <f t="shared" si="182"/>
        <v>90381426</v>
      </c>
      <c r="BF77" s="1017">
        <f t="shared" si="182"/>
        <v>90546668</v>
      </c>
      <c r="BG77" s="1041">
        <f t="shared" si="182"/>
        <v>90706506</v>
      </c>
      <c r="BH77" s="1041">
        <f t="shared" si="182"/>
        <v>90871748</v>
      </c>
      <c r="BI77" s="1041">
        <f t="shared" si="182"/>
        <v>91031587</v>
      </c>
      <c r="BJ77" s="1165">
        <f t="shared" ref="BJ77:BX77" si="183">BJ78+BJ79-BJ80+BJ81-BJ82</f>
        <v>91196739</v>
      </c>
      <c r="BK77" s="1165">
        <f t="shared" si="183"/>
        <v>91361980</v>
      </c>
      <c r="BL77" s="1165">
        <f t="shared" si="183"/>
        <v>91521819</v>
      </c>
      <c r="BM77" s="1165">
        <f t="shared" si="183"/>
        <v>91686971</v>
      </c>
      <c r="BN77" s="1165">
        <f t="shared" si="183"/>
        <v>91846900</v>
      </c>
      <c r="BO77" s="1165">
        <f t="shared" si="183"/>
        <v>112021212</v>
      </c>
      <c r="BP77" s="697">
        <f t="shared" si="183"/>
        <v>112021212</v>
      </c>
      <c r="BQ77" s="1165">
        <f t="shared" si="183"/>
        <v>111772831</v>
      </c>
      <c r="BR77" s="1165">
        <f t="shared" si="183"/>
        <v>111978122</v>
      </c>
      <c r="BS77" s="1165">
        <f t="shared" si="183"/>
        <v>112205380</v>
      </c>
      <c r="BT77" s="1165">
        <f t="shared" si="183"/>
        <v>112425390</v>
      </c>
      <c r="BU77" s="1165">
        <f t="shared" si="183"/>
        <v>112652648</v>
      </c>
      <c r="BV77" s="1165">
        <f t="shared" si="183"/>
        <v>112872657</v>
      </c>
      <c r="BW77" s="1165">
        <f t="shared" si="183"/>
        <v>113099915</v>
      </c>
      <c r="BX77" s="1165">
        <f t="shared" si="183"/>
        <v>113327172</v>
      </c>
      <c r="BY77" s="1165">
        <f t="shared" ref="BY77:CK77" si="184">BY78+BY79-BY80+BY81-BY82</f>
        <v>113547182</v>
      </c>
      <c r="BZ77" s="1272">
        <f t="shared" si="184"/>
        <v>113774440</v>
      </c>
      <c r="CA77" s="1272">
        <f t="shared" si="184"/>
        <v>113994449</v>
      </c>
      <c r="CB77" s="1272">
        <f t="shared" si="184"/>
        <v>124222422</v>
      </c>
      <c r="CC77" s="1197">
        <f t="shared" si="184"/>
        <v>124222422</v>
      </c>
      <c r="CD77" s="1165">
        <f t="shared" si="184"/>
        <v>124046340</v>
      </c>
      <c r="CE77" s="1165">
        <f t="shared" si="184"/>
        <v>124277400</v>
      </c>
      <c r="CF77" s="1165">
        <f t="shared" si="184"/>
        <v>124524425</v>
      </c>
      <c r="CG77" s="1336">
        <f t="shared" si="184"/>
        <v>124763520</v>
      </c>
      <c r="CH77" s="1336">
        <f t="shared" si="184"/>
        <v>125010478</v>
      </c>
      <c r="CI77" s="1336">
        <f t="shared" si="184"/>
        <v>125249525</v>
      </c>
      <c r="CJ77" s="1336">
        <f t="shared" si="184"/>
        <v>125496540</v>
      </c>
      <c r="CK77" s="1336">
        <f t="shared" si="184"/>
        <v>125743508</v>
      </c>
      <c r="CL77" s="1336">
        <f>CL78+CL79-CL80+CL81-CL82</f>
        <v>125982603</v>
      </c>
      <c r="CM77" s="1336">
        <f>CM78+CM79-CM80+CM81-CM82</f>
        <v>126229561</v>
      </c>
      <c r="CN77" s="1336">
        <f>CN78+CN79-CN80+CN81-CN82</f>
        <v>126468598</v>
      </c>
      <c r="CO77" s="1336">
        <f>CO78+CO79-CO80+CO81-CO82</f>
        <v>146301738</v>
      </c>
      <c r="CP77" s="1298">
        <f>CP78+CP79-CP80+CP81-CP82</f>
        <v>146301738</v>
      </c>
      <c r="CQ77" s="1336">
        <f t="shared" ref="CQ77:CX77" si="185">CQ78+CQ79-CQ80+CQ81-CQ82</f>
        <v>94482212</v>
      </c>
      <c r="CR77" s="1336">
        <f t="shared" si="185"/>
        <v>94616133</v>
      </c>
      <c r="CS77" s="1336">
        <f t="shared" si="185"/>
        <v>94764294</v>
      </c>
      <c r="CT77" s="1336">
        <f t="shared" si="185"/>
        <v>94907645</v>
      </c>
      <c r="CU77" s="1336">
        <f t="shared" si="185"/>
        <v>95055900</v>
      </c>
      <c r="CV77" s="1336">
        <f t="shared" si="185"/>
        <v>95199252</v>
      </c>
      <c r="CW77" s="1336">
        <f t="shared" si="185"/>
        <v>95347412</v>
      </c>
      <c r="CX77" s="1336">
        <f t="shared" si="185"/>
        <v>95495668</v>
      </c>
      <c r="CY77" s="1336">
        <f>CY78+CY79-CY80+CY81-CY82</f>
        <v>75619224</v>
      </c>
      <c r="CZ77" s="1336">
        <f>CZ78+CZ79-CZ80+CZ81-CZ82</f>
        <v>75736373</v>
      </c>
      <c r="DA77" s="1336">
        <f>DA78+DA79-DA80+DA81-DA82</f>
        <v>75849794</v>
      </c>
      <c r="DB77" s="1336">
        <f>DB78+DB79-DB80+DB81-DB82</f>
        <v>95669778</v>
      </c>
      <c r="DC77" s="1298">
        <f>DC78+DC79-DC80+DC81-DC82</f>
        <v>95669778</v>
      </c>
      <c r="DD77" s="1336">
        <f t="shared" ref="DD77:DK77" si="186">DD78+DD79-DD80+DD81-DD82</f>
        <v>95840504</v>
      </c>
      <c r="DE77" s="1336">
        <f t="shared" si="186"/>
        <v>95994719</v>
      </c>
      <c r="DF77" s="1336">
        <f t="shared" si="186"/>
        <v>96165510</v>
      </c>
      <c r="DG77" s="1336">
        <f t="shared" si="186"/>
        <v>96330724</v>
      </c>
      <c r="DH77" s="1336">
        <f t="shared" si="186"/>
        <v>96501450</v>
      </c>
      <c r="DI77" s="1336">
        <f t="shared" si="186"/>
        <v>86650593</v>
      </c>
      <c r="DJ77" s="1336">
        <f t="shared" si="186"/>
        <v>86650593</v>
      </c>
      <c r="DK77" s="1336">
        <f t="shared" si="186"/>
        <v>86650593</v>
      </c>
      <c r="DL77" s="1336">
        <f>DL78+DL79-DL80+DL81-DL82</f>
        <v>86650593</v>
      </c>
      <c r="DM77" s="1336">
        <f>DM78+DM79-DM80+DM81-DM82</f>
        <v>86650593</v>
      </c>
      <c r="DN77" s="1336">
        <f>DN78+DN79-DN80+DN81-DN82</f>
        <v>86650593</v>
      </c>
      <c r="DO77" s="1336">
        <f>DO78+DO79-DO80+DO81-DO82</f>
        <v>86650593</v>
      </c>
      <c r="DP77" s="1298">
        <f>DP78+DP79-DP80+DP81-DP82</f>
        <v>86650593</v>
      </c>
    </row>
    <row r="78" spans="1:120" ht="15" customHeight="1">
      <c r="A78" s="626"/>
      <c r="B78" s="678" t="s">
        <v>444</v>
      </c>
      <c r="C78" s="679"/>
      <c r="D78" s="680"/>
      <c r="E78" s="622"/>
      <c r="F78" s="622"/>
      <c r="G78" s="622"/>
      <c r="H78" s="622"/>
      <c r="I78" s="622"/>
      <c r="J78" s="622"/>
      <c r="K78" s="622"/>
      <c r="L78" s="622"/>
      <c r="M78" s="622"/>
      <c r="N78" s="622"/>
      <c r="O78" s="681"/>
      <c r="P78" s="682">
        <f>D78</f>
        <v>0</v>
      </c>
      <c r="Q78" s="680">
        <f t="shared" ref="Q78:AB78" si="187">P77</f>
        <v>27341049</v>
      </c>
      <c r="R78" s="622">
        <f t="shared" si="187"/>
        <v>27411601</v>
      </c>
      <c r="S78" s="622">
        <f t="shared" si="187"/>
        <v>27475336</v>
      </c>
      <c r="T78" s="622">
        <f t="shared" si="187"/>
        <v>27545902</v>
      </c>
      <c r="U78" s="622">
        <f t="shared" si="187"/>
        <v>27614186</v>
      </c>
      <c r="V78" s="622">
        <f t="shared" si="187"/>
        <v>27684754</v>
      </c>
      <c r="W78" s="622">
        <f t="shared" si="187"/>
        <v>27753038</v>
      </c>
      <c r="X78" s="622">
        <f t="shared" si="187"/>
        <v>27823604</v>
      </c>
      <c r="Y78" s="622">
        <f t="shared" si="187"/>
        <v>27894170</v>
      </c>
      <c r="Z78" s="622">
        <f t="shared" si="187"/>
        <v>27962455</v>
      </c>
      <c r="AA78" s="622">
        <f t="shared" si="187"/>
        <v>28033020</v>
      </c>
      <c r="AB78" s="681">
        <f t="shared" si="187"/>
        <v>28101305</v>
      </c>
      <c r="AC78" s="683">
        <f>Q78</f>
        <v>27341049</v>
      </c>
      <c r="AD78" s="873">
        <f t="shared" ref="AD78:AO78" si="188">AC77</f>
        <v>48015688</v>
      </c>
      <c r="AE78" s="872">
        <f t="shared" si="188"/>
        <v>48118360</v>
      </c>
      <c r="AF78" s="872">
        <f t="shared" si="188"/>
        <v>48214457</v>
      </c>
      <c r="AG78" s="872">
        <f t="shared" si="188"/>
        <v>48317129</v>
      </c>
      <c r="AH78" s="872">
        <f t="shared" si="188"/>
        <v>48416537</v>
      </c>
      <c r="AI78" s="872">
        <f t="shared" si="188"/>
        <v>48519210</v>
      </c>
      <c r="AJ78" s="872">
        <f t="shared" si="188"/>
        <v>48618618</v>
      </c>
      <c r="AK78" s="872">
        <f t="shared" si="188"/>
        <v>48721290</v>
      </c>
      <c r="AL78" s="872">
        <f t="shared" si="188"/>
        <v>48824010</v>
      </c>
      <c r="AM78" s="872">
        <f t="shared" si="188"/>
        <v>48923371</v>
      </c>
      <c r="AN78" s="872">
        <f t="shared" si="188"/>
        <v>49026091</v>
      </c>
      <c r="AO78" s="871">
        <f t="shared" si="188"/>
        <v>49125451</v>
      </c>
      <c r="AP78" s="884">
        <f>AD78</f>
        <v>48015688</v>
      </c>
      <c r="AQ78" s="891">
        <f t="shared" ref="AQ78:AX78" si="189">AP77</f>
        <v>68977536</v>
      </c>
      <c r="AR78" s="892">
        <f t="shared" si="189"/>
        <v>69100560</v>
      </c>
      <c r="AS78" s="892">
        <f t="shared" si="189"/>
        <v>69211655</v>
      </c>
      <c r="AT78" s="892">
        <f t="shared" si="189"/>
        <v>69334611</v>
      </c>
      <c r="AU78" s="892">
        <f t="shared" si="189"/>
        <v>69453635</v>
      </c>
      <c r="AV78" s="892">
        <f t="shared" si="189"/>
        <v>69576660</v>
      </c>
      <c r="AW78" s="907">
        <f t="shared" si="189"/>
        <v>69695685</v>
      </c>
      <c r="AX78" s="907">
        <f t="shared" si="189"/>
        <v>69818641</v>
      </c>
      <c r="AY78" s="914">
        <f>AX77</f>
        <v>69941665</v>
      </c>
      <c r="AZ78" s="1002">
        <f>AY77</f>
        <v>70060690</v>
      </c>
      <c r="BA78" s="1002">
        <f>AZ77</f>
        <v>70183717</v>
      </c>
      <c r="BB78" s="1003">
        <f>BA77</f>
        <v>70302742</v>
      </c>
      <c r="BC78" s="884">
        <f>AQ78</f>
        <v>68977536</v>
      </c>
      <c r="BD78" s="1015">
        <f t="shared" ref="BD78:BJ78" si="190">BC77</f>
        <v>90067061</v>
      </c>
      <c r="BE78" s="1015">
        <f t="shared" si="190"/>
        <v>90232213</v>
      </c>
      <c r="BF78" s="1024">
        <f t="shared" si="190"/>
        <v>90381426</v>
      </c>
      <c r="BG78" s="1038">
        <f t="shared" si="190"/>
        <v>90546668</v>
      </c>
      <c r="BH78" s="1038">
        <f t="shared" si="190"/>
        <v>90706506</v>
      </c>
      <c r="BI78" s="1038">
        <f t="shared" si="190"/>
        <v>90871748</v>
      </c>
      <c r="BJ78" s="1162">
        <f t="shared" si="190"/>
        <v>91031587</v>
      </c>
      <c r="BK78" s="1162">
        <f>BJ77</f>
        <v>91196739</v>
      </c>
      <c r="BL78" s="1162">
        <f>BK77</f>
        <v>91361980</v>
      </c>
      <c r="BM78" s="1162">
        <f>BL77</f>
        <v>91521819</v>
      </c>
      <c r="BN78" s="1162">
        <f>BM77</f>
        <v>91686971</v>
      </c>
      <c r="BO78" s="1162">
        <f>BN77</f>
        <v>91846900</v>
      </c>
      <c r="BP78" s="884">
        <f>BD78</f>
        <v>90067061</v>
      </c>
      <c r="BQ78" s="1224">
        <f t="shared" ref="BQ78:CB78" si="191">BP77</f>
        <v>112021212</v>
      </c>
      <c r="BR78" s="1224">
        <f t="shared" si="191"/>
        <v>111772831</v>
      </c>
      <c r="BS78" s="1224">
        <f t="shared" si="191"/>
        <v>111978122</v>
      </c>
      <c r="BT78" s="1224">
        <f t="shared" si="191"/>
        <v>112205380</v>
      </c>
      <c r="BU78" s="1224">
        <f t="shared" si="191"/>
        <v>112425390</v>
      </c>
      <c r="BV78" s="1224">
        <f t="shared" si="191"/>
        <v>112652648</v>
      </c>
      <c r="BW78" s="1224">
        <f t="shared" si="191"/>
        <v>112872657</v>
      </c>
      <c r="BX78" s="1224">
        <f t="shared" si="191"/>
        <v>113099915</v>
      </c>
      <c r="BY78" s="1224">
        <f t="shared" si="191"/>
        <v>113327172</v>
      </c>
      <c r="BZ78" s="1194">
        <f t="shared" si="191"/>
        <v>113547182</v>
      </c>
      <c r="CA78" s="1194">
        <f t="shared" si="191"/>
        <v>113774440</v>
      </c>
      <c r="CB78" s="1194">
        <f t="shared" si="191"/>
        <v>113994449</v>
      </c>
      <c r="CC78" s="1195">
        <f>BQ78</f>
        <v>112021212</v>
      </c>
      <c r="CD78" s="1293">
        <f>CC77</f>
        <v>124222422</v>
      </c>
      <c r="CE78" s="1293">
        <f>CD77</f>
        <v>124046340</v>
      </c>
      <c r="CF78" s="1293">
        <f>CE77</f>
        <v>124277400</v>
      </c>
      <c r="CG78" s="1333">
        <f t="shared" ref="CG78:CO78" si="192">CF77</f>
        <v>124524425</v>
      </c>
      <c r="CH78" s="1333">
        <f t="shared" si="192"/>
        <v>124763520</v>
      </c>
      <c r="CI78" s="1333">
        <f t="shared" si="192"/>
        <v>125010478</v>
      </c>
      <c r="CJ78" s="1333">
        <f t="shared" si="192"/>
        <v>125249525</v>
      </c>
      <c r="CK78" s="1333">
        <f t="shared" si="192"/>
        <v>125496540</v>
      </c>
      <c r="CL78" s="1333">
        <f t="shared" si="192"/>
        <v>125743508</v>
      </c>
      <c r="CM78" s="1368">
        <f t="shared" si="192"/>
        <v>125982603</v>
      </c>
      <c r="CN78" s="1368">
        <f t="shared" si="192"/>
        <v>126229561</v>
      </c>
      <c r="CO78" s="1368">
        <f t="shared" si="192"/>
        <v>126468598</v>
      </c>
      <c r="CP78" s="1294">
        <f>CD78</f>
        <v>124222422</v>
      </c>
      <c r="CQ78" s="1392">
        <f t="shared" ref="CQ78:DB78" si="193">CP77</f>
        <v>146301738</v>
      </c>
      <c r="CR78" s="1392">
        <f t="shared" si="193"/>
        <v>94482212</v>
      </c>
      <c r="CS78" s="1392">
        <f t="shared" si="193"/>
        <v>94616133</v>
      </c>
      <c r="CT78" s="1392">
        <f t="shared" si="193"/>
        <v>94764294</v>
      </c>
      <c r="CU78" s="1392">
        <f t="shared" si="193"/>
        <v>94907645</v>
      </c>
      <c r="CV78" s="1392">
        <f t="shared" si="193"/>
        <v>95055900</v>
      </c>
      <c r="CW78" s="1392">
        <f t="shared" si="193"/>
        <v>95199252</v>
      </c>
      <c r="CX78" s="1392">
        <f t="shared" si="193"/>
        <v>95347412</v>
      </c>
      <c r="CY78" s="1392">
        <f t="shared" si="193"/>
        <v>95495668</v>
      </c>
      <c r="CZ78" s="1431">
        <f t="shared" si="193"/>
        <v>75619224</v>
      </c>
      <c r="DA78" s="1431">
        <f t="shared" si="193"/>
        <v>75736373</v>
      </c>
      <c r="DB78" s="1431">
        <f t="shared" si="193"/>
        <v>75849794</v>
      </c>
      <c r="DC78" s="1393">
        <f>CQ78</f>
        <v>146301738</v>
      </c>
      <c r="DD78" s="1451">
        <f t="shared" ref="DD78:DO78" si="194">DC77</f>
        <v>95669778</v>
      </c>
      <c r="DE78" s="1451">
        <f t="shared" si="194"/>
        <v>95840504</v>
      </c>
      <c r="DF78" s="1451">
        <f t="shared" si="194"/>
        <v>95994719</v>
      </c>
      <c r="DG78" s="1451">
        <f t="shared" si="194"/>
        <v>96165510</v>
      </c>
      <c r="DH78" s="1451">
        <f t="shared" si="194"/>
        <v>96330724</v>
      </c>
      <c r="DI78" s="1451">
        <f t="shared" si="194"/>
        <v>96501450</v>
      </c>
      <c r="DJ78" s="1451">
        <f t="shared" si="194"/>
        <v>86650593</v>
      </c>
      <c r="DK78" s="1451">
        <f t="shared" si="194"/>
        <v>86650593</v>
      </c>
      <c r="DL78" s="1451">
        <f t="shared" si="194"/>
        <v>86650593</v>
      </c>
      <c r="DM78" s="1451">
        <f t="shared" si="194"/>
        <v>86650593</v>
      </c>
      <c r="DN78" s="1451">
        <f t="shared" si="194"/>
        <v>86650593</v>
      </c>
      <c r="DO78" s="1451">
        <f t="shared" si="194"/>
        <v>86650593</v>
      </c>
      <c r="DP78" s="1452">
        <f>DD78</f>
        <v>95669778</v>
      </c>
    </row>
    <row r="79" spans="1:120" ht="15" customHeight="1">
      <c r="A79" s="626"/>
      <c r="B79" s="678" t="s">
        <v>440</v>
      </c>
      <c r="C79" s="679"/>
      <c r="D79" s="680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81">
        <v>27335365</v>
      </c>
      <c r="P79" s="682">
        <f>SUM(D79:O79)</f>
        <v>27335365</v>
      </c>
      <c r="Q79" s="680"/>
      <c r="R79" s="622"/>
      <c r="S79" s="622"/>
      <c r="T79" s="622"/>
      <c r="U79" s="622"/>
      <c r="V79" s="622"/>
      <c r="W79" s="622"/>
      <c r="X79" s="622"/>
      <c r="Y79" s="622"/>
      <c r="Z79" s="622"/>
      <c r="AA79" s="622"/>
      <c r="AB79" s="681">
        <v>20000000</v>
      </c>
      <c r="AC79" s="683">
        <f>SUM(Q79:AB79)</f>
        <v>20000000</v>
      </c>
      <c r="AD79" s="873"/>
      <c r="AE79" s="872"/>
      <c r="AF79" s="872"/>
      <c r="AG79" s="872"/>
      <c r="AH79" s="872"/>
      <c r="AI79" s="872"/>
      <c r="AJ79" s="872"/>
      <c r="AK79" s="872"/>
      <c r="AL79" s="872"/>
      <c r="AM79" s="872"/>
      <c r="AN79" s="872"/>
      <c r="AO79" s="871">
        <v>20000000</v>
      </c>
      <c r="AP79" s="884">
        <f>SUM(AD79:AO79)</f>
        <v>20000000</v>
      </c>
      <c r="AQ79" s="891"/>
      <c r="AR79" s="892"/>
      <c r="AS79" s="892"/>
      <c r="AT79" s="892"/>
      <c r="AU79" s="892"/>
      <c r="AV79" s="892"/>
      <c r="AW79" s="907"/>
      <c r="AX79" s="907"/>
      <c r="AY79" s="914"/>
      <c r="AZ79" s="1002"/>
      <c r="BA79" s="1002"/>
      <c r="BB79" s="1003">
        <v>20000000</v>
      </c>
      <c r="BC79" s="884">
        <f>SUM(AQ79:BB79)</f>
        <v>20000000</v>
      </c>
      <c r="BD79" s="1015"/>
      <c r="BE79" s="1002"/>
      <c r="BF79" s="1025"/>
      <c r="BG79" s="1039"/>
      <c r="BH79" s="1039"/>
      <c r="BI79" s="1039"/>
      <c r="BJ79" s="1163"/>
      <c r="BK79" s="1163"/>
      <c r="BL79" s="1163"/>
      <c r="BM79" s="1163"/>
      <c r="BN79" s="1163"/>
      <c r="BO79" s="1175">
        <v>20000000</v>
      </c>
      <c r="BP79" s="884">
        <f>SUM(BD79:BO79)</f>
        <v>20000000</v>
      </c>
      <c r="BQ79" s="1224"/>
      <c r="BR79" s="1225"/>
      <c r="BS79" s="1225"/>
      <c r="BT79" s="1225"/>
      <c r="BU79" s="1225"/>
      <c r="BV79" s="1225"/>
      <c r="BW79" s="1225"/>
      <c r="BX79" s="1225"/>
      <c r="BY79" s="1225"/>
      <c r="BZ79" s="1163"/>
      <c r="CA79" s="1163"/>
      <c r="CB79" s="1175">
        <v>10000000</v>
      </c>
      <c r="CC79" s="1195">
        <f>SUM(BQ79:CB79)</f>
        <v>10000000</v>
      </c>
      <c r="CD79" s="1293"/>
      <c r="CE79" s="1295"/>
      <c r="CF79" s="1295"/>
      <c r="CG79" s="1334"/>
      <c r="CH79" s="1334"/>
      <c r="CI79" s="1334"/>
      <c r="CJ79" s="1334"/>
      <c r="CK79" s="1334"/>
      <c r="CL79" s="1334"/>
      <c r="CM79" s="1369"/>
      <c r="CN79" s="1369"/>
      <c r="CO79" s="1370">
        <v>20000000</v>
      </c>
      <c r="CP79" s="1294">
        <f>SUM(CD79:CO79)</f>
        <v>20000000</v>
      </c>
      <c r="CQ79" s="1392"/>
      <c r="CR79" s="1394"/>
      <c r="CS79" s="1394"/>
      <c r="CT79" s="1394"/>
      <c r="CU79" s="1394"/>
      <c r="CV79" s="1394"/>
      <c r="CW79" s="1394"/>
      <c r="CX79" s="1394"/>
      <c r="CY79" s="1394"/>
      <c r="CZ79" s="1432"/>
      <c r="DA79" s="1432"/>
      <c r="DB79" s="1433">
        <v>20000000</v>
      </c>
      <c r="DC79" s="1393">
        <f>SUM(CQ79:DB79)</f>
        <v>20000000</v>
      </c>
      <c r="DD79" s="1451"/>
      <c r="DE79" s="1453"/>
      <c r="DF79" s="1453"/>
      <c r="DG79" s="1453"/>
      <c r="DH79" s="1453"/>
      <c r="DI79" s="1453"/>
      <c r="DJ79" s="1453"/>
      <c r="DK79" s="1453"/>
      <c r="DL79" s="1453"/>
      <c r="DM79" s="1453"/>
      <c r="DN79" s="1453"/>
      <c r="DO79" s="1454"/>
      <c r="DP79" s="1452">
        <f>SUM(DD79:DO79)</f>
        <v>0</v>
      </c>
    </row>
    <row r="80" spans="1:120" ht="15" customHeight="1">
      <c r="A80" s="626"/>
      <c r="B80" s="678" t="s">
        <v>441</v>
      </c>
      <c r="C80" s="679"/>
      <c r="D80" s="680"/>
      <c r="E80" s="622"/>
      <c r="F80" s="622"/>
      <c r="G80" s="622"/>
      <c r="H80" s="622"/>
      <c r="I80" s="622"/>
      <c r="J80" s="622"/>
      <c r="K80" s="622"/>
      <c r="L80" s="622"/>
      <c r="M80" s="622"/>
      <c r="N80" s="622"/>
      <c r="O80" s="681"/>
      <c r="P80" s="682">
        <f>SUM(D80:O80)</f>
        <v>0</v>
      </c>
      <c r="Q80" s="680"/>
      <c r="R80" s="622"/>
      <c r="S80" s="622"/>
      <c r="T80" s="622"/>
      <c r="U80" s="622"/>
      <c r="V80" s="622"/>
      <c r="W80" s="622"/>
      <c r="X80" s="622"/>
      <c r="Y80" s="622"/>
      <c r="Z80" s="622"/>
      <c r="AA80" s="622"/>
      <c r="AB80" s="681"/>
      <c r="AC80" s="683">
        <f>SUM(Q80:AB80)</f>
        <v>0</v>
      </c>
      <c r="AD80" s="873"/>
      <c r="AE80" s="872"/>
      <c r="AF80" s="872"/>
      <c r="AG80" s="872"/>
      <c r="AH80" s="872"/>
      <c r="AI80" s="872"/>
      <c r="AJ80" s="872"/>
      <c r="AK80" s="872"/>
      <c r="AL80" s="872"/>
      <c r="AM80" s="872"/>
      <c r="AN80" s="872"/>
      <c r="AO80" s="871"/>
      <c r="AP80" s="884">
        <f>SUM(AD80:AO80)</f>
        <v>0</v>
      </c>
      <c r="AQ80" s="891"/>
      <c r="AR80" s="892"/>
      <c r="AS80" s="892"/>
      <c r="AT80" s="892"/>
      <c r="AU80" s="892"/>
      <c r="AV80" s="892"/>
      <c r="AW80" s="907"/>
      <c r="AX80" s="907"/>
      <c r="AY80" s="914"/>
      <c r="AZ80" s="1002"/>
      <c r="BA80" s="1002"/>
      <c r="BB80" s="1003"/>
      <c r="BC80" s="884">
        <f>SUM(AQ80:BB80)</f>
        <v>0</v>
      </c>
      <c r="BD80" s="1015"/>
      <c r="BE80" s="1002"/>
      <c r="BF80" s="1025"/>
      <c r="BG80" s="1039"/>
      <c r="BH80" s="1039"/>
      <c r="BI80" s="1039"/>
      <c r="BJ80" s="1163"/>
      <c r="BK80" s="1163"/>
      <c r="BL80" s="1163"/>
      <c r="BM80" s="1163"/>
      <c r="BN80" s="1163"/>
      <c r="BO80" s="1175"/>
      <c r="BP80" s="884">
        <f>SUM(BD80:BO80)</f>
        <v>0</v>
      </c>
      <c r="BQ80" s="1224"/>
      <c r="BR80" s="1225"/>
      <c r="BS80" s="1225"/>
      <c r="BT80" s="1225"/>
      <c r="BU80" s="1225"/>
      <c r="BV80" s="1225"/>
      <c r="BW80" s="1225"/>
      <c r="BX80" s="1225"/>
      <c r="BY80" s="1225"/>
      <c r="BZ80" s="1163"/>
      <c r="CA80" s="1163"/>
      <c r="CB80" s="1175"/>
      <c r="CC80" s="1195">
        <f>SUM(BQ80:CB80)</f>
        <v>0</v>
      </c>
      <c r="CD80" s="1293"/>
      <c r="CE80" s="1295"/>
      <c r="CF80" s="1295"/>
      <c r="CG80" s="1334"/>
      <c r="CH80" s="1334"/>
      <c r="CI80" s="1334"/>
      <c r="CJ80" s="1334"/>
      <c r="CK80" s="1334"/>
      <c r="CL80" s="1334"/>
      <c r="CM80" s="1369"/>
      <c r="CN80" s="1369"/>
      <c r="CO80" s="1370"/>
      <c r="CP80" s="1294">
        <f>SUM(CD80:CO80)</f>
        <v>0</v>
      </c>
      <c r="CQ80" s="1392">
        <v>52000000</v>
      </c>
      <c r="CR80" s="1394"/>
      <c r="CS80" s="1394"/>
      <c r="CT80" s="1394"/>
      <c r="CU80" s="1394"/>
      <c r="CV80" s="1394"/>
      <c r="CW80" s="1394"/>
      <c r="CX80" s="1394"/>
      <c r="CY80" s="1394">
        <v>20000000</v>
      </c>
      <c r="CZ80" s="1432"/>
      <c r="DA80" s="1432"/>
      <c r="DB80" s="1433"/>
      <c r="DC80" s="1393">
        <f>SUM(CQ80:DB80)</f>
        <v>72000000</v>
      </c>
      <c r="DD80" s="1451"/>
      <c r="DE80" s="1453"/>
      <c r="DF80" s="1453"/>
      <c r="DG80" s="1453"/>
      <c r="DH80" s="1453"/>
      <c r="DI80" s="1453">
        <v>10000000</v>
      </c>
      <c r="DJ80" s="1453"/>
      <c r="DK80" s="1453"/>
      <c r="DL80" s="1453"/>
      <c r="DM80" s="1453"/>
      <c r="DN80" s="1453"/>
      <c r="DO80" s="1454"/>
      <c r="DP80" s="1452">
        <f>SUM(DD80:DO80)</f>
        <v>10000000</v>
      </c>
    </row>
    <row r="81" spans="1:120" ht="15" customHeight="1">
      <c r="A81" s="626"/>
      <c r="B81" s="678" t="s">
        <v>442</v>
      </c>
      <c r="C81" s="679"/>
      <c r="D81" s="680"/>
      <c r="E81" s="622"/>
      <c r="F81" s="622"/>
      <c r="G81" s="622"/>
      <c r="H81" s="622"/>
      <c r="I81" s="622"/>
      <c r="J81" s="622"/>
      <c r="K81" s="622"/>
      <c r="L81" s="622"/>
      <c r="M81" s="622"/>
      <c r="N81" s="622"/>
      <c r="O81" s="681">
        <v>5684</v>
      </c>
      <c r="P81" s="682">
        <f>SUM(D81:O81)</f>
        <v>5684</v>
      </c>
      <c r="Q81" s="680">
        <v>70552</v>
      </c>
      <c r="R81" s="622">
        <v>63735</v>
      </c>
      <c r="S81" s="622">
        <v>70566</v>
      </c>
      <c r="T81" s="622">
        <v>68284</v>
      </c>
      <c r="U81" s="622">
        <v>70568</v>
      </c>
      <c r="V81" s="622">
        <v>68284</v>
      </c>
      <c r="W81" s="622">
        <v>70566</v>
      </c>
      <c r="X81" s="622">
        <v>70566</v>
      </c>
      <c r="Y81" s="622">
        <v>68285</v>
      </c>
      <c r="Z81" s="622">
        <v>70565</v>
      </c>
      <c r="AA81" s="622">
        <v>68285</v>
      </c>
      <c r="AB81" s="681">
        <v>75654</v>
      </c>
      <c r="AC81" s="683">
        <f>SUM(Q81:AB81)</f>
        <v>835910</v>
      </c>
      <c r="AD81" s="873">
        <v>102672</v>
      </c>
      <c r="AE81" s="872">
        <v>96097</v>
      </c>
      <c r="AF81" s="872">
        <v>102672</v>
      </c>
      <c r="AG81" s="872">
        <v>99408</v>
      </c>
      <c r="AH81" s="872">
        <v>102673</v>
      </c>
      <c r="AI81" s="872">
        <v>99408</v>
      </c>
      <c r="AJ81" s="872">
        <v>102672</v>
      </c>
      <c r="AK81" s="872">
        <v>102720</v>
      </c>
      <c r="AL81" s="872">
        <v>99361</v>
      </c>
      <c r="AM81" s="872">
        <v>102720</v>
      </c>
      <c r="AN81" s="872">
        <v>99360</v>
      </c>
      <c r="AO81" s="871">
        <v>106702</v>
      </c>
      <c r="AP81" s="884">
        <f>SUM(AD81:AO81)</f>
        <v>1216465</v>
      </c>
      <c r="AQ81" s="891">
        <v>123024</v>
      </c>
      <c r="AR81" s="892">
        <v>111095</v>
      </c>
      <c r="AS81" s="892">
        <v>122956</v>
      </c>
      <c r="AT81" s="892">
        <v>119024</v>
      </c>
      <c r="AU81" s="892">
        <v>123025</v>
      </c>
      <c r="AV81" s="892">
        <v>119025</v>
      </c>
      <c r="AW81" s="907">
        <v>122956</v>
      </c>
      <c r="AX81" s="907">
        <v>123024</v>
      </c>
      <c r="AY81" s="914">
        <v>119025</v>
      </c>
      <c r="AZ81" s="1002">
        <v>123027</v>
      </c>
      <c r="BA81" s="1002">
        <v>119025</v>
      </c>
      <c r="BB81" s="1003">
        <v>128679</v>
      </c>
      <c r="BC81" s="884">
        <f>SUM(AQ81:BB81)</f>
        <v>1453885</v>
      </c>
      <c r="BD81" s="1015">
        <v>165152</v>
      </c>
      <c r="BE81" s="1002">
        <v>149213</v>
      </c>
      <c r="BF81" s="1025">
        <v>165242</v>
      </c>
      <c r="BG81" s="1039">
        <v>159838</v>
      </c>
      <c r="BH81" s="1039">
        <v>165242</v>
      </c>
      <c r="BI81" s="1039">
        <v>159839</v>
      </c>
      <c r="BJ81" s="1163">
        <v>165152</v>
      </c>
      <c r="BK81" s="1163">
        <v>165241</v>
      </c>
      <c r="BL81" s="1163">
        <v>159839</v>
      </c>
      <c r="BM81" s="1163">
        <v>165152</v>
      </c>
      <c r="BN81" s="1163">
        <v>159929</v>
      </c>
      <c r="BO81" s="1175">
        <v>174312</v>
      </c>
      <c r="BP81" s="884">
        <f>SUM(BD81:BO81)</f>
        <v>1954151</v>
      </c>
      <c r="BQ81" s="1224">
        <v>227347</v>
      </c>
      <c r="BR81" s="1225">
        <v>205291</v>
      </c>
      <c r="BS81" s="1225">
        <v>227258</v>
      </c>
      <c r="BT81" s="1225">
        <v>220010</v>
      </c>
      <c r="BU81" s="1225">
        <v>227258</v>
      </c>
      <c r="BV81" s="1225">
        <v>220009</v>
      </c>
      <c r="BW81" s="1225">
        <v>227258</v>
      </c>
      <c r="BX81" s="1225">
        <v>227257</v>
      </c>
      <c r="BY81" s="1225">
        <v>220010</v>
      </c>
      <c r="BZ81" s="1163">
        <v>227258</v>
      </c>
      <c r="CA81" s="1163">
        <v>220009</v>
      </c>
      <c r="CB81" s="1175">
        <v>227973</v>
      </c>
      <c r="CC81" s="1195">
        <f>SUM(BQ81:CB81)</f>
        <v>2676938</v>
      </c>
      <c r="CD81" s="1293">
        <v>247021</v>
      </c>
      <c r="CE81" s="1295">
        <v>231060</v>
      </c>
      <c r="CF81" s="1295">
        <v>247025</v>
      </c>
      <c r="CG81" s="1334">
        <v>239095</v>
      </c>
      <c r="CH81" s="1334">
        <v>246958</v>
      </c>
      <c r="CI81" s="1334">
        <v>239047</v>
      </c>
      <c r="CJ81" s="1334">
        <v>247015</v>
      </c>
      <c r="CK81" s="1334">
        <v>246968</v>
      </c>
      <c r="CL81" s="1334">
        <v>239095</v>
      </c>
      <c r="CM81" s="1369">
        <v>246958</v>
      </c>
      <c r="CN81" s="1369">
        <v>239037</v>
      </c>
      <c r="CO81" s="1370">
        <v>245126</v>
      </c>
      <c r="CP81" s="1294">
        <f>SUM(CD81:CO81)</f>
        <v>2914405</v>
      </c>
      <c r="CQ81" s="1392">
        <v>180474</v>
      </c>
      <c r="CR81" s="1394">
        <v>133921</v>
      </c>
      <c r="CS81" s="1394">
        <v>148161</v>
      </c>
      <c r="CT81" s="1394">
        <v>143351</v>
      </c>
      <c r="CU81" s="1394">
        <v>148255</v>
      </c>
      <c r="CV81" s="1394">
        <v>143352</v>
      </c>
      <c r="CW81" s="1394">
        <v>148160</v>
      </c>
      <c r="CX81" s="1394">
        <v>148256</v>
      </c>
      <c r="CY81" s="1394">
        <v>123556</v>
      </c>
      <c r="CZ81" s="1432">
        <v>117149</v>
      </c>
      <c r="DA81" s="1432">
        <v>113421</v>
      </c>
      <c r="DB81" s="1433">
        <v>121287</v>
      </c>
      <c r="DC81" s="1393">
        <f>SUM(CQ81:DB81)</f>
        <v>1669343</v>
      </c>
      <c r="DD81" s="1451">
        <v>170726</v>
      </c>
      <c r="DE81" s="1453">
        <v>154215</v>
      </c>
      <c r="DF81" s="1453">
        <v>170791</v>
      </c>
      <c r="DG81" s="1453">
        <v>165214</v>
      </c>
      <c r="DH81" s="1453">
        <v>170726</v>
      </c>
      <c r="DI81" s="1453">
        <v>149143</v>
      </c>
      <c r="DJ81" s="1453"/>
      <c r="DK81" s="1453"/>
      <c r="DL81" s="1453"/>
      <c r="DM81" s="1453"/>
      <c r="DN81" s="1453"/>
      <c r="DO81" s="1454"/>
      <c r="DP81" s="1452">
        <f>SUM(DD81:DO81)</f>
        <v>980815</v>
      </c>
    </row>
    <row r="82" spans="1:120" ht="15" customHeight="1">
      <c r="A82" s="626"/>
      <c r="B82" s="684" t="s">
        <v>443</v>
      </c>
      <c r="C82" s="685"/>
      <c r="D82" s="686"/>
      <c r="E82" s="687"/>
      <c r="F82" s="687"/>
      <c r="G82" s="687"/>
      <c r="H82" s="687"/>
      <c r="I82" s="687"/>
      <c r="J82" s="687"/>
      <c r="K82" s="687"/>
      <c r="L82" s="687"/>
      <c r="M82" s="687"/>
      <c r="N82" s="687"/>
      <c r="O82" s="688"/>
      <c r="P82" s="689">
        <f>SUM(D82:O82)</f>
        <v>0</v>
      </c>
      <c r="Q82" s="686"/>
      <c r="R82" s="687"/>
      <c r="S82" s="687"/>
      <c r="T82" s="687"/>
      <c r="U82" s="687"/>
      <c r="V82" s="687"/>
      <c r="W82" s="687"/>
      <c r="X82" s="687"/>
      <c r="Y82" s="687"/>
      <c r="Z82" s="687"/>
      <c r="AA82" s="687"/>
      <c r="AB82" s="688">
        <v>161271</v>
      </c>
      <c r="AC82" s="690">
        <f>SUM(Q82:AB82)</f>
        <v>161271</v>
      </c>
      <c r="AD82" s="830"/>
      <c r="AE82" s="831"/>
      <c r="AF82" s="831"/>
      <c r="AG82" s="831"/>
      <c r="AH82" s="831"/>
      <c r="AI82" s="831"/>
      <c r="AJ82" s="831"/>
      <c r="AK82" s="831"/>
      <c r="AL82" s="831"/>
      <c r="AM82" s="831"/>
      <c r="AN82" s="831"/>
      <c r="AO82" s="832">
        <v>254617</v>
      </c>
      <c r="AP82" s="883">
        <f>SUM(AD82:AO82)</f>
        <v>254617</v>
      </c>
      <c r="AQ82" s="893"/>
      <c r="AR82" s="894"/>
      <c r="AS82" s="894"/>
      <c r="AT82" s="894"/>
      <c r="AU82" s="894"/>
      <c r="AV82" s="894"/>
      <c r="AW82" s="908"/>
      <c r="AX82" s="908"/>
      <c r="AY82" s="915"/>
      <c r="AZ82" s="1004"/>
      <c r="BA82" s="1004"/>
      <c r="BB82" s="1005">
        <v>364360</v>
      </c>
      <c r="BC82" s="883">
        <f>SUM(AQ82:BB82)</f>
        <v>364360</v>
      </c>
      <c r="BD82" s="1016"/>
      <c r="BE82" s="1004"/>
      <c r="BF82" s="1026"/>
      <c r="BG82" s="1040"/>
      <c r="BH82" s="1040"/>
      <c r="BI82" s="1040"/>
      <c r="BJ82" s="1164"/>
      <c r="BK82" s="1164"/>
      <c r="BL82" s="1164"/>
      <c r="BM82" s="1176"/>
      <c r="BN82" s="1176"/>
      <c r="BO82" s="1177"/>
      <c r="BP82" s="883">
        <f>SUM(BD82:BO82)</f>
        <v>0</v>
      </c>
      <c r="BQ82" s="1232">
        <v>475728</v>
      </c>
      <c r="BR82" s="1230"/>
      <c r="BS82" s="1230"/>
      <c r="BT82" s="1230"/>
      <c r="BU82" s="1230"/>
      <c r="BV82" s="1230"/>
      <c r="BW82" s="1230"/>
      <c r="BX82" s="1230"/>
      <c r="BY82" s="1230"/>
      <c r="BZ82" s="1176"/>
      <c r="CA82" s="1176"/>
      <c r="CB82" s="1177"/>
      <c r="CC82" s="1196">
        <f>SUM(BQ82:CB82)</f>
        <v>475728</v>
      </c>
      <c r="CD82" s="1226">
        <v>423103</v>
      </c>
      <c r="CE82" s="1296"/>
      <c r="CF82" s="1296"/>
      <c r="CG82" s="1335"/>
      <c r="CH82" s="1335"/>
      <c r="CI82" s="1335"/>
      <c r="CJ82" s="1335"/>
      <c r="CK82" s="1335"/>
      <c r="CL82" s="1335"/>
      <c r="CM82" s="1371"/>
      <c r="CN82" s="1371"/>
      <c r="CO82" s="1372">
        <v>411986</v>
      </c>
      <c r="CP82" s="1297">
        <f>SUM(CD82:CO82)</f>
        <v>835089</v>
      </c>
      <c r="CQ82" s="1395"/>
      <c r="CR82" s="1396"/>
      <c r="CS82" s="1396"/>
      <c r="CT82" s="1396"/>
      <c r="CU82" s="1396"/>
      <c r="CV82" s="1396"/>
      <c r="CW82" s="1396"/>
      <c r="CX82" s="1396"/>
      <c r="CY82" s="1396"/>
      <c r="CZ82" s="1434"/>
      <c r="DA82" s="1434"/>
      <c r="DB82" s="1435">
        <v>301303</v>
      </c>
      <c r="DC82" s="1397">
        <f>SUM(CQ82:DB82)</f>
        <v>301303</v>
      </c>
      <c r="DD82" s="1395"/>
      <c r="DE82" s="1455"/>
      <c r="DF82" s="1455"/>
      <c r="DG82" s="1455"/>
      <c r="DH82" s="1455"/>
      <c r="DI82" s="1455"/>
      <c r="DJ82" s="1455"/>
      <c r="DK82" s="1455"/>
      <c r="DL82" s="1455"/>
      <c r="DM82" s="1455"/>
      <c r="DN82" s="1455"/>
      <c r="DO82" s="1456"/>
      <c r="DP82" s="1457">
        <f>SUM(DD82:DO82)</f>
        <v>0</v>
      </c>
    </row>
    <row r="83" spans="1:120" s="30" customFormat="1" ht="15" customHeight="1">
      <c r="A83" s="2174" t="s">
        <v>448</v>
      </c>
      <c r="B83" s="2175"/>
      <c r="C83" s="707"/>
      <c r="D83" s="694">
        <f>D84+D85-D86+D87-D88</f>
        <v>0</v>
      </c>
      <c r="E83" s="457">
        <f t="shared" ref="E83:O83" si="195">E84+E85-E86+E87-E88</f>
        <v>0</v>
      </c>
      <c r="F83" s="457">
        <f t="shared" si="195"/>
        <v>0</v>
      </c>
      <c r="G83" s="457">
        <f t="shared" si="195"/>
        <v>0</v>
      </c>
      <c r="H83" s="457">
        <f t="shared" si="195"/>
        <v>0</v>
      </c>
      <c r="I83" s="457">
        <f t="shared" si="195"/>
        <v>0</v>
      </c>
      <c r="J83" s="457">
        <f t="shared" si="195"/>
        <v>0</v>
      </c>
      <c r="K83" s="457">
        <f t="shared" si="195"/>
        <v>0</v>
      </c>
      <c r="L83" s="457">
        <f t="shared" si="195"/>
        <v>0</v>
      </c>
      <c r="M83" s="457">
        <f t="shared" si="195"/>
        <v>0</v>
      </c>
      <c r="N83" s="457">
        <f t="shared" si="195"/>
        <v>0</v>
      </c>
      <c r="O83" s="695">
        <f t="shared" si="195"/>
        <v>27341049</v>
      </c>
      <c r="P83" s="696">
        <f>P84+P85-P86+P87-P88</f>
        <v>0</v>
      </c>
      <c r="Q83" s="694">
        <f>Q84+Q85-Q86+Q87-Q88</f>
        <v>0</v>
      </c>
      <c r="R83" s="457">
        <f t="shared" ref="R83:AB83" si="196">R84+R85-R86+R87-R88</f>
        <v>0</v>
      </c>
      <c r="S83" s="457">
        <f t="shared" si="196"/>
        <v>0</v>
      </c>
      <c r="T83" s="457">
        <f t="shared" si="196"/>
        <v>0</v>
      </c>
      <c r="U83" s="457">
        <f t="shared" si="196"/>
        <v>0</v>
      </c>
      <c r="V83" s="457">
        <f t="shared" si="196"/>
        <v>51180937</v>
      </c>
      <c r="W83" s="457">
        <f t="shared" si="196"/>
        <v>51292328</v>
      </c>
      <c r="X83" s="457">
        <f t="shared" si="196"/>
        <v>51403961</v>
      </c>
      <c r="Y83" s="457">
        <f t="shared" si="196"/>
        <v>51512224</v>
      </c>
      <c r="Z83" s="457">
        <f t="shared" si="196"/>
        <v>51624336</v>
      </c>
      <c r="AA83" s="457">
        <f t="shared" si="196"/>
        <v>51733064</v>
      </c>
      <c r="AB83" s="695">
        <f t="shared" si="196"/>
        <v>51845656</v>
      </c>
      <c r="AC83" s="697">
        <f>AC84+AC85-AC86+AC87-AC88</f>
        <v>51845656</v>
      </c>
      <c r="AD83" s="833">
        <f>AD84+AD85-AD86+AD87-AD88</f>
        <v>51958494</v>
      </c>
      <c r="AE83" s="457">
        <f t="shared" ref="AE83:AO83" si="197">AE84+AE85-AE86+AE87-AE88</f>
        <v>52064273</v>
      </c>
      <c r="AF83" s="457">
        <f t="shared" si="197"/>
        <v>52177586</v>
      </c>
      <c r="AG83" s="457">
        <f t="shared" si="197"/>
        <v>52287479</v>
      </c>
      <c r="AH83" s="457">
        <f t="shared" si="197"/>
        <v>52401277</v>
      </c>
      <c r="AI83" s="457">
        <f t="shared" si="197"/>
        <v>52147390</v>
      </c>
      <c r="AJ83" s="457">
        <f t="shared" si="197"/>
        <v>52248199</v>
      </c>
      <c r="AK83" s="457">
        <f t="shared" si="197"/>
        <v>52349204</v>
      </c>
      <c r="AL83" s="457">
        <f t="shared" si="197"/>
        <v>52447136</v>
      </c>
      <c r="AM83" s="457">
        <f t="shared" si="197"/>
        <v>52548525</v>
      </c>
      <c r="AN83" s="457">
        <f t="shared" si="197"/>
        <v>52646830</v>
      </c>
      <c r="AO83" s="834">
        <f t="shared" si="197"/>
        <v>52748605</v>
      </c>
      <c r="AP83" s="697">
        <f t="shared" ref="AP83:BB83" si="198">AP84+AP85-AP86+AP87-AP88</f>
        <v>52748605</v>
      </c>
      <c r="AQ83" s="895">
        <f t="shared" si="198"/>
        <v>52850577</v>
      </c>
      <c r="AR83" s="896">
        <f t="shared" si="198"/>
        <v>52942849</v>
      </c>
      <c r="AS83" s="896">
        <f t="shared" si="198"/>
        <v>53045197</v>
      </c>
      <c r="AT83" s="896">
        <f t="shared" si="198"/>
        <v>53144431</v>
      </c>
      <c r="AU83" s="896">
        <f t="shared" si="198"/>
        <v>53247168</v>
      </c>
      <c r="AV83" s="896">
        <f t="shared" si="198"/>
        <v>53012867</v>
      </c>
      <c r="AW83" s="896">
        <f t="shared" si="198"/>
        <v>53105639</v>
      </c>
      <c r="AX83" s="896">
        <f t="shared" si="198"/>
        <v>53198572</v>
      </c>
      <c r="AY83" s="896">
        <f t="shared" si="198"/>
        <v>53288664</v>
      </c>
      <c r="AZ83" s="896">
        <f t="shared" si="198"/>
        <v>53381918</v>
      </c>
      <c r="BA83" s="896">
        <f t="shared" si="198"/>
        <v>53472320</v>
      </c>
      <c r="BB83" s="1006">
        <f t="shared" si="198"/>
        <v>53565895</v>
      </c>
      <c r="BC83" s="697">
        <f t="shared" ref="BC83:BI83" si="199">BC84+BC85-BC86+BC87-BC88</f>
        <v>53565895</v>
      </c>
      <c r="BD83" s="1017">
        <f t="shared" si="199"/>
        <v>53659634</v>
      </c>
      <c r="BE83" s="1017">
        <f t="shared" si="199"/>
        <v>53744443</v>
      </c>
      <c r="BF83" s="1017">
        <f t="shared" si="199"/>
        <v>53838495</v>
      </c>
      <c r="BG83" s="1041">
        <f t="shared" si="199"/>
        <v>53929670</v>
      </c>
      <c r="BH83" s="1041">
        <f t="shared" si="199"/>
        <v>54024046</v>
      </c>
      <c r="BI83" s="1041">
        <f t="shared" si="199"/>
        <v>53786729</v>
      </c>
      <c r="BJ83" s="1165">
        <f t="shared" ref="BJ83:BX83" si="200">BJ84+BJ85-BJ86+BJ87-BJ88</f>
        <v>53887574</v>
      </c>
      <c r="BK83" s="1165">
        <f t="shared" si="200"/>
        <v>53988610</v>
      </c>
      <c r="BL83" s="1165">
        <f t="shared" si="200"/>
        <v>54086565</v>
      </c>
      <c r="BM83" s="1165">
        <f t="shared" si="200"/>
        <v>54187974</v>
      </c>
      <c r="BN83" s="1165">
        <f t="shared" si="200"/>
        <v>54286292</v>
      </c>
      <c r="BO83" s="1165">
        <f t="shared" si="200"/>
        <v>84396225</v>
      </c>
      <c r="BP83" s="697">
        <f t="shared" si="200"/>
        <v>84396225</v>
      </c>
      <c r="BQ83" s="1165">
        <f t="shared" si="200"/>
        <v>84561446</v>
      </c>
      <c r="BR83" s="1165">
        <f t="shared" si="200"/>
        <v>84710957</v>
      </c>
      <c r="BS83" s="1165">
        <f t="shared" si="200"/>
        <v>84876796</v>
      </c>
      <c r="BT83" s="1165">
        <f t="shared" si="200"/>
        <v>85037596</v>
      </c>
      <c r="BU83" s="1165">
        <f t="shared" si="200"/>
        <v>85204076</v>
      </c>
      <c r="BV83" s="1165">
        <f t="shared" si="200"/>
        <v>84954643</v>
      </c>
      <c r="BW83" s="1165">
        <f t="shared" si="200"/>
        <v>85125971</v>
      </c>
      <c r="BX83" s="1165">
        <f t="shared" si="200"/>
        <v>85297645</v>
      </c>
      <c r="BY83" s="1165">
        <f t="shared" ref="BY83:CK83" si="201">BY84+BY85-BY86+BY87-BY88</f>
        <v>85464110</v>
      </c>
      <c r="BZ83" s="1272">
        <f t="shared" si="201"/>
        <v>85636465</v>
      </c>
      <c r="CA83" s="1272">
        <f t="shared" si="201"/>
        <v>85803594</v>
      </c>
      <c r="CB83" s="1272">
        <f t="shared" si="201"/>
        <v>105976013</v>
      </c>
      <c r="CC83" s="1197">
        <f t="shared" si="201"/>
        <v>105976013</v>
      </c>
      <c r="CD83" s="1165">
        <f t="shared" si="201"/>
        <v>106183453</v>
      </c>
      <c r="CE83" s="1165">
        <f t="shared" si="201"/>
        <v>106377879</v>
      </c>
      <c r="CF83" s="1165">
        <f t="shared" si="201"/>
        <v>106586108</v>
      </c>
      <c r="CG83" s="1336">
        <f t="shared" si="201"/>
        <v>106788007</v>
      </c>
      <c r="CH83" s="1336">
        <f t="shared" si="201"/>
        <v>106997038</v>
      </c>
      <c r="CI83" s="1336">
        <f t="shared" si="201"/>
        <v>106639329</v>
      </c>
      <c r="CJ83" s="1336">
        <f t="shared" si="201"/>
        <v>106835715</v>
      </c>
      <c r="CK83" s="1336">
        <f t="shared" si="201"/>
        <v>107032465</v>
      </c>
      <c r="CL83" s="1336">
        <f>CL84+CL85-CL86+CL87-CL88</f>
        <v>107223213</v>
      </c>
      <c r="CM83" s="1336">
        <f>CM84+CM85-CM86+CM87-CM88</f>
        <v>107420679</v>
      </c>
      <c r="CN83" s="1336">
        <f>CN84+CN85-CN86+CN87-CN88</f>
        <v>107612122</v>
      </c>
      <c r="CO83" s="1336">
        <f>CO84+CO85-CO86+CO87-CO88</f>
        <v>127812683</v>
      </c>
      <c r="CP83" s="1298">
        <f>CP84+CP85-CP86+CP87-CP88</f>
        <v>127812683</v>
      </c>
      <c r="CQ83" s="1336">
        <f t="shared" ref="CQ83:CX83" si="202">CQ84+CQ85-CQ86+CQ87-CQ88</f>
        <v>89997732</v>
      </c>
      <c r="CR83" s="1336">
        <f t="shared" si="202"/>
        <v>90138532</v>
      </c>
      <c r="CS83" s="1336">
        <f t="shared" si="202"/>
        <v>90294673</v>
      </c>
      <c r="CT83" s="1336">
        <f t="shared" si="202"/>
        <v>90446034</v>
      </c>
      <c r="CU83" s="1336">
        <f t="shared" si="202"/>
        <v>90602707</v>
      </c>
      <c r="CV83" s="1336">
        <f t="shared" si="202"/>
        <v>90288694</v>
      </c>
      <c r="CW83" s="1336">
        <f t="shared" si="202"/>
        <v>90438059</v>
      </c>
      <c r="CX83" s="1336">
        <f t="shared" si="202"/>
        <v>90587672</v>
      </c>
      <c r="CY83" s="1336">
        <f>CY84+CY85-CY86+CY87-CY88</f>
        <v>70714970</v>
      </c>
      <c r="CZ83" s="1336">
        <f>CZ84+CZ85-CZ86+CZ87-CZ88</f>
        <v>70832712</v>
      </c>
      <c r="DA83" s="1336">
        <f>DA84+DA85-DA86+DA87-DA88</f>
        <v>70946841</v>
      </c>
      <c r="DB83" s="1336">
        <f>DB84+DB85-DB86+DB87-DB88</f>
        <v>91067840</v>
      </c>
      <c r="DC83" s="1298">
        <f>DC84+DC85-DC86+DC87-DC88</f>
        <v>91067840</v>
      </c>
      <c r="DD83" s="1336">
        <f t="shared" ref="DD83:DK83" si="203">DD84+DD85-DD86+DD87-DD88</f>
        <v>91231379</v>
      </c>
      <c r="DE83" s="1336">
        <f t="shared" si="203"/>
        <v>91379346</v>
      </c>
      <c r="DF83" s="1336">
        <f t="shared" si="203"/>
        <v>91543449</v>
      </c>
      <c r="DG83" s="1336">
        <f t="shared" si="203"/>
        <v>91702540</v>
      </c>
      <c r="DH83" s="1336">
        <f t="shared" si="203"/>
        <v>91867228</v>
      </c>
      <c r="DI83" s="1336">
        <f t="shared" si="203"/>
        <v>81627280</v>
      </c>
      <c r="DJ83" s="1336">
        <f t="shared" si="203"/>
        <v>81627280</v>
      </c>
      <c r="DK83" s="1336">
        <f t="shared" si="203"/>
        <v>81627280</v>
      </c>
      <c r="DL83" s="1336">
        <f>DL84+DL85-DL86+DL87-DL88</f>
        <v>81627280</v>
      </c>
      <c r="DM83" s="1336">
        <f>DM84+DM85-DM86+DM87-DM88</f>
        <v>81627280</v>
      </c>
      <c r="DN83" s="1336">
        <f>DN84+DN85-DN86+DN87-DN88</f>
        <v>81627280</v>
      </c>
      <c r="DO83" s="1336">
        <f>DO84+DO85-DO86+DO87-DO88</f>
        <v>81627280</v>
      </c>
      <c r="DP83" s="1298">
        <f>DP84+DP85-DP86+DP87-DP88</f>
        <v>81627280</v>
      </c>
    </row>
    <row r="84" spans="1:120" ht="15" customHeight="1">
      <c r="A84" s="626"/>
      <c r="B84" s="678" t="s">
        <v>444</v>
      </c>
      <c r="C84" s="679"/>
      <c r="D84" s="680"/>
      <c r="E84" s="622"/>
      <c r="F84" s="622"/>
      <c r="G84" s="622"/>
      <c r="H84" s="622"/>
      <c r="I84" s="622"/>
      <c r="J84" s="622"/>
      <c r="K84" s="622"/>
      <c r="L84" s="622"/>
      <c r="M84" s="622"/>
      <c r="N84" s="622"/>
      <c r="O84" s="681"/>
      <c r="P84" s="682"/>
      <c r="Q84" s="680"/>
      <c r="R84" s="622"/>
      <c r="S84" s="622"/>
      <c r="T84" s="622"/>
      <c r="U84" s="622"/>
      <c r="V84" s="622"/>
      <c r="W84" s="622">
        <f t="shared" ref="W84:AB84" si="204">V83</f>
        <v>51180937</v>
      </c>
      <c r="X84" s="622">
        <f t="shared" si="204"/>
        <v>51292328</v>
      </c>
      <c r="Y84" s="622">
        <f t="shared" si="204"/>
        <v>51403961</v>
      </c>
      <c r="Z84" s="622">
        <f t="shared" si="204"/>
        <v>51512224</v>
      </c>
      <c r="AA84" s="622">
        <f t="shared" si="204"/>
        <v>51624336</v>
      </c>
      <c r="AB84" s="681">
        <f t="shared" si="204"/>
        <v>51733064</v>
      </c>
      <c r="AC84" s="683">
        <f>Q84</f>
        <v>0</v>
      </c>
      <c r="AD84" s="873">
        <f>AC83</f>
        <v>51845656</v>
      </c>
      <c r="AE84" s="872">
        <f>AD83</f>
        <v>51958494</v>
      </c>
      <c r="AF84" s="872">
        <f t="shared" ref="AF84:AO84" si="205">AE83</f>
        <v>52064273</v>
      </c>
      <c r="AG84" s="872">
        <f t="shared" si="205"/>
        <v>52177586</v>
      </c>
      <c r="AH84" s="872">
        <f t="shared" si="205"/>
        <v>52287479</v>
      </c>
      <c r="AI84" s="872">
        <f t="shared" si="205"/>
        <v>52401277</v>
      </c>
      <c r="AJ84" s="872">
        <f t="shared" si="205"/>
        <v>52147390</v>
      </c>
      <c r="AK84" s="872">
        <f t="shared" si="205"/>
        <v>52248199</v>
      </c>
      <c r="AL84" s="872">
        <f t="shared" si="205"/>
        <v>52349204</v>
      </c>
      <c r="AM84" s="872">
        <f t="shared" si="205"/>
        <v>52447136</v>
      </c>
      <c r="AN84" s="872">
        <f t="shared" si="205"/>
        <v>52548525</v>
      </c>
      <c r="AO84" s="871">
        <f t="shared" si="205"/>
        <v>52646830</v>
      </c>
      <c r="AP84" s="884">
        <f>AD84</f>
        <v>51845656</v>
      </c>
      <c r="AQ84" s="891">
        <f t="shared" ref="AQ84:AX84" si="206">AP83</f>
        <v>52748605</v>
      </c>
      <c r="AR84" s="892">
        <f t="shared" si="206"/>
        <v>52850577</v>
      </c>
      <c r="AS84" s="892">
        <f t="shared" si="206"/>
        <v>52942849</v>
      </c>
      <c r="AT84" s="892">
        <f t="shared" si="206"/>
        <v>53045197</v>
      </c>
      <c r="AU84" s="892">
        <f t="shared" si="206"/>
        <v>53144431</v>
      </c>
      <c r="AV84" s="892">
        <f t="shared" si="206"/>
        <v>53247168</v>
      </c>
      <c r="AW84" s="907">
        <f t="shared" si="206"/>
        <v>53012867</v>
      </c>
      <c r="AX84" s="907">
        <f t="shared" si="206"/>
        <v>53105639</v>
      </c>
      <c r="AY84" s="914">
        <f>AX83</f>
        <v>53198572</v>
      </c>
      <c r="AZ84" s="1002">
        <f>AY83</f>
        <v>53288664</v>
      </c>
      <c r="BA84" s="1002">
        <f>AZ83</f>
        <v>53381918</v>
      </c>
      <c r="BB84" s="1003">
        <f>BA83</f>
        <v>53472320</v>
      </c>
      <c r="BC84" s="884">
        <f>AQ84</f>
        <v>52748605</v>
      </c>
      <c r="BD84" s="1015">
        <f t="shared" ref="BD84:BJ84" si="207">BC83</f>
        <v>53565895</v>
      </c>
      <c r="BE84" s="1015">
        <f t="shared" si="207"/>
        <v>53659634</v>
      </c>
      <c r="BF84" s="1024">
        <f t="shared" si="207"/>
        <v>53744443</v>
      </c>
      <c r="BG84" s="1038">
        <f t="shared" si="207"/>
        <v>53838495</v>
      </c>
      <c r="BH84" s="1038">
        <f t="shared" si="207"/>
        <v>53929670</v>
      </c>
      <c r="BI84" s="1038">
        <f t="shared" si="207"/>
        <v>54024046</v>
      </c>
      <c r="BJ84" s="1162">
        <f t="shared" si="207"/>
        <v>53786729</v>
      </c>
      <c r="BK84" s="1162">
        <f>BJ83</f>
        <v>53887574</v>
      </c>
      <c r="BL84" s="1162">
        <f>BK83</f>
        <v>53988610</v>
      </c>
      <c r="BM84" s="1162">
        <f>BL83</f>
        <v>54086565</v>
      </c>
      <c r="BN84" s="1162">
        <f>BM83</f>
        <v>54187974</v>
      </c>
      <c r="BO84" s="1162">
        <f>BN83</f>
        <v>54286292</v>
      </c>
      <c r="BP84" s="884">
        <f>BD84</f>
        <v>53565895</v>
      </c>
      <c r="BQ84" s="1224">
        <f t="shared" ref="BQ84:CB84" si="208">BP83</f>
        <v>84396225</v>
      </c>
      <c r="BR84" s="1224">
        <f t="shared" si="208"/>
        <v>84561446</v>
      </c>
      <c r="BS84" s="1224">
        <f t="shared" si="208"/>
        <v>84710957</v>
      </c>
      <c r="BT84" s="1224">
        <f t="shared" si="208"/>
        <v>84876796</v>
      </c>
      <c r="BU84" s="1224">
        <f t="shared" si="208"/>
        <v>85037596</v>
      </c>
      <c r="BV84" s="1224">
        <f t="shared" si="208"/>
        <v>85204076</v>
      </c>
      <c r="BW84" s="1224">
        <f t="shared" si="208"/>
        <v>84954643</v>
      </c>
      <c r="BX84" s="1224">
        <f t="shared" si="208"/>
        <v>85125971</v>
      </c>
      <c r="BY84" s="1224">
        <f t="shared" si="208"/>
        <v>85297645</v>
      </c>
      <c r="BZ84" s="1194">
        <f t="shared" si="208"/>
        <v>85464110</v>
      </c>
      <c r="CA84" s="1194">
        <f t="shared" si="208"/>
        <v>85636465</v>
      </c>
      <c r="CB84" s="1194">
        <f t="shared" si="208"/>
        <v>85803594</v>
      </c>
      <c r="CC84" s="1195">
        <f>BQ84</f>
        <v>84396225</v>
      </c>
      <c r="CD84" s="1293">
        <f>CC83</f>
        <v>105976013</v>
      </c>
      <c r="CE84" s="1293">
        <f>CD83</f>
        <v>106183453</v>
      </c>
      <c r="CF84" s="1293">
        <f>CE83</f>
        <v>106377879</v>
      </c>
      <c r="CG84" s="1333">
        <f t="shared" ref="CG84:CO84" si="209">CF83</f>
        <v>106586108</v>
      </c>
      <c r="CH84" s="1333">
        <f t="shared" si="209"/>
        <v>106788007</v>
      </c>
      <c r="CI84" s="1333">
        <f t="shared" si="209"/>
        <v>106997038</v>
      </c>
      <c r="CJ84" s="1333">
        <f t="shared" si="209"/>
        <v>106639329</v>
      </c>
      <c r="CK84" s="1333">
        <f t="shared" si="209"/>
        <v>106835715</v>
      </c>
      <c r="CL84" s="1333">
        <f t="shared" si="209"/>
        <v>107032465</v>
      </c>
      <c r="CM84" s="1368">
        <f t="shared" si="209"/>
        <v>107223213</v>
      </c>
      <c r="CN84" s="1368">
        <f t="shared" si="209"/>
        <v>107420679</v>
      </c>
      <c r="CO84" s="1368">
        <f t="shared" si="209"/>
        <v>107612122</v>
      </c>
      <c r="CP84" s="1294">
        <f>CD84</f>
        <v>105976013</v>
      </c>
      <c r="CQ84" s="1392">
        <f t="shared" ref="CQ84:DB84" si="210">CP83</f>
        <v>127812683</v>
      </c>
      <c r="CR84" s="1392">
        <f t="shared" si="210"/>
        <v>89997732</v>
      </c>
      <c r="CS84" s="1392">
        <f t="shared" si="210"/>
        <v>90138532</v>
      </c>
      <c r="CT84" s="1392">
        <f t="shared" si="210"/>
        <v>90294673</v>
      </c>
      <c r="CU84" s="1392">
        <f t="shared" si="210"/>
        <v>90446034</v>
      </c>
      <c r="CV84" s="1392">
        <f t="shared" si="210"/>
        <v>90602707</v>
      </c>
      <c r="CW84" s="1392">
        <f t="shared" si="210"/>
        <v>90288694</v>
      </c>
      <c r="CX84" s="1392">
        <f t="shared" si="210"/>
        <v>90438059</v>
      </c>
      <c r="CY84" s="1392">
        <f t="shared" si="210"/>
        <v>90587672</v>
      </c>
      <c r="CZ84" s="1431">
        <f t="shared" si="210"/>
        <v>70714970</v>
      </c>
      <c r="DA84" s="1431">
        <f t="shared" si="210"/>
        <v>70832712</v>
      </c>
      <c r="DB84" s="1431">
        <f t="shared" si="210"/>
        <v>70946841</v>
      </c>
      <c r="DC84" s="1393">
        <f>CQ84</f>
        <v>127812683</v>
      </c>
      <c r="DD84" s="1451">
        <f t="shared" ref="DD84:DO84" si="211">DC83</f>
        <v>91067840</v>
      </c>
      <c r="DE84" s="1451">
        <f t="shared" si="211"/>
        <v>91231379</v>
      </c>
      <c r="DF84" s="1451">
        <f t="shared" si="211"/>
        <v>91379346</v>
      </c>
      <c r="DG84" s="1451">
        <f t="shared" si="211"/>
        <v>91543449</v>
      </c>
      <c r="DH84" s="1451">
        <f t="shared" si="211"/>
        <v>91702540</v>
      </c>
      <c r="DI84" s="1451">
        <f t="shared" si="211"/>
        <v>91867228</v>
      </c>
      <c r="DJ84" s="1451">
        <f t="shared" si="211"/>
        <v>81627280</v>
      </c>
      <c r="DK84" s="1451">
        <f t="shared" si="211"/>
        <v>81627280</v>
      </c>
      <c r="DL84" s="1451">
        <f t="shared" si="211"/>
        <v>81627280</v>
      </c>
      <c r="DM84" s="1451">
        <f t="shared" si="211"/>
        <v>81627280</v>
      </c>
      <c r="DN84" s="1451">
        <f t="shared" si="211"/>
        <v>81627280</v>
      </c>
      <c r="DO84" s="1451">
        <f t="shared" si="211"/>
        <v>81627280</v>
      </c>
      <c r="DP84" s="1452">
        <f>DD84</f>
        <v>91067840</v>
      </c>
    </row>
    <row r="85" spans="1:120" ht="15" customHeight="1">
      <c r="A85" s="626"/>
      <c r="B85" s="678" t="s">
        <v>440</v>
      </c>
      <c r="C85" s="679"/>
      <c r="D85" s="680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81">
        <v>27335365</v>
      </c>
      <c r="P85" s="682"/>
      <c r="Q85" s="680"/>
      <c r="R85" s="622"/>
      <c r="S85" s="622"/>
      <c r="T85" s="622"/>
      <c r="U85" s="622"/>
      <c r="V85" s="622">
        <v>51162202</v>
      </c>
      <c r="W85" s="622"/>
      <c r="X85" s="622"/>
      <c r="Y85" s="622"/>
      <c r="Z85" s="622"/>
      <c r="AA85" s="622"/>
      <c r="AB85" s="681"/>
      <c r="AC85" s="683">
        <f>SUM(Q85:AB85)</f>
        <v>51162202</v>
      </c>
      <c r="AD85" s="873"/>
      <c r="AE85" s="872"/>
      <c r="AF85" s="872"/>
      <c r="AG85" s="872"/>
      <c r="AH85" s="872"/>
      <c r="AI85" s="872"/>
      <c r="AJ85" s="872"/>
      <c r="AK85" s="872"/>
      <c r="AL85" s="872"/>
      <c r="AM85" s="872"/>
      <c r="AN85" s="872"/>
      <c r="AO85" s="871"/>
      <c r="AP85" s="884">
        <f>SUM(AD85:AO85)</f>
        <v>0</v>
      </c>
      <c r="AQ85" s="891"/>
      <c r="AR85" s="892"/>
      <c r="AS85" s="892"/>
      <c r="AT85" s="892"/>
      <c r="AU85" s="892"/>
      <c r="AV85" s="892"/>
      <c r="AW85" s="907"/>
      <c r="AX85" s="907"/>
      <c r="AY85" s="914"/>
      <c r="AZ85" s="1002"/>
      <c r="BA85" s="1002"/>
      <c r="BB85" s="1003"/>
      <c r="BC85" s="884">
        <f>SUM(AQ85:BB85)</f>
        <v>0</v>
      </c>
      <c r="BD85" s="1015"/>
      <c r="BE85" s="1002"/>
      <c r="BF85" s="1025"/>
      <c r="BG85" s="1039"/>
      <c r="BH85" s="1039"/>
      <c r="BI85" s="1039"/>
      <c r="BJ85" s="1163"/>
      <c r="BK85" s="1163"/>
      <c r="BL85" s="1163"/>
      <c r="BM85" s="1163"/>
      <c r="BN85" s="1163"/>
      <c r="BO85" s="1175">
        <v>30000000</v>
      </c>
      <c r="BP85" s="884">
        <f>SUM(BD85:BO85)</f>
        <v>30000000</v>
      </c>
      <c r="BQ85" s="1224"/>
      <c r="BR85" s="1225"/>
      <c r="BS85" s="1225"/>
      <c r="BT85" s="1225"/>
      <c r="BU85" s="1225"/>
      <c r="BV85" s="1225"/>
      <c r="BW85" s="1225"/>
      <c r="BX85" s="1225"/>
      <c r="BY85" s="1225"/>
      <c r="BZ85" s="1163"/>
      <c r="CA85" s="1163"/>
      <c r="CB85" s="1175">
        <v>20000000</v>
      </c>
      <c r="CC85" s="1195">
        <f>SUM(BQ85:CB85)</f>
        <v>20000000</v>
      </c>
      <c r="CD85" s="1293"/>
      <c r="CE85" s="1295"/>
      <c r="CF85" s="1295"/>
      <c r="CG85" s="1334"/>
      <c r="CH85" s="1334"/>
      <c r="CI85" s="1334"/>
      <c r="CJ85" s="1334"/>
      <c r="CK85" s="1334"/>
      <c r="CL85" s="1334"/>
      <c r="CM85" s="1369"/>
      <c r="CN85" s="1369"/>
      <c r="CO85" s="1370">
        <v>20000000</v>
      </c>
      <c r="CP85" s="1294">
        <f>SUM(CD85:CO85)</f>
        <v>20000000</v>
      </c>
      <c r="CQ85" s="1392"/>
      <c r="CR85" s="1394"/>
      <c r="CS85" s="1394"/>
      <c r="CT85" s="1394"/>
      <c r="CU85" s="1394"/>
      <c r="CV85" s="1394"/>
      <c r="CW85" s="1394"/>
      <c r="CX85" s="1394"/>
      <c r="CY85" s="1394"/>
      <c r="CZ85" s="1432"/>
      <c r="DA85" s="1432"/>
      <c r="DB85" s="1433">
        <v>20000000</v>
      </c>
      <c r="DC85" s="1393">
        <f>SUM(CQ85:DB85)</f>
        <v>20000000</v>
      </c>
      <c r="DD85" s="1451"/>
      <c r="DE85" s="1453"/>
      <c r="DF85" s="1453"/>
      <c r="DG85" s="1453"/>
      <c r="DH85" s="1453"/>
      <c r="DI85" s="1453"/>
      <c r="DJ85" s="1453"/>
      <c r="DK85" s="1453"/>
      <c r="DL85" s="1453"/>
      <c r="DM85" s="1453"/>
      <c r="DN85" s="1453"/>
      <c r="DO85" s="1454"/>
      <c r="DP85" s="1452">
        <f>SUM(DD85:DO85)</f>
        <v>0</v>
      </c>
    </row>
    <row r="86" spans="1:120" ht="15" customHeight="1">
      <c r="A86" s="626"/>
      <c r="B86" s="678" t="s">
        <v>441</v>
      </c>
      <c r="C86" s="679"/>
      <c r="D86" s="680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81"/>
      <c r="P86" s="682"/>
      <c r="Q86" s="680"/>
      <c r="R86" s="622"/>
      <c r="S86" s="622"/>
      <c r="T86" s="622"/>
      <c r="U86" s="622"/>
      <c r="V86" s="622"/>
      <c r="W86" s="622"/>
      <c r="X86" s="622"/>
      <c r="Y86" s="622"/>
      <c r="Z86" s="622"/>
      <c r="AA86" s="622"/>
      <c r="AB86" s="681"/>
      <c r="AC86" s="683">
        <f>SUM(Q86:AB86)</f>
        <v>0</v>
      </c>
      <c r="AD86" s="873"/>
      <c r="AE86" s="872"/>
      <c r="AF86" s="872"/>
      <c r="AG86" s="872"/>
      <c r="AH86" s="872"/>
      <c r="AI86" s="872"/>
      <c r="AJ86" s="872"/>
      <c r="AK86" s="872"/>
      <c r="AL86" s="872"/>
      <c r="AM86" s="872"/>
      <c r="AN86" s="872"/>
      <c r="AO86" s="871"/>
      <c r="AP86" s="884">
        <f>SUM(AD86:AO86)</f>
        <v>0</v>
      </c>
      <c r="AQ86" s="891"/>
      <c r="AR86" s="892"/>
      <c r="AS86" s="892"/>
      <c r="AT86" s="892"/>
      <c r="AU86" s="892"/>
      <c r="AV86" s="892"/>
      <c r="AW86" s="907"/>
      <c r="AX86" s="907"/>
      <c r="AY86" s="914"/>
      <c r="AZ86" s="1002"/>
      <c r="BA86" s="1002"/>
      <c r="BB86" s="1003"/>
      <c r="BC86" s="884">
        <f>SUM(AQ86:BB86)</f>
        <v>0</v>
      </c>
      <c r="BD86" s="1015"/>
      <c r="BE86" s="1002"/>
      <c r="BF86" s="1025"/>
      <c r="BG86" s="1039"/>
      <c r="BH86" s="1039"/>
      <c r="BI86" s="1039"/>
      <c r="BJ86" s="1163"/>
      <c r="BK86" s="1163"/>
      <c r="BL86" s="1163"/>
      <c r="BM86" s="1163"/>
      <c r="BN86" s="1163"/>
      <c r="BO86" s="1175"/>
      <c r="BP86" s="884">
        <f>SUM(BD86:BO86)</f>
        <v>0</v>
      </c>
      <c r="BQ86" s="1224"/>
      <c r="BR86" s="1225"/>
      <c r="BS86" s="1225"/>
      <c r="BT86" s="1225"/>
      <c r="BU86" s="1225"/>
      <c r="BV86" s="1225"/>
      <c r="BW86" s="1225"/>
      <c r="BX86" s="1225"/>
      <c r="BY86" s="1225"/>
      <c r="BZ86" s="1163"/>
      <c r="CA86" s="1163"/>
      <c r="CB86" s="1175"/>
      <c r="CC86" s="1195">
        <f>SUM(BQ86:CB86)</f>
        <v>0</v>
      </c>
      <c r="CD86" s="1293"/>
      <c r="CE86" s="1295"/>
      <c r="CF86" s="1295"/>
      <c r="CG86" s="1334"/>
      <c r="CH86" s="1334"/>
      <c r="CI86" s="1334"/>
      <c r="CJ86" s="1334"/>
      <c r="CK86" s="1334"/>
      <c r="CL86" s="1334"/>
      <c r="CM86" s="1369"/>
      <c r="CN86" s="1369"/>
      <c r="CO86" s="1370"/>
      <c r="CP86" s="1294">
        <f>SUM(CD86:CO86)</f>
        <v>0</v>
      </c>
      <c r="CQ86" s="1392">
        <v>38000000</v>
      </c>
      <c r="CR86" s="1394"/>
      <c r="CS86" s="1394"/>
      <c r="CT86" s="1394"/>
      <c r="CU86" s="1394"/>
      <c r="CV86" s="1394"/>
      <c r="CW86" s="1394"/>
      <c r="CX86" s="1394"/>
      <c r="CY86" s="1394">
        <v>20000000</v>
      </c>
      <c r="CZ86" s="1432"/>
      <c r="DA86" s="1432"/>
      <c r="DB86" s="1433"/>
      <c r="DC86" s="1393">
        <f>SUM(CQ86:DB86)</f>
        <v>58000000</v>
      </c>
      <c r="DD86" s="1451"/>
      <c r="DE86" s="1453"/>
      <c r="DF86" s="1453"/>
      <c r="DG86" s="1453"/>
      <c r="DH86" s="1453"/>
      <c r="DI86" s="1453">
        <v>10000000</v>
      </c>
      <c r="DJ86" s="1453"/>
      <c r="DK86" s="1453"/>
      <c r="DL86" s="1453"/>
      <c r="DM86" s="1453"/>
      <c r="DN86" s="1453"/>
      <c r="DO86" s="1454"/>
      <c r="DP86" s="1452">
        <f>SUM(DD86:DO86)</f>
        <v>10000000</v>
      </c>
    </row>
    <row r="87" spans="1:120" ht="15" customHeight="1">
      <c r="A87" s="626"/>
      <c r="B87" s="678" t="s">
        <v>442</v>
      </c>
      <c r="C87" s="679"/>
      <c r="D87" s="680"/>
      <c r="E87" s="622"/>
      <c r="F87" s="622"/>
      <c r="G87" s="622"/>
      <c r="H87" s="622"/>
      <c r="I87" s="622"/>
      <c r="J87" s="622"/>
      <c r="K87" s="622"/>
      <c r="L87" s="622"/>
      <c r="M87" s="622"/>
      <c r="N87" s="622"/>
      <c r="O87" s="681">
        <v>5684</v>
      </c>
      <c r="P87" s="682"/>
      <c r="Q87" s="680"/>
      <c r="R87" s="622"/>
      <c r="S87" s="622"/>
      <c r="T87" s="622"/>
      <c r="U87" s="622"/>
      <c r="V87" s="622">
        <v>18735</v>
      </c>
      <c r="W87" s="622">
        <v>111391</v>
      </c>
      <c r="X87" s="622">
        <v>111633</v>
      </c>
      <c r="Y87" s="622">
        <v>108263</v>
      </c>
      <c r="Z87" s="622">
        <v>112112</v>
      </c>
      <c r="AA87" s="622">
        <v>108728</v>
      </c>
      <c r="AB87" s="681">
        <v>112592</v>
      </c>
      <c r="AC87" s="683">
        <f>SUM(Q87:AB87)</f>
        <v>683454</v>
      </c>
      <c r="AD87" s="873">
        <v>112838</v>
      </c>
      <c r="AE87" s="872">
        <v>105779</v>
      </c>
      <c r="AF87" s="872">
        <v>113313</v>
      </c>
      <c r="AG87" s="872">
        <v>109893</v>
      </c>
      <c r="AH87" s="872">
        <v>113798</v>
      </c>
      <c r="AI87" s="872">
        <v>108089</v>
      </c>
      <c r="AJ87" s="872">
        <v>100809</v>
      </c>
      <c r="AK87" s="872">
        <v>101005</v>
      </c>
      <c r="AL87" s="872">
        <v>97932</v>
      </c>
      <c r="AM87" s="872">
        <v>101389</v>
      </c>
      <c r="AN87" s="872">
        <v>98305</v>
      </c>
      <c r="AO87" s="871">
        <v>101775</v>
      </c>
      <c r="AP87" s="884">
        <f>SUM(AD87:AO87)</f>
        <v>1264925</v>
      </c>
      <c r="AQ87" s="891">
        <v>101972</v>
      </c>
      <c r="AR87" s="892">
        <v>92272</v>
      </c>
      <c r="AS87" s="892">
        <v>102348</v>
      </c>
      <c r="AT87" s="892">
        <v>99234</v>
      </c>
      <c r="AU87" s="892">
        <v>102737</v>
      </c>
      <c r="AV87" s="892">
        <v>97858</v>
      </c>
      <c r="AW87" s="907">
        <v>92772</v>
      </c>
      <c r="AX87" s="907">
        <v>92933</v>
      </c>
      <c r="AY87" s="914">
        <v>90092</v>
      </c>
      <c r="AZ87" s="1002">
        <v>93254</v>
      </c>
      <c r="BA87" s="1002">
        <v>90402</v>
      </c>
      <c r="BB87" s="1003">
        <v>93575</v>
      </c>
      <c r="BC87" s="884">
        <f>SUM(AQ87:BB87)</f>
        <v>1149449</v>
      </c>
      <c r="BD87" s="1015">
        <v>93739</v>
      </c>
      <c r="BE87" s="1002">
        <v>84809</v>
      </c>
      <c r="BF87" s="1025">
        <v>94052</v>
      </c>
      <c r="BG87" s="1039">
        <v>91175</v>
      </c>
      <c r="BH87" s="1039">
        <v>94376</v>
      </c>
      <c r="BI87" s="1039">
        <v>92506</v>
      </c>
      <c r="BJ87" s="1163">
        <v>100845</v>
      </c>
      <c r="BK87" s="1163">
        <v>101036</v>
      </c>
      <c r="BL87" s="1163">
        <v>97955</v>
      </c>
      <c r="BM87" s="1163">
        <v>101409</v>
      </c>
      <c r="BN87" s="1163">
        <v>98318</v>
      </c>
      <c r="BO87" s="1175">
        <v>109933</v>
      </c>
      <c r="BP87" s="884">
        <f>SUM(BD87:BO87)</f>
        <v>1160153</v>
      </c>
      <c r="BQ87" s="1224">
        <v>165221</v>
      </c>
      <c r="BR87" s="1225">
        <v>149511</v>
      </c>
      <c r="BS87" s="1225">
        <v>165839</v>
      </c>
      <c r="BT87" s="1225">
        <v>160800</v>
      </c>
      <c r="BU87" s="1225">
        <v>166480</v>
      </c>
      <c r="BV87" s="1225">
        <v>162095</v>
      </c>
      <c r="BW87" s="1225">
        <v>171328</v>
      </c>
      <c r="BX87" s="1225">
        <v>171674</v>
      </c>
      <c r="BY87" s="1225">
        <v>166465</v>
      </c>
      <c r="BZ87" s="1163">
        <v>172355</v>
      </c>
      <c r="CA87" s="1163">
        <v>167129</v>
      </c>
      <c r="CB87" s="1175">
        <v>172419</v>
      </c>
      <c r="CC87" s="1195">
        <f>SUM(BQ87:CB87)</f>
        <v>1991316</v>
      </c>
      <c r="CD87" s="1293">
        <v>207440</v>
      </c>
      <c r="CE87" s="1295">
        <v>194426</v>
      </c>
      <c r="CF87" s="1295">
        <v>208229</v>
      </c>
      <c r="CG87" s="1334">
        <v>201899</v>
      </c>
      <c r="CH87" s="1334">
        <v>209031</v>
      </c>
      <c r="CI87" s="1334">
        <v>200408</v>
      </c>
      <c r="CJ87" s="1334">
        <v>196386</v>
      </c>
      <c r="CK87" s="1334">
        <v>196750</v>
      </c>
      <c r="CL87" s="1334">
        <v>190748</v>
      </c>
      <c r="CM87" s="1369">
        <v>197466</v>
      </c>
      <c r="CN87" s="1369">
        <v>191443</v>
      </c>
      <c r="CO87" s="1370">
        <v>200561</v>
      </c>
      <c r="CP87" s="1294">
        <f>SUM(CD87:CO87)</f>
        <v>2394787</v>
      </c>
      <c r="CQ87" s="1392">
        <v>185049</v>
      </c>
      <c r="CR87" s="1394">
        <v>140800</v>
      </c>
      <c r="CS87" s="1394">
        <v>156141</v>
      </c>
      <c r="CT87" s="1394">
        <v>151361</v>
      </c>
      <c r="CU87" s="1394">
        <v>156673</v>
      </c>
      <c r="CV87" s="1394">
        <v>150542</v>
      </c>
      <c r="CW87" s="1394">
        <v>149365</v>
      </c>
      <c r="CX87" s="1394">
        <v>149613</v>
      </c>
      <c r="CY87" s="1394">
        <v>127298</v>
      </c>
      <c r="CZ87" s="1432">
        <v>117742</v>
      </c>
      <c r="DA87" s="1432">
        <v>114129</v>
      </c>
      <c r="DB87" s="1433">
        <v>120999</v>
      </c>
      <c r="DC87" s="1393">
        <f>SUM(CQ87:DB87)</f>
        <v>1719712</v>
      </c>
      <c r="DD87" s="1451">
        <v>163539</v>
      </c>
      <c r="DE87" s="1453">
        <v>147967</v>
      </c>
      <c r="DF87" s="1453">
        <v>164103</v>
      </c>
      <c r="DG87" s="1453">
        <v>159091</v>
      </c>
      <c r="DH87" s="1453">
        <v>164688</v>
      </c>
      <c r="DI87" s="1453">
        <v>148595</v>
      </c>
      <c r="DJ87" s="1453"/>
      <c r="DK87" s="1453"/>
      <c r="DL87" s="1453"/>
      <c r="DM87" s="1453"/>
      <c r="DN87" s="1453"/>
      <c r="DO87" s="1454"/>
      <c r="DP87" s="1452">
        <f>SUM(DD87:DO87)</f>
        <v>947983</v>
      </c>
    </row>
    <row r="88" spans="1:120" ht="15" customHeight="1" thickBot="1">
      <c r="A88" s="464"/>
      <c r="B88" s="708" t="s">
        <v>443</v>
      </c>
      <c r="C88" s="709"/>
      <c r="D88" s="710"/>
      <c r="E88" s="711"/>
      <c r="F88" s="711"/>
      <c r="G88" s="711"/>
      <c r="H88" s="711"/>
      <c r="I88" s="711"/>
      <c r="J88" s="711"/>
      <c r="K88" s="711"/>
      <c r="L88" s="711"/>
      <c r="M88" s="711"/>
      <c r="N88" s="711"/>
      <c r="O88" s="712"/>
      <c r="P88" s="713">
        <f>SUM(D88:O88)</f>
        <v>0</v>
      </c>
      <c r="Q88" s="710"/>
      <c r="R88" s="711"/>
      <c r="S88" s="711"/>
      <c r="T88" s="711"/>
      <c r="U88" s="711"/>
      <c r="V88" s="711"/>
      <c r="W88" s="711"/>
      <c r="X88" s="711"/>
      <c r="Y88" s="711"/>
      <c r="Z88" s="711"/>
      <c r="AA88" s="711"/>
      <c r="AB88" s="712"/>
      <c r="AC88" s="714">
        <f>SUM(Q88:AB88)</f>
        <v>0</v>
      </c>
      <c r="AD88" s="841"/>
      <c r="AE88" s="842"/>
      <c r="AF88" s="842"/>
      <c r="AG88" s="842"/>
      <c r="AH88" s="842"/>
      <c r="AI88" s="842">
        <v>361976</v>
      </c>
      <c r="AJ88" s="842"/>
      <c r="AK88" s="842"/>
      <c r="AL88" s="842"/>
      <c r="AM88" s="842"/>
      <c r="AN88" s="842"/>
      <c r="AO88" s="843"/>
      <c r="AP88" s="714">
        <f>SUM(AD88:AO88)</f>
        <v>361976</v>
      </c>
      <c r="AQ88" s="903"/>
      <c r="AR88" s="904"/>
      <c r="AS88" s="904"/>
      <c r="AT88" s="904"/>
      <c r="AU88" s="904"/>
      <c r="AV88" s="904">
        <v>332159</v>
      </c>
      <c r="AW88" s="909"/>
      <c r="AX88" s="909"/>
      <c r="AY88" s="917"/>
      <c r="AZ88" s="1009"/>
      <c r="BA88" s="1009"/>
      <c r="BB88" s="1010"/>
      <c r="BC88" s="714">
        <f>SUM(AQ88:BB88)</f>
        <v>332159</v>
      </c>
      <c r="BD88" s="1021"/>
      <c r="BE88" s="1009"/>
      <c r="BF88" s="1028"/>
      <c r="BG88" s="1046"/>
      <c r="BH88" s="1046"/>
      <c r="BI88" s="1046">
        <v>329823</v>
      </c>
      <c r="BJ88" s="1168"/>
      <c r="BK88" s="1168"/>
      <c r="BL88" s="1168"/>
      <c r="BM88" s="1168"/>
      <c r="BN88" s="1168"/>
      <c r="BO88" s="1180"/>
      <c r="BP88" s="714">
        <f>SUM(BD88:BO88)</f>
        <v>329823</v>
      </c>
      <c r="BQ88" s="1235"/>
      <c r="BR88" s="1236"/>
      <c r="BS88" s="1236"/>
      <c r="BT88" s="1236"/>
      <c r="BU88" s="1236"/>
      <c r="BV88" s="1236">
        <v>411528</v>
      </c>
      <c r="BW88" s="1236"/>
      <c r="BX88" s="1236"/>
      <c r="BY88" s="1236"/>
      <c r="BZ88" s="1202"/>
      <c r="CA88" s="1202"/>
      <c r="CB88" s="1203"/>
      <c r="CC88" s="1204">
        <f>SUM(BQ88:CB88)</f>
        <v>411528</v>
      </c>
      <c r="CD88" s="1302"/>
      <c r="CE88" s="1303"/>
      <c r="CF88" s="1303"/>
      <c r="CG88" s="1339"/>
      <c r="CH88" s="1339"/>
      <c r="CI88" s="1339">
        <f>325041+233076</f>
        <v>558117</v>
      </c>
      <c r="CJ88" s="1339"/>
      <c r="CK88" s="1339"/>
      <c r="CL88" s="1339"/>
      <c r="CM88" s="1375"/>
      <c r="CN88" s="1375"/>
      <c r="CO88" s="1376"/>
      <c r="CP88" s="1304">
        <f>SUM(CD88:CO88)</f>
        <v>558117</v>
      </c>
      <c r="CQ88" s="1401"/>
      <c r="CR88" s="1402"/>
      <c r="CS88" s="1402"/>
      <c r="CT88" s="1402"/>
      <c r="CU88" s="1402"/>
      <c r="CV88" s="1402">
        <v>464555</v>
      </c>
      <c r="CW88" s="1402"/>
      <c r="CX88" s="1402"/>
      <c r="CY88" s="1402"/>
      <c r="CZ88" s="1438"/>
      <c r="DA88" s="1438"/>
      <c r="DB88" s="1439"/>
      <c r="DC88" s="1403">
        <f>SUM(CQ88:DB88)</f>
        <v>464555</v>
      </c>
      <c r="DD88" s="1462"/>
      <c r="DE88" s="1463"/>
      <c r="DF88" s="1463"/>
      <c r="DG88" s="1463"/>
      <c r="DH88" s="1463"/>
      <c r="DI88" s="1463">
        <v>388543</v>
      </c>
      <c r="DJ88" s="1463"/>
      <c r="DK88" s="1463"/>
      <c r="DL88" s="1463"/>
      <c r="DM88" s="1463"/>
      <c r="DN88" s="1463"/>
      <c r="DO88" s="1464"/>
      <c r="DP88" s="1465">
        <f>SUM(DD88:DO88)</f>
        <v>388543</v>
      </c>
    </row>
    <row r="89" spans="1:120" s="472" customFormat="1" ht="18" customHeight="1" thickTop="1">
      <c r="A89" s="2171" t="s">
        <v>317</v>
      </c>
      <c r="B89" s="465"/>
      <c r="C89" s="466">
        <f>SUM(C90:C94)</f>
        <v>409203085</v>
      </c>
      <c r="D89" s="467">
        <f>D90+D91-D92+D93-D94</f>
        <v>410338574</v>
      </c>
      <c r="E89" s="468">
        <f t="shared" ref="E89:O89" si="212">E90+E91-E92+E93-E94</f>
        <v>411368858</v>
      </c>
      <c r="F89" s="468">
        <f t="shared" si="212"/>
        <v>402024418</v>
      </c>
      <c r="G89" s="468">
        <f t="shared" si="212"/>
        <v>403104618</v>
      </c>
      <c r="H89" s="468">
        <f t="shared" si="212"/>
        <v>404223003</v>
      </c>
      <c r="I89" s="468">
        <f t="shared" si="212"/>
        <v>405305046</v>
      </c>
      <c r="J89" s="468">
        <f t="shared" si="212"/>
        <v>406425360</v>
      </c>
      <c r="K89" s="468">
        <f t="shared" si="212"/>
        <v>407545495</v>
      </c>
      <c r="L89" s="468">
        <f t="shared" si="212"/>
        <v>408630401</v>
      </c>
      <c r="M89" s="468">
        <f t="shared" si="212"/>
        <v>409753651</v>
      </c>
      <c r="N89" s="468">
        <f t="shared" si="212"/>
        <v>410840425</v>
      </c>
      <c r="O89" s="469">
        <f t="shared" si="212"/>
        <v>308927514</v>
      </c>
      <c r="P89" s="470">
        <f>P90+P91-P92+P93-P94</f>
        <v>633823752</v>
      </c>
      <c r="Q89" s="467">
        <f>Q90+Q91-Q92+Q93-Q94</f>
        <v>336667834</v>
      </c>
      <c r="R89" s="468">
        <f t="shared" ref="R89:AB89" si="213">R90+R91-R92+R93-R94</f>
        <v>289384555</v>
      </c>
      <c r="S89" s="468">
        <f t="shared" si="213"/>
        <v>290066039</v>
      </c>
      <c r="T89" s="468">
        <f t="shared" si="213"/>
        <v>290725873</v>
      </c>
      <c r="U89" s="468">
        <f t="shared" si="213"/>
        <v>291408158</v>
      </c>
      <c r="V89" s="468">
        <f t="shared" si="213"/>
        <v>291338691</v>
      </c>
      <c r="W89" s="468">
        <f t="shared" si="213"/>
        <v>292013502</v>
      </c>
      <c r="X89" s="468">
        <f t="shared" si="213"/>
        <v>292689021</v>
      </c>
      <c r="Y89" s="468">
        <f t="shared" si="213"/>
        <v>293343454</v>
      </c>
      <c r="Z89" s="468">
        <f t="shared" si="213"/>
        <v>294020404</v>
      </c>
      <c r="AA89" s="468">
        <f t="shared" si="213"/>
        <v>294676225</v>
      </c>
      <c r="AB89" s="469">
        <f t="shared" si="213"/>
        <v>377035065</v>
      </c>
      <c r="AC89" s="471">
        <f>AC90+AC91-AC92+AC93-AC94</f>
        <v>377035065</v>
      </c>
      <c r="AD89" s="844">
        <f>AD90+AD91-AD92+AD93-AD94</f>
        <v>377685490</v>
      </c>
      <c r="AE89" s="468">
        <f t="shared" ref="AE89:AO89" si="214">AE90+AE91-AE92+AE93-AE94</f>
        <v>367374220</v>
      </c>
      <c r="AF89" s="468">
        <f t="shared" si="214"/>
        <v>368097072</v>
      </c>
      <c r="AG89" s="468">
        <f t="shared" si="214"/>
        <v>368792398</v>
      </c>
      <c r="AH89" s="468">
        <f t="shared" si="214"/>
        <v>369514023</v>
      </c>
      <c r="AI89" s="468">
        <f t="shared" si="214"/>
        <v>369846199</v>
      </c>
      <c r="AJ89" s="468">
        <f t="shared" si="214"/>
        <v>370555435</v>
      </c>
      <c r="AK89" s="468">
        <f t="shared" si="214"/>
        <v>371262796</v>
      </c>
      <c r="AL89" s="468">
        <f t="shared" si="214"/>
        <v>371947816</v>
      </c>
      <c r="AM89" s="468">
        <f t="shared" si="214"/>
        <v>372658777</v>
      </c>
      <c r="AN89" s="468">
        <f t="shared" si="214"/>
        <v>373344886</v>
      </c>
      <c r="AO89" s="845">
        <f t="shared" si="214"/>
        <v>452161616</v>
      </c>
      <c r="AP89" s="471">
        <f>AP90+AP91-AP92+AP93-AP94</f>
        <v>452161616</v>
      </c>
      <c r="AQ89" s="467">
        <f>AQ90+AQ91-AQ92+AQ93-AQ94</f>
        <v>452871455</v>
      </c>
      <c r="AR89" s="468">
        <f t="shared" ref="AR89:BB89" si="215">AR90+AR91-AR92+AR93-AR94</f>
        <v>453585870</v>
      </c>
      <c r="AS89" s="468">
        <f t="shared" si="215"/>
        <v>454381532</v>
      </c>
      <c r="AT89" s="468">
        <f t="shared" si="215"/>
        <v>455146424</v>
      </c>
      <c r="AU89" s="468">
        <f t="shared" si="215"/>
        <v>455939928</v>
      </c>
      <c r="AV89" s="468">
        <f t="shared" si="215"/>
        <v>456371995</v>
      </c>
      <c r="AW89" s="468">
        <f t="shared" si="215"/>
        <v>457156179</v>
      </c>
      <c r="AX89" s="468">
        <f t="shared" si="215"/>
        <v>457938503</v>
      </c>
      <c r="AY89" s="468">
        <f t="shared" si="215"/>
        <v>458696028</v>
      </c>
      <c r="AZ89" s="468">
        <f t="shared" si="215"/>
        <v>459481874</v>
      </c>
      <c r="BA89" s="468">
        <f t="shared" si="215"/>
        <v>460240410</v>
      </c>
      <c r="BB89" s="469">
        <f t="shared" si="215"/>
        <v>539404984</v>
      </c>
      <c r="BC89" s="471">
        <f>BC90+BC91-BC92+BC93-BC94</f>
        <v>539404984</v>
      </c>
      <c r="BD89" s="467">
        <f>BD90+BD91-BD92+BD93-BD94</f>
        <v>539585557</v>
      </c>
      <c r="BE89" s="468">
        <f t="shared" ref="BE89:BO89" si="216">BE90+BE91-BE92+BE93-BE94</f>
        <v>540420353</v>
      </c>
      <c r="BF89" s="468">
        <f t="shared" si="216"/>
        <v>541352683</v>
      </c>
      <c r="BG89" s="468">
        <f t="shared" si="216"/>
        <v>542246644</v>
      </c>
      <c r="BH89" s="468">
        <f t="shared" si="216"/>
        <v>543174766</v>
      </c>
      <c r="BI89" s="468">
        <f t="shared" si="216"/>
        <v>543741076</v>
      </c>
      <c r="BJ89" s="468">
        <f t="shared" si="216"/>
        <v>544676481</v>
      </c>
      <c r="BK89" s="468">
        <f t="shared" si="216"/>
        <v>545608984</v>
      </c>
      <c r="BL89" s="468">
        <f t="shared" si="216"/>
        <v>546511958</v>
      </c>
      <c r="BM89" s="468">
        <f t="shared" si="216"/>
        <v>547449249</v>
      </c>
      <c r="BN89" s="468">
        <f t="shared" si="216"/>
        <v>548353520</v>
      </c>
      <c r="BO89" s="469">
        <f t="shared" si="216"/>
        <v>627924541</v>
      </c>
      <c r="BP89" s="471">
        <f>BP90+BP91-BP92+BP93-BP94</f>
        <v>627924541</v>
      </c>
      <c r="BQ89" s="467">
        <f>BQ90+BQ91-BQ92+BQ93-BQ94</f>
        <v>627781613</v>
      </c>
      <c r="BR89" s="468">
        <f t="shared" ref="BR89:CB89" si="217">BR90+BR91-BR92+BR93-BR94</f>
        <v>628853911</v>
      </c>
      <c r="BS89" s="468">
        <f t="shared" si="217"/>
        <v>630046216</v>
      </c>
      <c r="BT89" s="468">
        <f t="shared" si="217"/>
        <v>631203602</v>
      </c>
      <c r="BU89" s="468">
        <f t="shared" si="217"/>
        <v>632397159</v>
      </c>
      <c r="BV89" s="468">
        <f t="shared" si="217"/>
        <v>633132338</v>
      </c>
      <c r="BW89" s="468">
        <f t="shared" si="217"/>
        <v>634338475</v>
      </c>
      <c r="BX89" s="468">
        <f t="shared" si="217"/>
        <v>464684391</v>
      </c>
      <c r="BY89" s="468">
        <f t="shared" si="217"/>
        <v>465529409</v>
      </c>
      <c r="BZ89" s="468">
        <f t="shared" si="217"/>
        <v>466405244</v>
      </c>
      <c r="CA89" s="468">
        <f t="shared" si="217"/>
        <v>467250516</v>
      </c>
      <c r="CB89" s="469">
        <f t="shared" si="217"/>
        <v>541541804</v>
      </c>
      <c r="CC89" s="471">
        <f>CC90+CC91-CC92+CC93-CC94</f>
        <v>541541804</v>
      </c>
      <c r="CD89" s="467">
        <f>CD90+CD91-CD92+CD93-CD94</f>
        <v>541637839</v>
      </c>
      <c r="CE89" s="468">
        <f t="shared" ref="CE89:CO89" si="218">CE90+CE91-CE92+CE93-CE94</f>
        <v>542536311</v>
      </c>
      <c r="CF89" s="468">
        <f t="shared" si="218"/>
        <v>543503580</v>
      </c>
      <c r="CG89" s="468">
        <f t="shared" si="218"/>
        <v>544431533</v>
      </c>
      <c r="CH89" s="468">
        <f t="shared" si="218"/>
        <v>545396475</v>
      </c>
      <c r="CI89" s="468">
        <f t="shared" si="218"/>
        <v>545771679</v>
      </c>
      <c r="CJ89" s="468">
        <f t="shared" si="218"/>
        <v>546724775</v>
      </c>
      <c r="CK89" s="468">
        <f t="shared" si="218"/>
        <v>547675972</v>
      </c>
      <c r="CL89" s="468">
        <f t="shared" si="218"/>
        <v>548594131</v>
      </c>
      <c r="CM89" s="468">
        <f t="shared" si="218"/>
        <v>549549276</v>
      </c>
      <c r="CN89" s="468">
        <f t="shared" si="218"/>
        <v>550474807</v>
      </c>
      <c r="CO89" s="469">
        <f t="shared" si="218"/>
        <v>634298882</v>
      </c>
      <c r="CP89" s="471">
        <f>CP90+CP91-CP92+CP93-CP94</f>
        <v>634298882</v>
      </c>
      <c r="CQ89" s="467">
        <f>CQ90+CQ91-CQ92+CQ93-CQ94</f>
        <v>433159680</v>
      </c>
      <c r="CR89" s="468">
        <f t="shared" ref="CR89:DB89" si="219">CR90+CR91-CR92+CR93-CR94</f>
        <v>433693159</v>
      </c>
      <c r="CS89" s="468">
        <f t="shared" si="219"/>
        <v>434293726</v>
      </c>
      <c r="CT89" s="468">
        <f t="shared" si="219"/>
        <v>434872755</v>
      </c>
      <c r="CU89" s="468">
        <f t="shared" si="219"/>
        <v>435473648</v>
      </c>
      <c r="CV89" s="468">
        <f t="shared" si="219"/>
        <v>435587604</v>
      </c>
      <c r="CW89" s="468">
        <f t="shared" si="219"/>
        <v>436181110</v>
      </c>
      <c r="CX89" s="468">
        <f t="shared" si="219"/>
        <v>436773729</v>
      </c>
      <c r="CY89" s="468">
        <f t="shared" si="219"/>
        <v>359065384</v>
      </c>
      <c r="CZ89" s="468">
        <f t="shared" si="219"/>
        <v>359554237</v>
      </c>
      <c r="DA89" s="468">
        <f t="shared" si="219"/>
        <v>360027361</v>
      </c>
      <c r="DB89" s="469">
        <f t="shared" si="219"/>
        <v>453920777</v>
      </c>
      <c r="DC89" s="471">
        <f>DC90+DC91-DC92+DC93-DC94</f>
        <v>453920777</v>
      </c>
      <c r="DD89" s="467">
        <f>DD90+DD91-DD92+DD93-DD94</f>
        <v>454569185</v>
      </c>
      <c r="DE89" s="468">
        <f t="shared" ref="DE89:DO89" si="220">DE90+DE91-DE92+DE93-DE94</f>
        <v>455212302</v>
      </c>
      <c r="DF89" s="468">
        <f t="shared" si="220"/>
        <v>455914470</v>
      </c>
      <c r="DG89" s="468">
        <f t="shared" si="220"/>
        <v>456594063</v>
      </c>
      <c r="DH89" s="468">
        <f t="shared" si="220"/>
        <v>457294455</v>
      </c>
      <c r="DI89" s="468">
        <f t="shared" si="220"/>
        <v>398069258</v>
      </c>
      <c r="DJ89" s="468">
        <f t="shared" si="220"/>
        <v>398069258</v>
      </c>
      <c r="DK89" s="468">
        <f t="shared" si="220"/>
        <v>398069258</v>
      </c>
      <c r="DL89" s="468">
        <f t="shared" si="220"/>
        <v>398069258</v>
      </c>
      <c r="DM89" s="468">
        <f t="shared" si="220"/>
        <v>398069258</v>
      </c>
      <c r="DN89" s="468">
        <f t="shared" si="220"/>
        <v>398069258</v>
      </c>
      <c r="DO89" s="469">
        <f t="shared" si="220"/>
        <v>398069258</v>
      </c>
      <c r="DP89" s="471">
        <f>DP90+DP91-DP92+DP93-DP94</f>
        <v>398069258</v>
      </c>
    </row>
    <row r="90" spans="1:120" s="472" customFormat="1" ht="18" customHeight="1">
      <c r="A90" s="2172"/>
      <c r="B90" s="473" t="s">
        <v>318</v>
      </c>
      <c r="C90" s="474">
        <f>C6+C12+C18+C24+C30+C36+C42+C48+C54+C60+C66+C72+C78</f>
        <v>0</v>
      </c>
      <c r="D90" s="475">
        <f>D6+D12+D18+D24+D30+D36+D42+D48+D54+D60+D66+D72+D78</f>
        <v>409203085</v>
      </c>
      <c r="E90" s="476">
        <f t="shared" ref="E90:O91" si="221">E6+E12+E18+E24+E30+E36+E42+E48+E54+E60+E66+E72+E78</f>
        <v>410338574</v>
      </c>
      <c r="F90" s="476">
        <f t="shared" si="221"/>
        <v>411368858</v>
      </c>
      <c r="G90" s="476">
        <f t="shared" si="221"/>
        <v>402024418</v>
      </c>
      <c r="H90" s="476">
        <f t="shared" si="221"/>
        <v>403104618</v>
      </c>
      <c r="I90" s="476">
        <f t="shared" si="221"/>
        <v>404223003</v>
      </c>
      <c r="J90" s="476">
        <f t="shared" si="221"/>
        <v>405305046</v>
      </c>
      <c r="K90" s="476">
        <f t="shared" si="221"/>
        <v>406425360</v>
      </c>
      <c r="L90" s="476">
        <f t="shared" si="221"/>
        <v>407545495</v>
      </c>
      <c r="M90" s="476">
        <f t="shared" si="221"/>
        <v>408630401</v>
      </c>
      <c r="N90" s="476">
        <f t="shared" si="221"/>
        <v>409753651</v>
      </c>
      <c r="O90" s="477">
        <f t="shared" si="221"/>
        <v>85944187</v>
      </c>
      <c r="P90" s="478">
        <f>P6+P12+P18+P24+P30+P36+P42+P48+P54+P60+P66+P72+P78</f>
        <v>409203085</v>
      </c>
      <c r="Q90" s="475">
        <f>Q6+Q12+Q18+Q24+Q30+Q36+Q42+Q48+Q54+Q60+Q66+Q72+Q78+Q84</f>
        <v>633823752</v>
      </c>
      <c r="R90" s="476">
        <f t="shared" ref="R90:AB90" si="222">R6+R12+R18+R24+R30+R36+R42+R48+R54+R60+R66+R72+R78+R84</f>
        <v>336667834</v>
      </c>
      <c r="S90" s="476">
        <f t="shared" si="222"/>
        <v>289384555</v>
      </c>
      <c r="T90" s="476">
        <f t="shared" si="222"/>
        <v>290066039</v>
      </c>
      <c r="U90" s="476">
        <f t="shared" si="222"/>
        <v>290725873</v>
      </c>
      <c r="V90" s="476">
        <f t="shared" si="222"/>
        <v>291408158</v>
      </c>
      <c r="W90" s="476">
        <f t="shared" si="222"/>
        <v>291338691</v>
      </c>
      <c r="X90" s="476">
        <f t="shared" si="222"/>
        <v>292013502</v>
      </c>
      <c r="Y90" s="476">
        <f t="shared" si="222"/>
        <v>292689021</v>
      </c>
      <c r="Z90" s="476">
        <f t="shared" si="222"/>
        <v>293343454</v>
      </c>
      <c r="AA90" s="476">
        <f t="shared" si="222"/>
        <v>294020404</v>
      </c>
      <c r="AB90" s="477">
        <f t="shared" si="222"/>
        <v>294676225</v>
      </c>
      <c r="AC90" s="479">
        <f>AC6+AC12+AC18+AC24+AC30+AC36+AC42+AC48+AC54+AC60+AC66+AC72+AC78+AC84</f>
        <v>633823752</v>
      </c>
      <c r="AD90" s="846">
        <f>AD6+AD12+AD18+AD24+AD30+AD36+AD42+AD48+AD54+AD60+AD66+AD72+AD78+AD84</f>
        <v>377035065</v>
      </c>
      <c r="AE90" s="847">
        <f t="shared" ref="AE90:AO90" si="223">AE6+AE12+AE18+AE24+AE30+AE36+AE42+AE48+AE54+AE60+AE66+AE72+AE78+AE84</f>
        <v>377685490</v>
      </c>
      <c r="AF90" s="847">
        <f t="shared" si="223"/>
        <v>367374220</v>
      </c>
      <c r="AG90" s="847">
        <f t="shared" si="223"/>
        <v>368097072</v>
      </c>
      <c r="AH90" s="847">
        <f t="shared" si="223"/>
        <v>368792398</v>
      </c>
      <c r="AI90" s="847">
        <f t="shared" si="223"/>
        <v>369514023</v>
      </c>
      <c r="AJ90" s="847">
        <f t="shared" si="223"/>
        <v>369846199</v>
      </c>
      <c r="AK90" s="847">
        <f t="shared" si="223"/>
        <v>370555435</v>
      </c>
      <c r="AL90" s="847">
        <f t="shared" si="223"/>
        <v>371262796</v>
      </c>
      <c r="AM90" s="847">
        <f t="shared" si="223"/>
        <v>371947816</v>
      </c>
      <c r="AN90" s="847">
        <f t="shared" si="223"/>
        <v>372658777</v>
      </c>
      <c r="AO90" s="848">
        <f t="shared" si="223"/>
        <v>373344886</v>
      </c>
      <c r="AP90" s="882">
        <f>AP6+AP12+AP18+AP24+AP30+AP36+AP42+AP48+AP54+AP60+AP66+AP72+AP78+AP84</f>
        <v>377035065</v>
      </c>
      <c r="AQ90" s="855">
        <f>AQ6+AQ12+AQ18+AQ24+AQ30+AQ36+AQ42+AQ48+AQ54+AQ60+AQ66+AQ72+AQ78+AQ84</f>
        <v>452161616</v>
      </c>
      <c r="AR90" s="847">
        <f t="shared" ref="AR90:BB94" si="224">AR6+AR12+AR18+AR24+AR30+AR36+AR42+AR48+AR54+AR60+AR66+AR72+AR78+AR84</f>
        <v>452871455</v>
      </c>
      <c r="AS90" s="847">
        <f t="shared" si="224"/>
        <v>453585870</v>
      </c>
      <c r="AT90" s="847">
        <f t="shared" si="224"/>
        <v>454381532</v>
      </c>
      <c r="AU90" s="847">
        <f t="shared" si="224"/>
        <v>455146424</v>
      </c>
      <c r="AV90" s="847">
        <f t="shared" si="224"/>
        <v>455939928</v>
      </c>
      <c r="AW90" s="847">
        <f t="shared" si="224"/>
        <v>456371995</v>
      </c>
      <c r="AX90" s="847">
        <f t="shared" si="224"/>
        <v>457156179</v>
      </c>
      <c r="AY90" s="847">
        <f t="shared" si="224"/>
        <v>457938503</v>
      </c>
      <c r="AZ90" s="847">
        <f t="shared" si="224"/>
        <v>458696028</v>
      </c>
      <c r="BA90" s="847">
        <f t="shared" si="224"/>
        <v>459481874</v>
      </c>
      <c r="BB90" s="856">
        <f t="shared" si="224"/>
        <v>460240410</v>
      </c>
      <c r="BC90" s="882">
        <f>BC6+BC12+BC18+BC24+BC30+BC36+BC42+BC48+BC54+BC60+BC66+BC72+BC78+BC84</f>
        <v>452161616</v>
      </c>
      <c r="BD90" s="855">
        <f>BD6+BD12+BD18+BD24+BD30+BD36+BD42+BD48+BD54+BD60+BD66+BD72+BD78+BD84</f>
        <v>539404984</v>
      </c>
      <c r="BE90" s="847">
        <f t="shared" ref="BE90:BO90" si="225">BE6+BE12+BE18+BE24+BE30+BE36+BE42+BE48+BE54+BE60+BE66+BE72+BE78+BE84</f>
        <v>539585557</v>
      </c>
      <c r="BF90" s="847">
        <f t="shared" si="225"/>
        <v>540420353</v>
      </c>
      <c r="BG90" s="847">
        <f t="shared" si="225"/>
        <v>541352683</v>
      </c>
      <c r="BH90" s="847">
        <f t="shared" si="225"/>
        <v>542246644</v>
      </c>
      <c r="BI90" s="847">
        <f t="shared" si="225"/>
        <v>543174766</v>
      </c>
      <c r="BJ90" s="847">
        <f t="shared" si="225"/>
        <v>543741076</v>
      </c>
      <c r="BK90" s="847">
        <f t="shared" si="225"/>
        <v>544676481</v>
      </c>
      <c r="BL90" s="847">
        <f t="shared" si="225"/>
        <v>545608984</v>
      </c>
      <c r="BM90" s="847">
        <f t="shared" si="225"/>
        <v>546511958</v>
      </c>
      <c r="BN90" s="847">
        <f t="shared" si="225"/>
        <v>547449249</v>
      </c>
      <c r="BO90" s="856">
        <f t="shared" si="225"/>
        <v>548353520</v>
      </c>
      <c r="BP90" s="882">
        <f>BP6+BP12+BP18+BP24+BP30+BP36+BP42+BP48+BP54+BP60+BP66+BP72+BP78+BP84</f>
        <v>539404984</v>
      </c>
      <c r="BQ90" s="1205">
        <f>BQ6+BQ12+BQ18+BQ24+BQ30+BQ36+BQ42+BQ48+BQ54+BQ60+BQ66+BQ72+BQ78+BQ84</f>
        <v>627924541</v>
      </c>
      <c r="BR90" s="1206">
        <f t="shared" ref="BR90:CB90" si="226">BR6+BR12+BR18+BR24+BR30+BR36+BR42+BR48+BR54+BR60+BR66+BR72+BR78+BR84</f>
        <v>627781613</v>
      </c>
      <c r="BS90" s="1206">
        <f t="shared" si="226"/>
        <v>628853911</v>
      </c>
      <c r="BT90" s="1206">
        <f t="shared" si="226"/>
        <v>630046216</v>
      </c>
      <c r="BU90" s="1206">
        <f t="shared" si="226"/>
        <v>631203602</v>
      </c>
      <c r="BV90" s="1206">
        <f t="shared" si="226"/>
        <v>632397159</v>
      </c>
      <c r="BW90" s="1206">
        <f t="shared" si="226"/>
        <v>633132338</v>
      </c>
      <c r="BX90" s="1206">
        <f t="shared" si="226"/>
        <v>634338475</v>
      </c>
      <c r="BY90" s="1206">
        <f t="shared" si="226"/>
        <v>464684391</v>
      </c>
      <c r="BZ90" s="1206">
        <f t="shared" si="226"/>
        <v>465529409</v>
      </c>
      <c r="CA90" s="1206">
        <f t="shared" si="226"/>
        <v>466405244</v>
      </c>
      <c r="CB90" s="1207">
        <f t="shared" si="226"/>
        <v>467250516</v>
      </c>
      <c r="CC90" s="1208">
        <f>CC6+CC12+CC18+CC24+CC30+CC36+CC42+CC48+CC54+CC60+CC66+CC72+CC78+CC84</f>
        <v>627924541</v>
      </c>
      <c r="CD90" s="1305">
        <f>CD6+CD12+CD18+CD24+CD30+CD36+CD42+CD48+CD54+CD60+CD66+CD72+CD78+CD84</f>
        <v>541541804</v>
      </c>
      <c r="CE90" s="1306">
        <f t="shared" ref="CE90:CO90" si="227">CE6+CE12+CE18+CE24+CE30+CE36+CE42+CE48+CE54+CE60+CE66+CE72+CE78+CE84</f>
        <v>541637839</v>
      </c>
      <c r="CF90" s="1306">
        <f t="shared" si="227"/>
        <v>542536311</v>
      </c>
      <c r="CG90" s="1306">
        <f t="shared" si="227"/>
        <v>543503580</v>
      </c>
      <c r="CH90" s="1306">
        <f t="shared" si="227"/>
        <v>544431533</v>
      </c>
      <c r="CI90" s="1306">
        <f t="shared" si="227"/>
        <v>545396475</v>
      </c>
      <c r="CJ90" s="1306">
        <f t="shared" si="227"/>
        <v>545771679</v>
      </c>
      <c r="CK90" s="1306">
        <f t="shared" si="227"/>
        <v>546724775</v>
      </c>
      <c r="CL90" s="1306">
        <f t="shared" si="227"/>
        <v>547675972</v>
      </c>
      <c r="CM90" s="1306">
        <f t="shared" si="227"/>
        <v>548594131</v>
      </c>
      <c r="CN90" s="1306">
        <f t="shared" si="227"/>
        <v>549549276</v>
      </c>
      <c r="CO90" s="1307">
        <f t="shared" si="227"/>
        <v>550474807</v>
      </c>
      <c r="CP90" s="1308">
        <f>CP6+CP12+CP18+CP24+CP30+CP36+CP42+CP48+CP54+CP60+CP66+CP72+CP78+CP84</f>
        <v>541541804</v>
      </c>
      <c r="CQ90" s="1404">
        <f>CQ6+CQ12+CQ18+CQ24+CQ30+CQ36+CQ42+CQ48+CQ54+CQ60+CQ66+CQ72+CQ78+CQ84</f>
        <v>634298882</v>
      </c>
      <c r="CR90" s="1405">
        <f t="shared" ref="CR90:DB90" si="228">CR6+CR12+CR18+CR24+CR30+CR36+CR42+CR48+CR54+CR60+CR66+CR72+CR78+CR84</f>
        <v>433159680</v>
      </c>
      <c r="CS90" s="1405">
        <f t="shared" si="228"/>
        <v>433693159</v>
      </c>
      <c r="CT90" s="1405">
        <f t="shared" si="228"/>
        <v>434293726</v>
      </c>
      <c r="CU90" s="1405">
        <f t="shared" si="228"/>
        <v>434872755</v>
      </c>
      <c r="CV90" s="1405">
        <f t="shared" si="228"/>
        <v>435473648</v>
      </c>
      <c r="CW90" s="1405">
        <f t="shared" si="228"/>
        <v>435587604</v>
      </c>
      <c r="CX90" s="1405">
        <f t="shared" si="228"/>
        <v>436181110</v>
      </c>
      <c r="CY90" s="1405">
        <f t="shared" si="228"/>
        <v>436773729</v>
      </c>
      <c r="CZ90" s="1405">
        <f t="shared" si="228"/>
        <v>359065384</v>
      </c>
      <c r="DA90" s="1405">
        <f t="shared" si="228"/>
        <v>359554237</v>
      </c>
      <c r="DB90" s="1406">
        <f t="shared" si="228"/>
        <v>360027361</v>
      </c>
      <c r="DC90" s="1407">
        <f>DC6+DC12+DC18+DC24+DC30+DC36+DC42+DC48+DC54+DC60+DC66+DC72+DC78+DC84</f>
        <v>634298882</v>
      </c>
      <c r="DD90" s="1466">
        <f>DD6+DD12+DD18+DD24+DD30+DD36+DD42+DD48+DD54+DD60+DD66+DD72+DD78+DD84</f>
        <v>453920777</v>
      </c>
      <c r="DE90" s="1467">
        <f t="shared" ref="DE90:DO90" si="229">DE6+DE12+DE18+DE24+DE30+DE36+DE42+DE48+DE54+DE60+DE66+DE72+DE78+DE84</f>
        <v>454569185</v>
      </c>
      <c r="DF90" s="1467">
        <f t="shared" si="229"/>
        <v>455212302</v>
      </c>
      <c r="DG90" s="1467">
        <f t="shared" si="229"/>
        <v>455914470</v>
      </c>
      <c r="DH90" s="1467">
        <f t="shared" si="229"/>
        <v>456594063</v>
      </c>
      <c r="DI90" s="1467">
        <f t="shared" si="229"/>
        <v>457294455</v>
      </c>
      <c r="DJ90" s="1467">
        <f t="shared" si="229"/>
        <v>398069258</v>
      </c>
      <c r="DK90" s="1467">
        <f t="shared" si="229"/>
        <v>398069258</v>
      </c>
      <c r="DL90" s="1467">
        <f t="shared" si="229"/>
        <v>398069258</v>
      </c>
      <c r="DM90" s="1467">
        <f t="shared" si="229"/>
        <v>398069258</v>
      </c>
      <c r="DN90" s="1467">
        <f t="shared" si="229"/>
        <v>398069258</v>
      </c>
      <c r="DO90" s="1468">
        <f t="shared" si="229"/>
        <v>398069258</v>
      </c>
      <c r="DP90" s="1469">
        <f>DP6+DP12+DP18+DP24+DP30+DP36+DP42+DP48+DP54+DP60+DP66+DP72+DP78+DP84</f>
        <v>453920777</v>
      </c>
    </row>
    <row r="91" spans="1:120" s="321" customFormat="1" ht="15" customHeight="1">
      <c r="A91" s="2172"/>
      <c r="B91" s="480" t="s">
        <v>321</v>
      </c>
      <c r="C91" s="474">
        <f>C7+C13+C19+C25+C31+C37+C43+C49+C55+C61+C67+C73+C79</f>
        <v>409002993</v>
      </c>
      <c r="D91" s="481"/>
      <c r="E91" s="482"/>
      <c r="F91" s="482"/>
      <c r="G91" s="482"/>
      <c r="H91" s="482"/>
      <c r="I91" s="482"/>
      <c r="J91" s="482"/>
      <c r="K91" s="482"/>
      <c r="L91" s="482"/>
      <c r="M91" s="482"/>
      <c r="N91" s="482"/>
      <c r="O91" s="483">
        <f t="shared" si="221"/>
        <v>224203384</v>
      </c>
      <c r="P91" s="484">
        <f>P7+P13+P19+P25+P31+P37+P43+P49+P55+P61+P67+P73+P79</f>
        <v>224203384</v>
      </c>
      <c r="Q91" s="481">
        <f t="shared" ref="Q91:AB94" si="230">Q7+Q13+Q19+Q25+Q31+Q37+Q43+Q49+Q55+Q61+Q67+Q73+Q79+Q85</f>
        <v>0</v>
      </c>
      <c r="R91" s="482">
        <f t="shared" si="230"/>
        <v>0</v>
      </c>
      <c r="S91" s="482">
        <f t="shared" si="230"/>
        <v>0</v>
      </c>
      <c r="T91" s="482">
        <f t="shared" si="230"/>
        <v>0</v>
      </c>
      <c r="U91" s="482">
        <f t="shared" si="230"/>
        <v>0</v>
      </c>
      <c r="V91" s="482">
        <f t="shared" si="230"/>
        <v>51162202</v>
      </c>
      <c r="W91" s="482">
        <f t="shared" si="230"/>
        <v>0</v>
      </c>
      <c r="X91" s="482">
        <f t="shared" si="230"/>
        <v>0</v>
      </c>
      <c r="Y91" s="482">
        <f t="shared" si="230"/>
        <v>0</v>
      </c>
      <c r="Z91" s="482">
        <f t="shared" si="230"/>
        <v>0</v>
      </c>
      <c r="AA91" s="482">
        <f t="shared" si="230"/>
        <v>0</v>
      </c>
      <c r="AB91" s="483">
        <f t="shared" si="230"/>
        <v>90000000</v>
      </c>
      <c r="AC91" s="485">
        <f>AC7+AC13+AC19+AC25+AC31+AC37+AC43+AC49+AC55+AC61+AC67+AC73+AC79+AC85</f>
        <v>141162202</v>
      </c>
      <c r="AD91" s="849">
        <f t="shared" ref="AD91:AT94" si="231">AD7+AD13+AD19+AD25+AD31+AD37+AD43+AD49+AD55+AD61+AD67+AD73+AD79+AD85</f>
        <v>0</v>
      </c>
      <c r="AE91" s="850">
        <f t="shared" si="231"/>
        <v>0</v>
      </c>
      <c r="AF91" s="850">
        <f t="shared" si="231"/>
        <v>0</v>
      </c>
      <c r="AG91" s="850">
        <f t="shared" si="231"/>
        <v>0</v>
      </c>
      <c r="AH91" s="850">
        <f t="shared" si="231"/>
        <v>0</v>
      </c>
      <c r="AI91" s="850">
        <f t="shared" si="231"/>
        <v>0</v>
      </c>
      <c r="AJ91" s="850">
        <f t="shared" si="231"/>
        <v>0</v>
      </c>
      <c r="AK91" s="850">
        <f t="shared" si="231"/>
        <v>0</v>
      </c>
      <c r="AL91" s="850">
        <f t="shared" si="231"/>
        <v>0</v>
      </c>
      <c r="AM91" s="850">
        <f t="shared" si="231"/>
        <v>0</v>
      </c>
      <c r="AN91" s="850">
        <f t="shared" si="231"/>
        <v>0</v>
      </c>
      <c r="AO91" s="851">
        <f t="shared" si="231"/>
        <v>80000000</v>
      </c>
      <c r="AP91" s="881">
        <f>AP7+AP13+AP19+AP25+AP31+AP37+AP43+AP49+AP55+AP61+AP67+AP73+AP79+AP85</f>
        <v>80000000</v>
      </c>
      <c r="AQ91" s="857">
        <f t="shared" si="231"/>
        <v>0</v>
      </c>
      <c r="AR91" s="850">
        <f t="shared" si="231"/>
        <v>0</v>
      </c>
      <c r="AS91" s="850">
        <f t="shared" si="231"/>
        <v>0</v>
      </c>
      <c r="AT91" s="850">
        <f t="shared" si="231"/>
        <v>0</v>
      </c>
      <c r="AU91" s="850">
        <f t="shared" si="224"/>
        <v>0</v>
      </c>
      <c r="AV91" s="850">
        <f t="shared" si="224"/>
        <v>0</v>
      </c>
      <c r="AW91" s="850">
        <f t="shared" si="224"/>
        <v>0</v>
      </c>
      <c r="AX91" s="850">
        <f t="shared" si="224"/>
        <v>0</v>
      </c>
      <c r="AY91" s="850">
        <f t="shared" si="224"/>
        <v>0</v>
      </c>
      <c r="AZ91" s="850">
        <f t="shared" si="224"/>
        <v>0</v>
      </c>
      <c r="BA91" s="850">
        <f t="shared" si="224"/>
        <v>0</v>
      </c>
      <c r="BB91" s="858">
        <f t="shared" si="224"/>
        <v>80000000</v>
      </c>
      <c r="BC91" s="881">
        <f>BC7+BC13+BC19+BC25+BC31+BC37+BC43+BC49+BC55+BC61+BC67+BC73+BC79+BC85</f>
        <v>80000000</v>
      </c>
      <c r="BD91" s="857">
        <f t="shared" ref="BD91:BO91" si="232">BD7+BD13+BD19+BD25+BD31+BD37+BD43+BD49+BD55+BD61+BD67+BD73+BD79+BD85</f>
        <v>0</v>
      </c>
      <c r="BE91" s="850">
        <f t="shared" si="232"/>
        <v>0</v>
      </c>
      <c r="BF91" s="850">
        <f t="shared" si="232"/>
        <v>0</v>
      </c>
      <c r="BG91" s="850">
        <f t="shared" si="232"/>
        <v>0</v>
      </c>
      <c r="BH91" s="850">
        <f t="shared" si="232"/>
        <v>0</v>
      </c>
      <c r="BI91" s="850">
        <f t="shared" si="232"/>
        <v>0</v>
      </c>
      <c r="BJ91" s="850">
        <f t="shared" si="232"/>
        <v>0</v>
      </c>
      <c r="BK91" s="850">
        <f t="shared" si="232"/>
        <v>0</v>
      </c>
      <c r="BL91" s="850">
        <f t="shared" si="232"/>
        <v>0</v>
      </c>
      <c r="BM91" s="850">
        <f t="shared" si="232"/>
        <v>0</v>
      </c>
      <c r="BN91" s="850">
        <f t="shared" si="232"/>
        <v>0</v>
      </c>
      <c r="BO91" s="858">
        <f t="shared" si="232"/>
        <v>80000000</v>
      </c>
      <c r="BP91" s="881">
        <f>BP7+BP13+BP19+BP25+BP31+BP37+BP43+BP49+BP55+BP61+BP67+BP73+BP79+BP85</f>
        <v>80000000</v>
      </c>
      <c r="BQ91" s="1209">
        <f t="shared" ref="BQ91:CB94" si="233">BQ7+BQ13+BQ19+BQ25+BQ31+BQ37+BQ43+BQ49+BQ55+BQ61+BQ67+BQ73+BQ79+BQ85</f>
        <v>0</v>
      </c>
      <c r="BR91" s="1210">
        <f t="shared" si="233"/>
        <v>0</v>
      </c>
      <c r="BS91" s="1210">
        <f t="shared" si="233"/>
        <v>0</v>
      </c>
      <c r="BT91" s="1210">
        <f t="shared" si="233"/>
        <v>0</v>
      </c>
      <c r="BU91" s="1210">
        <f t="shared" si="233"/>
        <v>0</v>
      </c>
      <c r="BV91" s="1210">
        <f t="shared" si="233"/>
        <v>0</v>
      </c>
      <c r="BW91" s="1210">
        <f t="shared" si="233"/>
        <v>0</v>
      </c>
      <c r="BX91" s="1210">
        <f t="shared" si="233"/>
        <v>0</v>
      </c>
      <c r="BY91" s="1210">
        <f t="shared" si="233"/>
        <v>0</v>
      </c>
      <c r="BZ91" s="1210">
        <f t="shared" si="233"/>
        <v>0</v>
      </c>
      <c r="CA91" s="1210">
        <f t="shared" si="233"/>
        <v>0</v>
      </c>
      <c r="CB91" s="1211">
        <f t="shared" si="233"/>
        <v>75000000</v>
      </c>
      <c r="CC91" s="1212">
        <f>CC7+CC13+CC19+CC25+CC31+CC37+CC43+CC49+CC55+CC61+CC67+CC73+CC79+CC85</f>
        <v>75000000</v>
      </c>
      <c r="CD91" s="1309">
        <f t="shared" ref="CD91:CO94" si="234">CD7+CD13+CD19+CD25+CD31+CD37+CD43+CD49+CD55+CD61+CD67+CD73+CD79+CD85</f>
        <v>0</v>
      </c>
      <c r="CE91" s="1310">
        <f t="shared" si="234"/>
        <v>0</v>
      </c>
      <c r="CF91" s="1310">
        <f t="shared" si="234"/>
        <v>0</v>
      </c>
      <c r="CG91" s="1310">
        <f t="shared" si="234"/>
        <v>0</v>
      </c>
      <c r="CH91" s="1310">
        <f t="shared" si="234"/>
        <v>0</v>
      </c>
      <c r="CI91" s="1310">
        <f t="shared" si="234"/>
        <v>0</v>
      </c>
      <c r="CJ91" s="1310">
        <f t="shared" si="234"/>
        <v>0</v>
      </c>
      <c r="CK91" s="1310">
        <f t="shared" si="234"/>
        <v>0</v>
      </c>
      <c r="CL91" s="1310">
        <f t="shared" si="234"/>
        <v>0</v>
      </c>
      <c r="CM91" s="1310">
        <f t="shared" si="234"/>
        <v>0</v>
      </c>
      <c r="CN91" s="1310">
        <f t="shared" si="234"/>
        <v>0</v>
      </c>
      <c r="CO91" s="1311">
        <f t="shared" si="234"/>
        <v>85000000</v>
      </c>
      <c r="CP91" s="1312">
        <f>CP7+CP13+CP19+CP25+CP31+CP37+CP43+CP49+CP55+CP61+CP67+CP73+CP79+CP85</f>
        <v>85000000</v>
      </c>
      <c r="CQ91" s="1408">
        <f t="shared" ref="CQ91:DB94" si="235">CQ7+CQ13+CQ19+CQ25+CQ31+CQ37+CQ43+CQ49+CQ55+CQ61+CQ67+CQ73+CQ79+CQ85</f>
        <v>0</v>
      </c>
      <c r="CR91" s="1409">
        <f t="shared" si="235"/>
        <v>0</v>
      </c>
      <c r="CS91" s="1409">
        <f t="shared" si="235"/>
        <v>0</v>
      </c>
      <c r="CT91" s="1409">
        <f t="shared" si="235"/>
        <v>0</v>
      </c>
      <c r="CU91" s="1409">
        <f t="shared" si="235"/>
        <v>0</v>
      </c>
      <c r="CV91" s="1409">
        <f t="shared" si="235"/>
        <v>0</v>
      </c>
      <c r="CW91" s="1409">
        <f t="shared" si="235"/>
        <v>0</v>
      </c>
      <c r="CX91" s="1409">
        <f t="shared" si="235"/>
        <v>0</v>
      </c>
      <c r="CY91" s="1409">
        <f t="shared" si="235"/>
        <v>0</v>
      </c>
      <c r="CZ91" s="1409">
        <f t="shared" si="235"/>
        <v>0</v>
      </c>
      <c r="DA91" s="1409">
        <f t="shared" si="235"/>
        <v>0</v>
      </c>
      <c r="DB91" s="1410">
        <f t="shared" si="235"/>
        <v>95000000</v>
      </c>
      <c r="DC91" s="1411">
        <f>DC7+DC13+DC19+DC25+DC31+DC37+DC43+DC49+DC55+DC61+DC67+DC73+DC79+DC85</f>
        <v>95000000</v>
      </c>
      <c r="DD91" s="1470">
        <f t="shared" ref="DD91:DO94" si="236">DD7+DD13+DD19+DD25+DD31+DD37+DD43+DD49+DD55+DD61+DD67+DD73+DD79+DD85</f>
        <v>0</v>
      </c>
      <c r="DE91" s="1471">
        <f t="shared" si="236"/>
        <v>0</v>
      </c>
      <c r="DF91" s="1471">
        <f t="shared" si="236"/>
        <v>0</v>
      </c>
      <c r="DG91" s="1471">
        <f t="shared" si="236"/>
        <v>0</v>
      </c>
      <c r="DH91" s="1471">
        <f t="shared" si="236"/>
        <v>0</v>
      </c>
      <c r="DI91" s="1471">
        <f t="shared" si="236"/>
        <v>0</v>
      </c>
      <c r="DJ91" s="1471">
        <f t="shared" si="236"/>
        <v>0</v>
      </c>
      <c r="DK91" s="1471">
        <f t="shared" si="236"/>
        <v>0</v>
      </c>
      <c r="DL91" s="1471">
        <f t="shared" si="236"/>
        <v>0</v>
      </c>
      <c r="DM91" s="1471">
        <f t="shared" si="236"/>
        <v>0</v>
      </c>
      <c r="DN91" s="1471">
        <f t="shared" si="236"/>
        <v>0</v>
      </c>
      <c r="DO91" s="1472">
        <f t="shared" si="236"/>
        <v>0</v>
      </c>
      <c r="DP91" s="1473">
        <f>DP7+DP13+DP19+DP25+DP31+DP37+DP43+DP49+DP55+DP61+DP67+DP73+DP79+DP85</f>
        <v>0</v>
      </c>
    </row>
    <row r="92" spans="1:120" s="321" customFormat="1" ht="15" customHeight="1">
      <c r="A92" s="2172"/>
      <c r="B92" s="473" t="s">
        <v>322</v>
      </c>
      <c r="C92" s="486"/>
      <c r="D92" s="482">
        <f>D8+D14+D20+D26+D32+D38+D44+D50+D56+D62+D68+D74+D80</f>
        <v>0</v>
      </c>
      <c r="E92" s="482">
        <f t="shared" ref="E92:O94" si="237">E8+E14+E20+E26+E32+E38+E44+E50+E56+E62+E68+E74+E80</f>
        <v>0</v>
      </c>
      <c r="F92" s="476">
        <f t="shared" si="237"/>
        <v>10477827</v>
      </c>
      <c r="G92" s="482">
        <f t="shared" si="237"/>
        <v>0</v>
      </c>
      <c r="H92" s="482">
        <f t="shared" si="237"/>
        <v>0</v>
      </c>
      <c r="I92" s="482">
        <f t="shared" si="237"/>
        <v>0</v>
      </c>
      <c r="J92" s="482">
        <f t="shared" si="237"/>
        <v>0</v>
      </c>
      <c r="K92" s="482">
        <f t="shared" si="237"/>
        <v>0</v>
      </c>
      <c r="L92" s="482">
        <f t="shared" si="237"/>
        <v>0</v>
      </c>
      <c r="M92" s="482">
        <f t="shared" si="237"/>
        <v>0</v>
      </c>
      <c r="N92" s="482">
        <f t="shared" si="237"/>
        <v>0</v>
      </c>
      <c r="O92" s="483">
        <f t="shared" si="237"/>
        <v>0</v>
      </c>
      <c r="P92" s="484">
        <f>P8+P14+P20+P26+P32+P38+P44+P50+P56+P62+P68+P74+P80</f>
        <v>10477827</v>
      </c>
      <c r="Q92" s="481">
        <f t="shared" si="230"/>
        <v>297513646</v>
      </c>
      <c r="R92" s="482">
        <f t="shared" si="230"/>
        <v>47895924</v>
      </c>
      <c r="S92" s="476">
        <f t="shared" si="230"/>
        <v>0</v>
      </c>
      <c r="T92" s="482">
        <f t="shared" si="230"/>
        <v>0</v>
      </c>
      <c r="U92" s="482">
        <f t="shared" si="230"/>
        <v>0</v>
      </c>
      <c r="V92" s="482">
        <f t="shared" si="230"/>
        <v>51162202</v>
      </c>
      <c r="W92" s="482">
        <f t="shared" si="230"/>
        <v>0</v>
      </c>
      <c r="X92" s="482">
        <f t="shared" si="230"/>
        <v>0</v>
      </c>
      <c r="Y92" s="482">
        <f t="shared" si="230"/>
        <v>0</v>
      </c>
      <c r="Z92" s="482">
        <f t="shared" si="230"/>
        <v>0</v>
      </c>
      <c r="AA92" s="482">
        <f t="shared" si="230"/>
        <v>0</v>
      </c>
      <c r="AB92" s="482">
        <f t="shared" si="230"/>
        <v>6596203</v>
      </c>
      <c r="AC92" s="485">
        <f>AC8+AC14+AC20+AC26+AC32+AC38+AC44+AC50+AC56+AC62+AC68+AC74+AC80+AC86</f>
        <v>403167975</v>
      </c>
      <c r="AD92" s="849">
        <f t="shared" si="231"/>
        <v>0</v>
      </c>
      <c r="AE92" s="850">
        <f t="shared" si="231"/>
        <v>10991527</v>
      </c>
      <c r="AF92" s="847">
        <f t="shared" si="231"/>
        <v>0</v>
      </c>
      <c r="AG92" s="850">
        <f t="shared" si="231"/>
        <v>0</v>
      </c>
      <c r="AH92" s="850">
        <f t="shared" si="231"/>
        <v>0</v>
      </c>
      <c r="AI92" s="850">
        <f t="shared" si="231"/>
        <v>0</v>
      </c>
      <c r="AJ92" s="850">
        <f t="shared" si="231"/>
        <v>0</v>
      </c>
      <c r="AK92" s="850">
        <f t="shared" si="231"/>
        <v>0</v>
      </c>
      <c r="AL92" s="850">
        <f t="shared" si="231"/>
        <v>0</v>
      </c>
      <c r="AM92" s="850">
        <f t="shared" si="231"/>
        <v>0</v>
      </c>
      <c r="AN92" s="850">
        <f t="shared" si="231"/>
        <v>0</v>
      </c>
      <c r="AO92" s="851">
        <f t="shared" si="231"/>
        <v>0</v>
      </c>
      <c r="AP92" s="881">
        <f>AP8+AP14+AP20+AP26+AP32+AP38+AP44+AP50+AP56+AP62+AP68+AP74+AP80+AP86</f>
        <v>10991527</v>
      </c>
      <c r="AQ92" s="857">
        <f t="shared" si="231"/>
        <v>0</v>
      </c>
      <c r="AR92" s="850">
        <f t="shared" si="231"/>
        <v>0</v>
      </c>
      <c r="AS92" s="847">
        <f t="shared" si="231"/>
        <v>0</v>
      </c>
      <c r="AT92" s="850">
        <f t="shared" si="231"/>
        <v>0</v>
      </c>
      <c r="AU92" s="850">
        <f t="shared" si="224"/>
        <v>0</v>
      </c>
      <c r="AV92" s="850">
        <f t="shared" si="224"/>
        <v>0</v>
      </c>
      <c r="AW92" s="850">
        <f t="shared" si="224"/>
        <v>0</v>
      </c>
      <c r="AX92" s="850">
        <f t="shared" si="224"/>
        <v>0</v>
      </c>
      <c r="AY92" s="850">
        <f t="shared" si="224"/>
        <v>0</v>
      </c>
      <c r="AZ92" s="850">
        <f t="shared" si="224"/>
        <v>0</v>
      </c>
      <c r="BA92" s="850">
        <f t="shared" si="224"/>
        <v>0</v>
      </c>
      <c r="BB92" s="850">
        <f t="shared" si="224"/>
        <v>0</v>
      </c>
      <c r="BC92" s="881">
        <f>BC8+BC14+BC20+BC26+BC32+BC38+BC44+BC50+BC56+BC62+BC68+BC74+BC80+BC86</f>
        <v>0</v>
      </c>
      <c r="BD92" s="857">
        <f t="shared" ref="BD92:BO92" si="238">BD8+BD14+BD20+BD26+BD32+BD38+BD44+BD50+BD56+BD62+BD68+BD74+BD80+BD86</f>
        <v>0</v>
      </c>
      <c r="BE92" s="850">
        <f t="shared" si="238"/>
        <v>0</v>
      </c>
      <c r="BF92" s="847">
        <f t="shared" si="238"/>
        <v>0</v>
      </c>
      <c r="BG92" s="850">
        <f t="shared" si="238"/>
        <v>0</v>
      </c>
      <c r="BH92" s="850">
        <f t="shared" si="238"/>
        <v>0</v>
      </c>
      <c r="BI92" s="850">
        <f t="shared" si="238"/>
        <v>0</v>
      </c>
      <c r="BJ92" s="850">
        <f t="shared" si="238"/>
        <v>0</v>
      </c>
      <c r="BK92" s="850">
        <f t="shared" si="238"/>
        <v>0</v>
      </c>
      <c r="BL92" s="850">
        <f t="shared" si="238"/>
        <v>0</v>
      </c>
      <c r="BM92" s="850">
        <f t="shared" si="238"/>
        <v>0</v>
      </c>
      <c r="BN92" s="850">
        <f t="shared" si="238"/>
        <v>0</v>
      </c>
      <c r="BO92" s="850">
        <f t="shared" si="238"/>
        <v>0</v>
      </c>
      <c r="BP92" s="881">
        <f>BP8+BP14+BP20+BP26+BP32+BP38+BP44+BP50+BP56+BP62+BP68+BP74+BP80+BP86</f>
        <v>0</v>
      </c>
      <c r="BQ92" s="1209">
        <f t="shared" si="233"/>
        <v>0</v>
      </c>
      <c r="BR92" s="1210">
        <f t="shared" si="233"/>
        <v>0</v>
      </c>
      <c r="BS92" s="1206">
        <f t="shared" si="233"/>
        <v>0</v>
      </c>
      <c r="BT92" s="1210">
        <f t="shared" si="233"/>
        <v>0</v>
      </c>
      <c r="BU92" s="1210">
        <f t="shared" si="233"/>
        <v>0</v>
      </c>
      <c r="BV92" s="1210">
        <f t="shared" si="233"/>
        <v>0</v>
      </c>
      <c r="BW92" s="1210">
        <f t="shared" si="233"/>
        <v>0</v>
      </c>
      <c r="BX92" s="1210">
        <f t="shared" si="233"/>
        <v>170734813</v>
      </c>
      <c r="BY92" s="1210">
        <f t="shared" si="233"/>
        <v>0</v>
      </c>
      <c r="BZ92" s="1210">
        <f t="shared" si="233"/>
        <v>0</v>
      </c>
      <c r="CA92" s="1210">
        <f t="shared" si="233"/>
        <v>0</v>
      </c>
      <c r="CB92" s="1210">
        <f t="shared" si="233"/>
        <v>0</v>
      </c>
      <c r="CC92" s="1212">
        <f>CC8+CC14+CC20+CC26+CC32+CC38+CC44+CC50+CC56+CC62+CC68+CC74+CC80+CC86</f>
        <v>170734813</v>
      </c>
      <c r="CD92" s="1309">
        <f t="shared" si="234"/>
        <v>0</v>
      </c>
      <c r="CE92" s="1310">
        <f t="shared" si="234"/>
        <v>0</v>
      </c>
      <c r="CF92" s="1306">
        <f t="shared" si="234"/>
        <v>0</v>
      </c>
      <c r="CG92" s="1310">
        <f t="shared" si="234"/>
        <v>0</v>
      </c>
      <c r="CH92" s="1310">
        <f t="shared" si="234"/>
        <v>0</v>
      </c>
      <c r="CI92" s="1310">
        <f t="shared" si="234"/>
        <v>0</v>
      </c>
      <c r="CJ92" s="1310">
        <f t="shared" si="234"/>
        <v>0</v>
      </c>
      <c r="CK92" s="1310">
        <f t="shared" si="234"/>
        <v>0</v>
      </c>
      <c r="CL92" s="1310">
        <f t="shared" si="234"/>
        <v>0</v>
      </c>
      <c r="CM92" s="1310">
        <f t="shared" si="234"/>
        <v>0</v>
      </c>
      <c r="CN92" s="1310">
        <f t="shared" si="234"/>
        <v>0</v>
      </c>
      <c r="CO92" s="1310">
        <f t="shared" si="234"/>
        <v>0</v>
      </c>
      <c r="CP92" s="1312">
        <f>CP8+CP14+CP20+CP26+CP32+CP38+CP44+CP50+CP56+CP62+CP68+CP74+CP80+CP86</f>
        <v>0</v>
      </c>
      <c r="CQ92" s="1408">
        <f t="shared" si="235"/>
        <v>201751601</v>
      </c>
      <c r="CR92" s="1409">
        <f t="shared" si="235"/>
        <v>0</v>
      </c>
      <c r="CS92" s="1405">
        <f t="shared" si="235"/>
        <v>0</v>
      </c>
      <c r="CT92" s="1409">
        <f t="shared" si="235"/>
        <v>0</v>
      </c>
      <c r="CU92" s="1409">
        <f t="shared" si="235"/>
        <v>0</v>
      </c>
      <c r="CV92" s="1409">
        <f t="shared" si="235"/>
        <v>0</v>
      </c>
      <c r="CW92" s="1409">
        <f t="shared" si="235"/>
        <v>0</v>
      </c>
      <c r="CX92" s="1409">
        <f t="shared" si="235"/>
        <v>0</v>
      </c>
      <c r="CY92" s="1409">
        <f t="shared" si="235"/>
        <v>78191163</v>
      </c>
      <c r="CZ92" s="1409">
        <f t="shared" si="235"/>
        <v>0</v>
      </c>
      <c r="DA92" s="1409">
        <f t="shared" si="235"/>
        <v>0</v>
      </c>
      <c r="DB92" s="1409">
        <f t="shared" si="235"/>
        <v>0</v>
      </c>
      <c r="DC92" s="1411">
        <f>DC8+DC14+DC20+DC26+DC32+DC38+DC44+DC50+DC56+DC62+DC68+DC74+DC80+DC86</f>
        <v>279942764</v>
      </c>
      <c r="DD92" s="1470">
        <f t="shared" si="236"/>
        <v>0</v>
      </c>
      <c r="DE92" s="1471">
        <f t="shared" si="236"/>
        <v>0</v>
      </c>
      <c r="DF92" s="1467">
        <f t="shared" si="236"/>
        <v>0</v>
      </c>
      <c r="DG92" s="1471">
        <f t="shared" si="236"/>
        <v>0</v>
      </c>
      <c r="DH92" s="1471">
        <f t="shared" si="236"/>
        <v>0</v>
      </c>
      <c r="DI92" s="1471">
        <f t="shared" si="236"/>
        <v>59451111</v>
      </c>
      <c r="DJ92" s="1471">
        <f t="shared" si="236"/>
        <v>0</v>
      </c>
      <c r="DK92" s="1471">
        <f t="shared" si="236"/>
        <v>0</v>
      </c>
      <c r="DL92" s="1471">
        <f t="shared" si="236"/>
        <v>0</v>
      </c>
      <c r="DM92" s="1471">
        <f t="shared" si="236"/>
        <v>0</v>
      </c>
      <c r="DN92" s="1471">
        <f t="shared" si="236"/>
        <v>0</v>
      </c>
      <c r="DO92" s="1471">
        <f t="shared" si="236"/>
        <v>0</v>
      </c>
      <c r="DP92" s="1473">
        <f>DP8+DP14+DP20+DP26+DP32+DP38+DP44+DP50+DP56+DP62+DP68+DP74+DP80+DP86</f>
        <v>59451111</v>
      </c>
    </row>
    <row r="93" spans="1:120" s="472" customFormat="1" ht="18" customHeight="1">
      <c r="A93" s="2172"/>
      <c r="B93" s="473" t="s">
        <v>319</v>
      </c>
      <c r="C93" s="474">
        <f>C9+C15+C21+C27+C33+C39+C45+C51+C57+C63</f>
        <v>200092</v>
      </c>
      <c r="D93" s="475">
        <f>D9+D15+D21+D27+D33+D39+D45+D51+D57+D63+D69+D75+D81</f>
        <v>1139735</v>
      </c>
      <c r="E93" s="476">
        <f t="shared" si="237"/>
        <v>1030284</v>
      </c>
      <c r="F93" s="476">
        <f t="shared" si="237"/>
        <v>1133387</v>
      </c>
      <c r="G93" s="476">
        <f t="shared" si="237"/>
        <v>1080200</v>
      </c>
      <c r="H93" s="476">
        <f t="shared" si="237"/>
        <v>1118385</v>
      </c>
      <c r="I93" s="476">
        <f t="shared" si="237"/>
        <v>1082043</v>
      </c>
      <c r="J93" s="476">
        <f t="shared" si="237"/>
        <v>1120314</v>
      </c>
      <c r="K93" s="476">
        <f t="shared" si="237"/>
        <v>1120135</v>
      </c>
      <c r="L93" s="476">
        <f t="shared" si="237"/>
        <v>1084906</v>
      </c>
      <c r="M93" s="476">
        <f t="shared" si="237"/>
        <v>1123250</v>
      </c>
      <c r="N93" s="476">
        <f t="shared" si="237"/>
        <v>1086774</v>
      </c>
      <c r="O93" s="477">
        <f t="shared" si="237"/>
        <v>1136106</v>
      </c>
      <c r="P93" s="478">
        <f>P9+P15+P21+P27+P33+P39+P45+P51+P57+P63+P69+P75+P81</f>
        <v>13255519</v>
      </c>
      <c r="Q93" s="475">
        <f t="shared" si="230"/>
        <v>816851</v>
      </c>
      <c r="R93" s="476">
        <f t="shared" si="230"/>
        <v>612645</v>
      </c>
      <c r="S93" s="476">
        <f t="shared" si="230"/>
        <v>681484</v>
      </c>
      <c r="T93" s="476">
        <f t="shared" si="230"/>
        <v>659834</v>
      </c>
      <c r="U93" s="476">
        <f t="shared" si="230"/>
        <v>682285</v>
      </c>
      <c r="V93" s="476">
        <f t="shared" si="230"/>
        <v>83389</v>
      </c>
      <c r="W93" s="476">
        <f t="shared" si="230"/>
        <v>674811</v>
      </c>
      <c r="X93" s="476">
        <f t="shared" si="230"/>
        <v>675519</v>
      </c>
      <c r="Y93" s="476">
        <f t="shared" si="230"/>
        <v>654433</v>
      </c>
      <c r="Z93" s="476">
        <f t="shared" si="230"/>
        <v>676950</v>
      </c>
      <c r="AA93" s="476">
        <f t="shared" si="230"/>
        <v>655821</v>
      </c>
      <c r="AB93" s="477">
        <f t="shared" si="230"/>
        <v>676561</v>
      </c>
      <c r="AC93" s="479">
        <f>AC9+AC15+AC21+AC27+AC33+AC39+AC45+AC51+AC57+AC63+AC69+AC75+AC81+AC87</f>
        <v>7550583</v>
      </c>
      <c r="AD93" s="846">
        <f t="shared" si="231"/>
        <v>733628</v>
      </c>
      <c r="AE93" s="847">
        <f t="shared" si="231"/>
        <v>680257</v>
      </c>
      <c r="AF93" s="847">
        <f t="shared" si="231"/>
        <v>722852</v>
      </c>
      <c r="AG93" s="847">
        <f t="shared" si="231"/>
        <v>695326</v>
      </c>
      <c r="AH93" s="847">
        <f t="shared" si="231"/>
        <v>721625</v>
      </c>
      <c r="AI93" s="847">
        <f t="shared" si="231"/>
        <v>694152</v>
      </c>
      <c r="AJ93" s="847">
        <f t="shared" si="231"/>
        <v>709236</v>
      </c>
      <c r="AK93" s="847">
        <f t="shared" si="231"/>
        <v>707361</v>
      </c>
      <c r="AL93" s="847">
        <f t="shared" si="231"/>
        <v>685020</v>
      </c>
      <c r="AM93" s="847">
        <f t="shared" si="231"/>
        <v>710961</v>
      </c>
      <c r="AN93" s="847">
        <f t="shared" si="231"/>
        <v>686109</v>
      </c>
      <c r="AO93" s="848">
        <f t="shared" si="231"/>
        <v>723115</v>
      </c>
      <c r="AP93" s="882">
        <f>AP9+AP15+AP21+AP27+AP33+AP39+AP45+AP51+AP57+AP63+AP69+AP75+AP81+AP87</f>
        <v>8469642</v>
      </c>
      <c r="AQ93" s="855">
        <f t="shared" si="231"/>
        <v>787698</v>
      </c>
      <c r="AR93" s="847">
        <f t="shared" si="231"/>
        <v>714415</v>
      </c>
      <c r="AS93" s="847">
        <f t="shared" si="231"/>
        <v>795662</v>
      </c>
      <c r="AT93" s="847">
        <f t="shared" si="231"/>
        <v>764892</v>
      </c>
      <c r="AU93" s="847">
        <f t="shared" si="224"/>
        <v>793504</v>
      </c>
      <c r="AV93" s="847">
        <f t="shared" si="224"/>
        <v>764226</v>
      </c>
      <c r="AW93" s="847">
        <f t="shared" si="224"/>
        <v>784184</v>
      </c>
      <c r="AX93" s="847">
        <f t="shared" si="224"/>
        <v>782324</v>
      </c>
      <c r="AY93" s="847">
        <f t="shared" si="224"/>
        <v>757525</v>
      </c>
      <c r="AZ93" s="847">
        <f t="shared" si="224"/>
        <v>785846</v>
      </c>
      <c r="BA93" s="847">
        <f t="shared" si="224"/>
        <v>758536</v>
      </c>
      <c r="BB93" s="856">
        <f t="shared" si="224"/>
        <v>806861</v>
      </c>
      <c r="BC93" s="882">
        <f>BC9+BC15+BC21+BC27+BC33+BC39+BC45+BC51+BC57+BC63+BC69+BC75+BC81+BC87</f>
        <v>9295673</v>
      </c>
      <c r="BD93" s="855">
        <f t="shared" ref="BD93:BO93" si="239">BD9+BD15+BD21+BD27+BD33+BD39+BD45+BD51+BD57+BD63+BD69+BD75+BD81+BD87</f>
        <v>922834</v>
      </c>
      <c r="BE93" s="847">
        <f t="shared" si="239"/>
        <v>834796</v>
      </c>
      <c r="BF93" s="847">
        <f t="shared" si="239"/>
        <v>932330</v>
      </c>
      <c r="BG93" s="847">
        <f t="shared" si="239"/>
        <v>893961</v>
      </c>
      <c r="BH93" s="847">
        <f t="shared" si="239"/>
        <v>928122</v>
      </c>
      <c r="BI93" s="847">
        <f t="shared" si="239"/>
        <v>896133</v>
      </c>
      <c r="BJ93" s="847">
        <f t="shared" si="239"/>
        <v>935405</v>
      </c>
      <c r="BK93" s="847">
        <f t="shared" si="239"/>
        <v>932503</v>
      </c>
      <c r="BL93" s="847">
        <f t="shared" si="239"/>
        <v>902974</v>
      </c>
      <c r="BM93" s="847">
        <f t="shared" si="239"/>
        <v>937291</v>
      </c>
      <c r="BN93" s="847">
        <f t="shared" si="239"/>
        <v>904271</v>
      </c>
      <c r="BO93" s="856">
        <f t="shared" si="239"/>
        <v>970729</v>
      </c>
      <c r="BP93" s="882">
        <f>BP9+BP15+BP21+BP27+BP33+BP39+BP45+BP51+BP57+BP63+BP69+BP75+BP81+BP87</f>
        <v>10991349</v>
      </c>
      <c r="BQ93" s="1205">
        <f t="shared" si="233"/>
        <v>1186796</v>
      </c>
      <c r="BR93" s="1206">
        <f t="shared" si="233"/>
        <v>1072298</v>
      </c>
      <c r="BS93" s="1206">
        <f t="shared" si="233"/>
        <v>1192305</v>
      </c>
      <c r="BT93" s="1206">
        <f t="shared" si="233"/>
        <v>1157386</v>
      </c>
      <c r="BU93" s="1206">
        <f t="shared" si="233"/>
        <v>1193557</v>
      </c>
      <c r="BV93" s="1206">
        <f t="shared" si="233"/>
        <v>1146707</v>
      </c>
      <c r="BW93" s="1206">
        <f t="shared" si="233"/>
        <v>1206137</v>
      </c>
      <c r="BX93" s="1206">
        <f t="shared" si="233"/>
        <v>1080729</v>
      </c>
      <c r="BY93" s="1206">
        <f t="shared" si="233"/>
        <v>845018</v>
      </c>
      <c r="BZ93" s="1206">
        <f t="shared" si="233"/>
        <v>875835</v>
      </c>
      <c r="CA93" s="1206">
        <f t="shared" si="233"/>
        <v>845272</v>
      </c>
      <c r="CB93" s="1207">
        <f t="shared" si="233"/>
        <v>873869</v>
      </c>
      <c r="CC93" s="1208">
        <f>CC9+CC15+CC21+CC27+CC33+CC39+CC45+CC51+CC57+CC63+CC69+CC75+CC81+CC87</f>
        <v>12675909</v>
      </c>
      <c r="CD93" s="1305">
        <f t="shared" si="234"/>
        <v>960480</v>
      </c>
      <c r="CE93" s="1306">
        <f t="shared" si="234"/>
        <v>898472</v>
      </c>
      <c r="CF93" s="1306">
        <f t="shared" si="234"/>
        <v>967269</v>
      </c>
      <c r="CG93" s="1306">
        <f t="shared" si="234"/>
        <v>927953</v>
      </c>
      <c r="CH93" s="1306">
        <f t="shared" si="234"/>
        <v>964942</v>
      </c>
      <c r="CI93" s="1306">
        <f t="shared" si="234"/>
        <v>933321</v>
      </c>
      <c r="CJ93" s="1306">
        <f t="shared" si="234"/>
        <v>953096</v>
      </c>
      <c r="CK93" s="1306">
        <f t="shared" si="234"/>
        <v>951197</v>
      </c>
      <c r="CL93" s="1306">
        <f t="shared" si="234"/>
        <v>918159</v>
      </c>
      <c r="CM93" s="1306">
        <f t="shared" si="234"/>
        <v>955145</v>
      </c>
      <c r="CN93" s="1306">
        <f t="shared" si="234"/>
        <v>925531</v>
      </c>
      <c r="CO93" s="1307">
        <f t="shared" si="234"/>
        <v>938618</v>
      </c>
      <c r="CP93" s="1308">
        <f>CP9+CP15+CP21+CP27+CP33+CP39+CP45+CP51+CP57+CP63+CP69+CP75+CP81+CP87</f>
        <v>11294183</v>
      </c>
      <c r="CQ93" s="1404">
        <f t="shared" si="235"/>
        <v>657636</v>
      </c>
      <c r="CR93" s="1405">
        <f t="shared" si="235"/>
        <v>533479</v>
      </c>
      <c r="CS93" s="1405">
        <f t="shared" si="235"/>
        <v>600567</v>
      </c>
      <c r="CT93" s="1405">
        <f t="shared" si="235"/>
        <v>579029</v>
      </c>
      <c r="CU93" s="1405">
        <f t="shared" si="235"/>
        <v>600893</v>
      </c>
      <c r="CV93" s="1405">
        <f t="shared" si="235"/>
        <v>578511</v>
      </c>
      <c r="CW93" s="1405">
        <f t="shared" si="235"/>
        <v>593506</v>
      </c>
      <c r="CX93" s="1405">
        <f t="shared" si="235"/>
        <v>592619</v>
      </c>
      <c r="CY93" s="1405">
        <f t="shared" si="235"/>
        <v>482818</v>
      </c>
      <c r="CZ93" s="1405">
        <f t="shared" si="235"/>
        <v>488853</v>
      </c>
      <c r="DA93" s="1405">
        <f t="shared" si="235"/>
        <v>473124</v>
      </c>
      <c r="DB93" s="1406">
        <f t="shared" si="235"/>
        <v>506400</v>
      </c>
      <c r="DC93" s="1407">
        <f>DC9+DC15+DC21+DC27+DC33+DC39+DC45+DC51+DC57+DC63+DC69+DC75+DC81+DC87</f>
        <v>6687435</v>
      </c>
      <c r="DD93" s="1466">
        <f t="shared" si="236"/>
        <v>712779</v>
      </c>
      <c r="DE93" s="1467">
        <f t="shared" si="236"/>
        <v>643117</v>
      </c>
      <c r="DF93" s="1467">
        <f t="shared" si="236"/>
        <v>702168</v>
      </c>
      <c r="DG93" s="1467">
        <f t="shared" si="236"/>
        <v>679593</v>
      </c>
      <c r="DH93" s="1467">
        <f t="shared" si="236"/>
        <v>700392</v>
      </c>
      <c r="DI93" s="1467">
        <f t="shared" si="236"/>
        <v>614457</v>
      </c>
      <c r="DJ93" s="1467">
        <f t="shared" si="236"/>
        <v>0</v>
      </c>
      <c r="DK93" s="1467">
        <f t="shared" si="236"/>
        <v>0</v>
      </c>
      <c r="DL93" s="1467">
        <f t="shared" si="236"/>
        <v>0</v>
      </c>
      <c r="DM93" s="1467">
        <f t="shared" si="236"/>
        <v>0</v>
      </c>
      <c r="DN93" s="1467">
        <f t="shared" si="236"/>
        <v>0</v>
      </c>
      <c r="DO93" s="1468">
        <f t="shared" si="236"/>
        <v>0</v>
      </c>
      <c r="DP93" s="1469">
        <f>DP9+DP15+DP21+DP27+DP33+DP39+DP45+DP51+DP57+DP63+DP69+DP75+DP81+DP87</f>
        <v>4052506</v>
      </c>
    </row>
    <row r="94" spans="1:120" s="472" customFormat="1" ht="18" customHeight="1" thickBot="1">
      <c r="A94" s="2173"/>
      <c r="B94" s="487" t="s">
        <v>320</v>
      </c>
      <c r="C94" s="488">
        <f>C10+C16+C22+C28+C34+C40+C46+C52+C58+C64</f>
        <v>0</v>
      </c>
      <c r="D94" s="489">
        <f>D10+D16+D22+D28+D34+D40+D46+D52+D58+D64+D70+D76+D82</f>
        <v>4246</v>
      </c>
      <c r="E94" s="490">
        <f t="shared" si="237"/>
        <v>0</v>
      </c>
      <c r="F94" s="490">
        <f t="shared" si="237"/>
        <v>0</v>
      </c>
      <c r="G94" s="490">
        <f t="shared" si="237"/>
        <v>0</v>
      </c>
      <c r="H94" s="490">
        <f t="shared" si="237"/>
        <v>0</v>
      </c>
      <c r="I94" s="490">
        <f t="shared" si="237"/>
        <v>0</v>
      </c>
      <c r="J94" s="490">
        <f t="shared" si="237"/>
        <v>0</v>
      </c>
      <c r="K94" s="490">
        <f t="shared" si="237"/>
        <v>0</v>
      </c>
      <c r="L94" s="490">
        <f t="shared" si="237"/>
        <v>0</v>
      </c>
      <c r="M94" s="490">
        <f t="shared" si="237"/>
        <v>0</v>
      </c>
      <c r="N94" s="490">
        <f t="shared" si="237"/>
        <v>0</v>
      </c>
      <c r="O94" s="491">
        <f t="shared" si="237"/>
        <v>2356163</v>
      </c>
      <c r="P94" s="492">
        <f>P10+P16+P22+P28+P34+P40+P46+P52+P58+P64+P70+P76+P82</f>
        <v>2360409</v>
      </c>
      <c r="Q94" s="489">
        <f t="shared" si="230"/>
        <v>459123</v>
      </c>
      <c r="R94" s="490">
        <f t="shared" si="230"/>
        <v>0</v>
      </c>
      <c r="S94" s="490">
        <f t="shared" si="230"/>
        <v>0</v>
      </c>
      <c r="T94" s="490">
        <f t="shared" si="230"/>
        <v>0</v>
      </c>
      <c r="U94" s="490">
        <f t="shared" si="230"/>
        <v>0</v>
      </c>
      <c r="V94" s="490">
        <f t="shared" si="230"/>
        <v>152856</v>
      </c>
      <c r="W94" s="490">
        <f t="shared" si="230"/>
        <v>0</v>
      </c>
      <c r="X94" s="490">
        <f t="shared" si="230"/>
        <v>0</v>
      </c>
      <c r="Y94" s="490">
        <f t="shared" si="230"/>
        <v>0</v>
      </c>
      <c r="Z94" s="490">
        <f t="shared" si="230"/>
        <v>0</v>
      </c>
      <c r="AA94" s="490">
        <f t="shared" si="230"/>
        <v>0</v>
      </c>
      <c r="AB94" s="491">
        <f t="shared" si="230"/>
        <v>1721518</v>
      </c>
      <c r="AC94" s="493">
        <f>AC10+AC16+AC22+AC28+AC34+AC40+AC46+AC52+AC58+AC64+AC70+AC76+AC82+AC88</f>
        <v>2333497</v>
      </c>
      <c r="AD94" s="852">
        <f t="shared" si="231"/>
        <v>83203</v>
      </c>
      <c r="AE94" s="853">
        <f t="shared" si="231"/>
        <v>0</v>
      </c>
      <c r="AF94" s="853">
        <f t="shared" si="231"/>
        <v>0</v>
      </c>
      <c r="AG94" s="853">
        <f t="shared" si="231"/>
        <v>0</v>
      </c>
      <c r="AH94" s="853">
        <f t="shared" si="231"/>
        <v>0</v>
      </c>
      <c r="AI94" s="853">
        <f t="shared" si="231"/>
        <v>361976</v>
      </c>
      <c r="AJ94" s="853">
        <f t="shared" si="231"/>
        <v>0</v>
      </c>
      <c r="AK94" s="853">
        <f t="shared" si="231"/>
        <v>0</v>
      </c>
      <c r="AL94" s="853">
        <f t="shared" si="231"/>
        <v>0</v>
      </c>
      <c r="AM94" s="853">
        <f t="shared" si="231"/>
        <v>0</v>
      </c>
      <c r="AN94" s="853">
        <f t="shared" si="231"/>
        <v>0</v>
      </c>
      <c r="AO94" s="854">
        <f t="shared" si="231"/>
        <v>1906385</v>
      </c>
      <c r="AP94" s="880">
        <f>AP10+AP16+AP22+AP28+AP34+AP40+AP46+AP52+AP58+AP64+AP70+AP76+AP82+AP88</f>
        <v>2351564</v>
      </c>
      <c r="AQ94" s="859">
        <f t="shared" si="231"/>
        <v>77859</v>
      </c>
      <c r="AR94" s="853">
        <f t="shared" si="231"/>
        <v>0</v>
      </c>
      <c r="AS94" s="853">
        <f t="shared" si="231"/>
        <v>0</v>
      </c>
      <c r="AT94" s="853">
        <f t="shared" si="231"/>
        <v>0</v>
      </c>
      <c r="AU94" s="853">
        <f t="shared" si="224"/>
        <v>0</v>
      </c>
      <c r="AV94" s="853">
        <f t="shared" si="224"/>
        <v>332159</v>
      </c>
      <c r="AW94" s="853">
        <f t="shared" si="224"/>
        <v>0</v>
      </c>
      <c r="AX94" s="853">
        <f t="shared" si="224"/>
        <v>0</v>
      </c>
      <c r="AY94" s="853">
        <f t="shared" si="224"/>
        <v>0</v>
      </c>
      <c r="AZ94" s="853">
        <f t="shared" si="224"/>
        <v>0</v>
      </c>
      <c r="BA94" s="853">
        <f t="shared" si="224"/>
        <v>0</v>
      </c>
      <c r="BB94" s="860">
        <f t="shared" si="224"/>
        <v>1642287</v>
      </c>
      <c r="BC94" s="880">
        <f>BC10+BC16+BC22+BC28+BC34+BC40+BC46+BC52+BC58+BC64+BC70+BC76+BC82+BC88</f>
        <v>2052305</v>
      </c>
      <c r="BD94" s="859">
        <f t="shared" ref="BD94:BO94" si="240">BD10+BD16+BD22+BD28+BD34+BD40+BD46+BD52+BD58+BD64+BD70+BD76+BD82+BD88</f>
        <v>742261</v>
      </c>
      <c r="BE94" s="853">
        <f t="shared" si="240"/>
        <v>0</v>
      </c>
      <c r="BF94" s="853">
        <f t="shared" si="240"/>
        <v>0</v>
      </c>
      <c r="BG94" s="853">
        <f t="shared" si="240"/>
        <v>0</v>
      </c>
      <c r="BH94" s="853">
        <f t="shared" si="240"/>
        <v>0</v>
      </c>
      <c r="BI94" s="853">
        <f t="shared" si="240"/>
        <v>329823</v>
      </c>
      <c r="BJ94" s="853">
        <f t="shared" si="240"/>
        <v>0</v>
      </c>
      <c r="BK94" s="853">
        <f t="shared" si="240"/>
        <v>0</v>
      </c>
      <c r="BL94" s="853">
        <f t="shared" si="240"/>
        <v>0</v>
      </c>
      <c r="BM94" s="853">
        <f t="shared" si="240"/>
        <v>0</v>
      </c>
      <c r="BN94" s="853">
        <f t="shared" si="240"/>
        <v>0</v>
      </c>
      <c r="BO94" s="860">
        <f t="shared" si="240"/>
        <v>1399708</v>
      </c>
      <c r="BP94" s="880">
        <f>BP10+BP16+BP22+BP28+BP34+BP40+BP46+BP52+BP58+BP64+BP70+BP76+BP82+BP88</f>
        <v>2471792</v>
      </c>
      <c r="BQ94" s="1213">
        <f t="shared" si="233"/>
        <v>1329724</v>
      </c>
      <c r="BR94" s="1214">
        <f t="shared" si="233"/>
        <v>0</v>
      </c>
      <c r="BS94" s="1214">
        <f t="shared" si="233"/>
        <v>0</v>
      </c>
      <c r="BT94" s="1214">
        <f t="shared" si="233"/>
        <v>0</v>
      </c>
      <c r="BU94" s="1214">
        <f t="shared" si="233"/>
        <v>0</v>
      </c>
      <c r="BV94" s="1214">
        <f t="shared" si="233"/>
        <v>411528</v>
      </c>
      <c r="BW94" s="1214">
        <f t="shared" si="233"/>
        <v>0</v>
      </c>
      <c r="BX94" s="1214">
        <f t="shared" si="233"/>
        <v>0</v>
      </c>
      <c r="BY94" s="1214">
        <f t="shared" si="233"/>
        <v>0</v>
      </c>
      <c r="BZ94" s="1214">
        <f t="shared" si="233"/>
        <v>0</v>
      </c>
      <c r="CA94" s="1214">
        <f t="shared" si="233"/>
        <v>0</v>
      </c>
      <c r="CB94" s="1215">
        <f t="shared" si="233"/>
        <v>1582581</v>
      </c>
      <c r="CC94" s="1216">
        <f>CC10+CC16+CC22+CC28+CC34+CC40+CC46+CC52+CC58+CC64+CC70+CC76+CC82+CC88</f>
        <v>3323833</v>
      </c>
      <c r="CD94" s="1313">
        <f t="shared" si="234"/>
        <v>864445</v>
      </c>
      <c r="CE94" s="1314">
        <f t="shared" si="234"/>
        <v>0</v>
      </c>
      <c r="CF94" s="1314">
        <f t="shared" si="234"/>
        <v>0</v>
      </c>
      <c r="CG94" s="1314">
        <f t="shared" si="234"/>
        <v>0</v>
      </c>
      <c r="CH94" s="1314">
        <f t="shared" si="234"/>
        <v>0</v>
      </c>
      <c r="CI94" s="1314">
        <f t="shared" si="234"/>
        <v>558117</v>
      </c>
      <c r="CJ94" s="1314">
        <f t="shared" si="234"/>
        <v>0</v>
      </c>
      <c r="CK94" s="1314">
        <f t="shared" si="234"/>
        <v>0</v>
      </c>
      <c r="CL94" s="1314">
        <f t="shared" si="234"/>
        <v>0</v>
      </c>
      <c r="CM94" s="1314">
        <f t="shared" si="234"/>
        <v>0</v>
      </c>
      <c r="CN94" s="1314">
        <f t="shared" si="234"/>
        <v>0</v>
      </c>
      <c r="CO94" s="1315">
        <f t="shared" si="234"/>
        <v>2114543</v>
      </c>
      <c r="CP94" s="1316">
        <f>CP10+CP16+CP22+CP28+CP34+CP40+CP46+CP52+CP58+CP64+CP70+CP76+CP82+CP88</f>
        <v>3537105</v>
      </c>
      <c r="CQ94" s="1412">
        <f t="shared" si="235"/>
        <v>45237</v>
      </c>
      <c r="CR94" s="1413">
        <f t="shared" si="235"/>
        <v>0</v>
      </c>
      <c r="CS94" s="1413">
        <f t="shared" si="235"/>
        <v>0</v>
      </c>
      <c r="CT94" s="1413">
        <f t="shared" si="235"/>
        <v>0</v>
      </c>
      <c r="CU94" s="1413">
        <f t="shared" si="235"/>
        <v>0</v>
      </c>
      <c r="CV94" s="1413">
        <f t="shared" si="235"/>
        <v>464555</v>
      </c>
      <c r="CW94" s="1413">
        <f t="shared" si="235"/>
        <v>0</v>
      </c>
      <c r="CX94" s="1413">
        <f t="shared" si="235"/>
        <v>0</v>
      </c>
      <c r="CY94" s="1413">
        <f t="shared" si="235"/>
        <v>0</v>
      </c>
      <c r="CZ94" s="1413">
        <f t="shared" si="235"/>
        <v>0</v>
      </c>
      <c r="DA94" s="1413">
        <f t="shared" si="235"/>
        <v>0</v>
      </c>
      <c r="DB94" s="1414">
        <f t="shared" si="235"/>
        <v>1612984</v>
      </c>
      <c r="DC94" s="1415">
        <f>DC10+DC16+DC22+DC28+DC34+DC40+DC46+DC52+DC58+DC64+DC70+DC76+DC82+DC88</f>
        <v>2122776</v>
      </c>
      <c r="DD94" s="1474">
        <f t="shared" si="236"/>
        <v>64371</v>
      </c>
      <c r="DE94" s="1475">
        <f t="shared" si="236"/>
        <v>0</v>
      </c>
      <c r="DF94" s="1475">
        <f t="shared" si="236"/>
        <v>0</v>
      </c>
      <c r="DG94" s="1475">
        <f t="shared" si="236"/>
        <v>0</v>
      </c>
      <c r="DH94" s="1475">
        <f t="shared" si="236"/>
        <v>0</v>
      </c>
      <c r="DI94" s="1475">
        <f t="shared" si="236"/>
        <v>388543</v>
      </c>
      <c r="DJ94" s="1475">
        <f t="shared" si="236"/>
        <v>0</v>
      </c>
      <c r="DK94" s="1475">
        <f t="shared" si="236"/>
        <v>0</v>
      </c>
      <c r="DL94" s="1475">
        <f t="shared" si="236"/>
        <v>0</v>
      </c>
      <c r="DM94" s="1475">
        <f t="shared" si="236"/>
        <v>0</v>
      </c>
      <c r="DN94" s="1475">
        <f t="shared" si="236"/>
        <v>0</v>
      </c>
      <c r="DO94" s="1476">
        <f t="shared" si="236"/>
        <v>0</v>
      </c>
      <c r="DP94" s="1477">
        <f>DP10+DP16+DP22+DP28+DP34+DP40+DP46+DP52+DP58+DP64+DP70+DP76+DP82+DP88</f>
        <v>452914</v>
      </c>
    </row>
    <row r="95" spans="1:120" ht="24.95" customHeight="1">
      <c r="A95" s="494" t="s">
        <v>323</v>
      </c>
      <c r="B95" s="494"/>
      <c r="C95" s="2"/>
      <c r="AQ95" s="863"/>
      <c r="AR95" s="863"/>
      <c r="AS95" s="863"/>
      <c r="AT95" s="863"/>
      <c r="AU95" s="863"/>
      <c r="AV95" s="863"/>
      <c r="AW95" s="863"/>
      <c r="AX95" s="863"/>
      <c r="AY95" s="863"/>
      <c r="AZ95" s="863"/>
      <c r="BA95" s="863"/>
      <c r="BB95" s="863"/>
      <c r="BD95" s="863"/>
      <c r="BE95" s="863"/>
      <c r="BF95" s="863"/>
      <c r="BG95" s="863"/>
      <c r="BH95" s="863"/>
      <c r="BI95" s="863"/>
      <c r="BJ95" s="863"/>
      <c r="BK95" s="863"/>
      <c r="BL95" s="863"/>
      <c r="BM95" s="863"/>
      <c r="BN95" s="863"/>
      <c r="BO95" s="863"/>
    </row>
    <row r="100" spans="50:63" ht="20.100000000000001" customHeight="1">
      <c r="AX100" s="29" t="s">
        <v>551</v>
      </c>
      <c r="BK100" s="29" t="s">
        <v>551</v>
      </c>
    </row>
  </sheetData>
  <mergeCells count="19">
    <mergeCell ref="DD3:DO3"/>
    <mergeCell ref="CQ3:DB3"/>
    <mergeCell ref="BD3:BO3"/>
    <mergeCell ref="AQ3:BB3"/>
    <mergeCell ref="AP3:AP4"/>
    <mergeCell ref="AD3:AO3"/>
    <mergeCell ref="CD3:CO3"/>
    <mergeCell ref="BQ3:CB3"/>
    <mergeCell ref="A89:A94"/>
    <mergeCell ref="Q3:AB3"/>
    <mergeCell ref="A65:B65"/>
    <mergeCell ref="A71:B71"/>
    <mergeCell ref="A77:B77"/>
    <mergeCell ref="A83:B83"/>
    <mergeCell ref="A59:B59"/>
    <mergeCell ref="A3:B4"/>
    <mergeCell ref="C3:C4"/>
    <mergeCell ref="D3:O3"/>
    <mergeCell ref="P3:P4"/>
  </mergeCells>
  <phoneticPr fontId="2" type="noConversion"/>
  <printOptions horizontalCentered="1"/>
  <pageMargins left="0.39370078740157483" right="0.39370078740157483" top="0.45" bottom="0.43" header="0.39370078740157483" footer="0.39370078740157483"/>
  <pageSetup paperSize="9" scale="36" orientation="landscape" horizontalDpi="300" verticalDpi="300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workbookViewId="0"/>
  </sheetViews>
  <sheetFormatPr defaultColWidth="12.625" defaultRowHeight="20.100000000000001" customHeight="1"/>
  <cols>
    <col min="1" max="1" width="24" style="4" customWidth="1"/>
    <col min="2" max="2" width="32.75" style="80" customWidth="1"/>
    <col min="3" max="3" width="18.75" style="80" customWidth="1"/>
    <col min="4" max="4" width="18.75" style="4" customWidth="1"/>
    <col min="5" max="5" width="22.5" style="4" customWidth="1"/>
    <col min="6" max="16384" width="12.625" style="4"/>
  </cols>
  <sheetData>
    <row r="1" spans="1:12" ht="20.100000000000001" customHeight="1">
      <c r="A1" s="3" t="s">
        <v>927</v>
      </c>
    </row>
    <row r="2" spans="1:12" ht="9.75" customHeight="1">
      <c r="B2" s="7"/>
      <c r="C2" s="7"/>
      <c r="D2" s="8"/>
    </row>
    <row r="3" spans="1:12" ht="20.100000000000001" customHeight="1">
      <c r="A3" s="1">
        <f>매출채권!A3</f>
        <v>45504</v>
      </c>
      <c r="B3" s="10"/>
      <c r="C3" s="10"/>
      <c r="D3" s="11"/>
      <c r="E3" s="12" t="s">
        <v>0</v>
      </c>
    </row>
    <row r="4" spans="1:12" ht="20.100000000000001" customHeight="1">
      <c r="A4" s="13" t="s">
        <v>1</v>
      </c>
      <c r="B4" s="13" t="s">
        <v>2</v>
      </c>
      <c r="C4" s="13" t="s">
        <v>56</v>
      </c>
      <c r="D4" s="14" t="s">
        <v>3</v>
      </c>
      <c r="E4" s="15" t="s">
        <v>4</v>
      </c>
    </row>
    <row r="5" spans="1:12" ht="21.95" customHeight="1">
      <c r="A5" s="170" t="s">
        <v>666</v>
      </c>
      <c r="B5" s="571" t="s">
        <v>665</v>
      </c>
      <c r="C5" s="335">
        <v>43763</v>
      </c>
      <c r="D5" s="19">
        <v>110000000</v>
      </c>
      <c r="E5" s="20"/>
    </row>
    <row r="6" spans="1:12" ht="21.95" customHeight="1">
      <c r="A6" s="170"/>
      <c r="B6" s="571"/>
      <c r="C6" s="335"/>
      <c r="D6" s="19"/>
      <c r="E6" s="20"/>
    </row>
    <row r="7" spans="1:12" ht="21.95" customHeight="1">
      <c r="A7" s="170"/>
      <c r="B7" s="571"/>
      <c r="C7" s="335"/>
      <c r="D7" s="19"/>
      <c r="E7" s="171"/>
    </row>
    <row r="8" spans="1:12" ht="21.95" customHeight="1">
      <c r="A8" s="170"/>
      <c r="B8" s="571"/>
      <c r="C8" s="335"/>
      <c r="D8" s="19"/>
      <c r="E8" s="1181"/>
    </row>
    <row r="9" spans="1:12" ht="21.95" customHeight="1">
      <c r="A9" s="170"/>
      <c r="B9" s="571"/>
      <c r="C9" s="335"/>
      <c r="D9" s="19"/>
      <c r="E9" s="1174"/>
    </row>
    <row r="10" spans="1:12" ht="21.95" customHeight="1">
      <c r="A10" s="18"/>
      <c r="B10" s="18"/>
      <c r="C10" s="335"/>
      <c r="D10" s="19"/>
      <c r="E10" s="20"/>
    </row>
    <row r="11" spans="1:12" ht="21.95" customHeight="1">
      <c r="A11" s="18"/>
      <c r="B11" s="18"/>
      <c r="C11" s="335"/>
      <c r="D11" s="19"/>
      <c r="E11" s="21"/>
    </row>
    <row r="12" spans="1:12" ht="21.95" customHeight="1">
      <c r="A12" s="18"/>
      <c r="B12" s="18"/>
      <c r="C12" s="335"/>
      <c r="D12" s="19"/>
      <c r="E12" s="20"/>
    </row>
    <row r="13" spans="1:12" ht="21.95" customHeight="1">
      <c r="A13" s="18"/>
      <c r="B13" s="18"/>
      <c r="C13" s="335"/>
      <c r="D13" s="146"/>
      <c r="E13" s="20"/>
    </row>
    <row r="14" spans="1:12" ht="21.95" customHeight="1">
      <c r="A14" s="18"/>
      <c r="B14" s="18"/>
      <c r="C14" s="335"/>
      <c r="D14" s="19"/>
      <c r="E14" s="20"/>
    </row>
    <row r="15" spans="1:12" ht="21.95" customHeight="1">
      <c r="A15" s="77"/>
      <c r="B15" s="77"/>
      <c r="C15" s="335"/>
      <c r="D15" s="84"/>
      <c r="E15" s="129"/>
    </row>
    <row r="16" spans="1:12" ht="21.95" customHeight="1">
      <c r="A16" s="16"/>
      <c r="B16" s="18"/>
      <c r="C16" s="335"/>
      <c r="D16" s="19"/>
      <c r="E16" s="22"/>
      <c r="L16" s="4" t="s">
        <v>976</v>
      </c>
    </row>
    <row r="17" spans="1:5" ht="21.95" customHeight="1">
      <c r="A17" s="16"/>
      <c r="B17" s="18"/>
      <c r="C17" s="335"/>
      <c r="D17" s="19"/>
      <c r="E17" s="20"/>
    </row>
    <row r="18" spans="1:5" ht="21.95" customHeight="1">
      <c r="A18" s="16"/>
      <c r="B18" s="18"/>
      <c r="C18" s="335"/>
      <c r="D18" s="19"/>
      <c r="E18" s="20"/>
    </row>
    <row r="19" spans="1:5" ht="21.95" customHeight="1">
      <c r="A19" s="16"/>
      <c r="B19" s="18"/>
      <c r="C19" s="335"/>
      <c r="D19" s="19"/>
      <c r="E19" s="146"/>
    </row>
    <row r="20" spans="1:5" ht="20.100000000000001" customHeight="1">
      <c r="A20" s="13" t="s">
        <v>5</v>
      </c>
      <c r="B20" s="13"/>
      <c r="C20" s="13"/>
      <c r="D20" s="25">
        <f>SUM(D5:D19)</f>
        <v>110000000</v>
      </c>
      <c r="E20" s="26"/>
    </row>
    <row r="21" spans="1:5" ht="20.100000000000001" customHeight="1">
      <c r="A21" s="2" t="str">
        <f>사외적립자산!A19</f>
        <v>김천에너지서비스㈜</v>
      </c>
    </row>
  </sheetData>
  <phoneticPr fontId="2" type="noConversion"/>
  <printOptions horizontalCentered="1"/>
  <pageMargins left="0.47244094488188981" right="0.47244094488188981" top="0.59055118110236227" bottom="0.59055118110236227" header="0.39370078740157483" footer="0.39370078740157483"/>
  <pageSetup paperSize="9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zoomScaleSheetLayoutView="100" workbookViewId="0"/>
  </sheetViews>
  <sheetFormatPr defaultColWidth="12.625" defaultRowHeight="20.100000000000001" customHeight="1"/>
  <cols>
    <col min="1" max="1" width="17.5" style="29" customWidth="1"/>
    <col min="2" max="2" width="25" style="29" bestFit="1" customWidth="1"/>
    <col min="3" max="3" width="33.875" style="143" customWidth="1"/>
    <col min="4" max="4" width="25.125" style="29" customWidth="1"/>
    <col min="5" max="5" width="28" style="29" customWidth="1"/>
    <col min="6" max="251" width="12.625" style="29"/>
    <col min="252" max="252" width="20.625" style="29" customWidth="1"/>
    <col min="253" max="253" width="38.125" style="29" customWidth="1"/>
    <col min="254" max="254" width="17.25" style="29" customWidth="1"/>
    <col min="255" max="255" width="18.75" style="29" customWidth="1"/>
    <col min="256" max="256" width="19.625" style="29" customWidth="1"/>
    <col min="257" max="507" width="12.625" style="29"/>
    <col min="508" max="508" width="20.625" style="29" customWidth="1"/>
    <col min="509" max="509" width="38.125" style="29" customWidth="1"/>
    <col min="510" max="510" width="17.25" style="29" customWidth="1"/>
    <col min="511" max="511" width="18.75" style="29" customWidth="1"/>
    <col min="512" max="512" width="19.625" style="29" customWidth="1"/>
    <col min="513" max="763" width="12.625" style="29"/>
    <col min="764" max="764" width="20.625" style="29" customWidth="1"/>
    <col min="765" max="765" width="38.125" style="29" customWidth="1"/>
    <col min="766" max="766" width="17.25" style="29" customWidth="1"/>
    <col min="767" max="767" width="18.75" style="29" customWidth="1"/>
    <col min="768" max="768" width="19.625" style="29" customWidth="1"/>
    <col min="769" max="1019" width="12.625" style="29"/>
    <col min="1020" max="1020" width="20.625" style="29" customWidth="1"/>
    <col min="1021" max="1021" width="38.125" style="29" customWidth="1"/>
    <col min="1022" max="1022" width="17.25" style="29" customWidth="1"/>
    <col min="1023" max="1023" width="18.75" style="29" customWidth="1"/>
    <col min="1024" max="1024" width="19.625" style="29" customWidth="1"/>
    <col min="1025" max="1275" width="12.625" style="29"/>
    <col min="1276" max="1276" width="20.625" style="29" customWidth="1"/>
    <col min="1277" max="1277" width="38.125" style="29" customWidth="1"/>
    <col min="1278" max="1278" width="17.25" style="29" customWidth="1"/>
    <col min="1279" max="1279" width="18.75" style="29" customWidth="1"/>
    <col min="1280" max="1280" width="19.625" style="29" customWidth="1"/>
    <col min="1281" max="1531" width="12.625" style="29"/>
    <col min="1532" max="1532" width="20.625" style="29" customWidth="1"/>
    <col min="1533" max="1533" width="38.125" style="29" customWidth="1"/>
    <col min="1534" max="1534" width="17.25" style="29" customWidth="1"/>
    <col min="1535" max="1535" width="18.75" style="29" customWidth="1"/>
    <col min="1536" max="1536" width="19.625" style="29" customWidth="1"/>
    <col min="1537" max="1787" width="12.625" style="29"/>
    <col min="1788" max="1788" width="20.625" style="29" customWidth="1"/>
    <col min="1789" max="1789" width="38.125" style="29" customWidth="1"/>
    <col min="1790" max="1790" width="17.25" style="29" customWidth="1"/>
    <col min="1791" max="1791" width="18.75" style="29" customWidth="1"/>
    <col min="1792" max="1792" width="19.625" style="29" customWidth="1"/>
    <col min="1793" max="2043" width="12.625" style="29"/>
    <col min="2044" max="2044" width="20.625" style="29" customWidth="1"/>
    <col min="2045" max="2045" width="38.125" style="29" customWidth="1"/>
    <col min="2046" max="2046" width="17.25" style="29" customWidth="1"/>
    <col min="2047" max="2047" width="18.75" style="29" customWidth="1"/>
    <col min="2048" max="2048" width="19.625" style="29" customWidth="1"/>
    <col min="2049" max="2299" width="12.625" style="29"/>
    <col min="2300" max="2300" width="20.625" style="29" customWidth="1"/>
    <col min="2301" max="2301" width="38.125" style="29" customWidth="1"/>
    <col min="2302" max="2302" width="17.25" style="29" customWidth="1"/>
    <col min="2303" max="2303" width="18.75" style="29" customWidth="1"/>
    <col min="2304" max="2304" width="19.625" style="29" customWidth="1"/>
    <col min="2305" max="2555" width="12.625" style="29"/>
    <col min="2556" max="2556" width="20.625" style="29" customWidth="1"/>
    <col min="2557" max="2557" width="38.125" style="29" customWidth="1"/>
    <col min="2558" max="2558" width="17.25" style="29" customWidth="1"/>
    <col min="2559" max="2559" width="18.75" style="29" customWidth="1"/>
    <col min="2560" max="2560" width="19.625" style="29" customWidth="1"/>
    <col min="2561" max="2811" width="12.625" style="29"/>
    <col min="2812" max="2812" width="20.625" style="29" customWidth="1"/>
    <col min="2813" max="2813" width="38.125" style="29" customWidth="1"/>
    <col min="2814" max="2814" width="17.25" style="29" customWidth="1"/>
    <col min="2815" max="2815" width="18.75" style="29" customWidth="1"/>
    <col min="2816" max="2816" width="19.625" style="29" customWidth="1"/>
    <col min="2817" max="3067" width="12.625" style="29"/>
    <col min="3068" max="3068" width="20.625" style="29" customWidth="1"/>
    <col min="3069" max="3069" width="38.125" style="29" customWidth="1"/>
    <col min="3070" max="3070" width="17.25" style="29" customWidth="1"/>
    <col min="3071" max="3071" width="18.75" style="29" customWidth="1"/>
    <col min="3072" max="3072" width="19.625" style="29" customWidth="1"/>
    <col min="3073" max="3323" width="12.625" style="29"/>
    <col min="3324" max="3324" width="20.625" style="29" customWidth="1"/>
    <col min="3325" max="3325" width="38.125" style="29" customWidth="1"/>
    <col min="3326" max="3326" width="17.25" style="29" customWidth="1"/>
    <col min="3327" max="3327" width="18.75" style="29" customWidth="1"/>
    <col min="3328" max="3328" width="19.625" style="29" customWidth="1"/>
    <col min="3329" max="3579" width="12.625" style="29"/>
    <col min="3580" max="3580" width="20.625" style="29" customWidth="1"/>
    <col min="3581" max="3581" width="38.125" style="29" customWidth="1"/>
    <col min="3582" max="3582" width="17.25" style="29" customWidth="1"/>
    <col min="3583" max="3583" width="18.75" style="29" customWidth="1"/>
    <col min="3584" max="3584" width="19.625" style="29" customWidth="1"/>
    <col min="3585" max="3835" width="12.625" style="29"/>
    <col min="3836" max="3836" width="20.625" style="29" customWidth="1"/>
    <col min="3837" max="3837" width="38.125" style="29" customWidth="1"/>
    <col min="3838" max="3838" width="17.25" style="29" customWidth="1"/>
    <col min="3839" max="3839" width="18.75" style="29" customWidth="1"/>
    <col min="3840" max="3840" width="19.625" style="29" customWidth="1"/>
    <col min="3841" max="4091" width="12.625" style="29"/>
    <col min="4092" max="4092" width="20.625" style="29" customWidth="1"/>
    <col min="4093" max="4093" width="38.125" style="29" customWidth="1"/>
    <col min="4094" max="4094" width="17.25" style="29" customWidth="1"/>
    <col min="4095" max="4095" width="18.75" style="29" customWidth="1"/>
    <col min="4096" max="4096" width="19.625" style="29" customWidth="1"/>
    <col min="4097" max="4347" width="12.625" style="29"/>
    <col min="4348" max="4348" width="20.625" style="29" customWidth="1"/>
    <col min="4349" max="4349" width="38.125" style="29" customWidth="1"/>
    <col min="4350" max="4350" width="17.25" style="29" customWidth="1"/>
    <col min="4351" max="4351" width="18.75" style="29" customWidth="1"/>
    <col min="4352" max="4352" width="19.625" style="29" customWidth="1"/>
    <col min="4353" max="4603" width="12.625" style="29"/>
    <col min="4604" max="4604" width="20.625" style="29" customWidth="1"/>
    <col min="4605" max="4605" width="38.125" style="29" customWidth="1"/>
    <col min="4606" max="4606" width="17.25" style="29" customWidth="1"/>
    <col min="4607" max="4607" width="18.75" style="29" customWidth="1"/>
    <col min="4608" max="4608" width="19.625" style="29" customWidth="1"/>
    <col min="4609" max="4859" width="12.625" style="29"/>
    <col min="4860" max="4860" width="20.625" style="29" customWidth="1"/>
    <col min="4861" max="4861" width="38.125" style="29" customWidth="1"/>
    <col min="4862" max="4862" width="17.25" style="29" customWidth="1"/>
    <col min="4863" max="4863" width="18.75" style="29" customWidth="1"/>
    <col min="4864" max="4864" width="19.625" style="29" customWidth="1"/>
    <col min="4865" max="5115" width="12.625" style="29"/>
    <col min="5116" max="5116" width="20.625" style="29" customWidth="1"/>
    <col min="5117" max="5117" width="38.125" style="29" customWidth="1"/>
    <col min="5118" max="5118" width="17.25" style="29" customWidth="1"/>
    <col min="5119" max="5119" width="18.75" style="29" customWidth="1"/>
    <col min="5120" max="5120" width="19.625" style="29" customWidth="1"/>
    <col min="5121" max="5371" width="12.625" style="29"/>
    <col min="5372" max="5372" width="20.625" style="29" customWidth="1"/>
    <col min="5373" max="5373" width="38.125" style="29" customWidth="1"/>
    <col min="5374" max="5374" width="17.25" style="29" customWidth="1"/>
    <col min="5375" max="5375" width="18.75" style="29" customWidth="1"/>
    <col min="5376" max="5376" width="19.625" style="29" customWidth="1"/>
    <col min="5377" max="5627" width="12.625" style="29"/>
    <col min="5628" max="5628" width="20.625" style="29" customWidth="1"/>
    <col min="5629" max="5629" width="38.125" style="29" customWidth="1"/>
    <col min="5630" max="5630" width="17.25" style="29" customWidth="1"/>
    <col min="5631" max="5631" width="18.75" style="29" customWidth="1"/>
    <col min="5632" max="5632" width="19.625" style="29" customWidth="1"/>
    <col min="5633" max="5883" width="12.625" style="29"/>
    <col min="5884" max="5884" width="20.625" style="29" customWidth="1"/>
    <col min="5885" max="5885" width="38.125" style="29" customWidth="1"/>
    <col min="5886" max="5886" width="17.25" style="29" customWidth="1"/>
    <col min="5887" max="5887" width="18.75" style="29" customWidth="1"/>
    <col min="5888" max="5888" width="19.625" style="29" customWidth="1"/>
    <col min="5889" max="6139" width="12.625" style="29"/>
    <col min="6140" max="6140" width="20.625" style="29" customWidth="1"/>
    <col min="6141" max="6141" width="38.125" style="29" customWidth="1"/>
    <col min="6142" max="6142" width="17.25" style="29" customWidth="1"/>
    <col min="6143" max="6143" width="18.75" style="29" customWidth="1"/>
    <col min="6144" max="6144" width="19.625" style="29" customWidth="1"/>
    <col min="6145" max="6395" width="12.625" style="29"/>
    <col min="6396" max="6396" width="20.625" style="29" customWidth="1"/>
    <col min="6397" max="6397" width="38.125" style="29" customWidth="1"/>
    <col min="6398" max="6398" width="17.25" style="29" customWidth="1"/>
    <col min="6399" max="6399" width="18.75" style="29" customWidth="1"/>
    <col min="6400" max="6400" width="19.625" style="29" customWidth="1"/>
    <col min="6401" max="6651" width="12.625" style="29"/>
    <col min="6652" max="6652" width="20.625" style="29" customWidth="1"/>
    <col min="6653" max="6653" width="38.125" style="29" customWidth="1"/>
    <col min="6654" max="6654" width="17.25" style="29" customWidth="1"/>
    <col min="6655" max="6655" width="18.75" style="29" customWidth="1"/>
    <col min="6656" max="6656" width="19.625" style="29" customWidth="1"/>
    <col min="6657" max="6907" width="12.625" style="29"/>
    <col min="6908" max="6908" width="20.625" style="29" customWidth="1"/>
    <col min="6909" max="6909" width="38.125" style="29" customWidth="1"/>
    <col min="6910" max="6910" width="17.25" style="29" customWidth="1"/>
    <col min="6911" max="6911" width="18.75" style="29" customWidth="1"/>
    <col min="6912" max="6912" width="19.625" style="29" customWidth="1"/>
    <col min="6913" max="7163" width="12.625" style="29"/>
    <col min="7164" max="7164" width="20.625" style="29" customWidth="1"/>
    <col min="7165" max="7165" width="38.125" style="29" customWidth="1"/>
    <col min="7166" max="7166" width="17.25" style="29" customWidth="1"/>
    <col min="7167" max="7167" width="18.75" style="29" customWidth="1"/>
    <col min="7168" max="7168" width="19.625" style="29" customWidth="1"/>
    <col min="7169" max="7419" width="12.625" style="29"/>
    <col min="7420" max="7420" width="20.625" style="29" customWidth="1"/>
    <col min="7421" max="7421" width="38.125" style="29" customWidth="1"/>
    <col min="7422" max="7422" width="17.25" style="29" customWidth="1"/>
    <col min="7423" max="7423" width="18.75" style="29" customWidth="1"/>
    <col min="7424" max="7424" width="19.625" style="29" customWidth="1"/>
    <col min="7425" max="7675" width="12.625" style="29"/>
    <col min="7676" max="7676" width="20.625" style="29" customWidth="1"/>
    <col min="7677" max="7677" width="38.125" style="29" customWidth="1"/>
    <col min="7678" max="7678" width="17.25" style="29" customWidth="1"/>
    <col min="7679" max="7679" width="18.75" style="29" customWidth="1"/>
    <col min="7680" max="7680" width="19.625" style="29" customWidth="1"/>
    <col min="7681" max="7931" width="12.625" style="29"/>
    <col min="7932" max="7932" width="20.625" style="29" customWidth="1"/>
    <col min="7933" max="7933" width="38.125" style="29" customWidth="1"/>
    <col min="7934" max="7934" width="17.25" style="29" customWidth="1"/>
    <col min="7935" max="7935" width="18.75" style="29" customWidth="1"/>
    <col min="7936" max="7936" width="19.625" style="29" customWidth="1"/>
    <col min="7937" max="8187" width="12.625" style="29"/>
    <col min="8188" max="8188" width="20.625" style="29" customWidth="1"/>
    <col min="8189" max="8189" width="38.125" style="29" customWidth="1"/>
    <col min="8190" max="8190" width="17.25" style="29" customWidth="1"/>
    <col min="8191" max="8191" width="18.75" style="29" customWidth="1"/>
    <col min="8192" max="8192" width="19.625" style="29" customWidth="1"/>
    <col min="8193" max="8443" width="12.625" style="29"/>
    <col min="8444" max="8444" width="20.625" style="29" customWidth="1"/>
    <col min="8445" max="8445" width="38.125" style="29" customWidth="1"/>
    <col min="8446" max="8446" width="17.25" style="29" customWidth="1"/>
    <col min="8447" max="8447" width="18.75" style="29" customWidth="1"/>
    <col min="8448" max="8448" width="19.625" style="29" customWidth="1"/>
    <col min="8449" max="8699" width="12.625" style="29"/>
    <col min="8700" max="8700" width="20.625" style="29" customWidth="1"/>
    <col min="8701" max="8701" width="38.125" style="29" customWidth="1"/>
    <col min="8702" max="8702" width="17.25" style="29" customWidth="1"/>
    <col min="8703" max="8703" width="18.75" style="29" customWidth="1"/>
    <col min="8704" max="8704" width="19.625" style="29" customWidth="1"/>
    <col min="8705" max="8955" width="12.625" style="29"/>
    <col min="8956" max="8956" width="20.625" style="29" customWidth="1"/>
    <col min="8957" max="8957" width="38.125" style="29" customWidth="1"/>
    <col min="8958" max="8958" width="17.25" style="29" customWidth="1"/>
    <col min="8959" max="8959" width="18.75" style="29" customWidth="1"/>
    <col min="8960" max="8960" width="19.625" style="29" customWidth="1"/>
    <col min="8961" max="9211" width="12.625" style="29"/>
    <col min="9212" max="9212" width="20.625" style="29" customWidth="1"/>
    <col min="9213" max="9213" width="38.125" style="29" customWidth="1"/>
    <col min="9214" max="9214" width="17.25" style="29" customWidth="1"/>
    <col min="9215" max="9215" width="18.75" style="29" customWidth="1"/>
    <col min="9216" max="9216" width="19.625" style="29" customWidth="1"/>
    <col min="9217" max="9467" width="12.625" style="29"/>
    <col min="9468" max="9468" width="20.625" style="29" customWidth="1"/>
    <col min="9469" max="9469" width="38.125" style="29" customWidth="1"/>
    <col min="9470" max="9470" width="17.25" style="29" customWidth="1"/>
    <col min="9471" max="9471" width="18.75" style="29" customWidth="1"/>
    <col min="9472" max="9472" width="19.625" style="29" customWidth="1"/>
    <col min="9473" max="9723" width="12.625" style="29"/>
    <col min="9724" max="9724" width="20.625" style="29" customWidth="1"/>
    <col min="9725" max="9725" width="38.125" style="29" customWidth="1"/>
    <col min="9726" max="9726" width="17.25" style="29" customWidth="1"/>
    <col min="9727" max="9727" width="18.75" style="29" customWidth="1"/>
    <col min="9728" max="9728" width="19.625" style="29" customWidth="1"/>
    <col min="9729" max="9979" width="12.625" style="29"/>
    <col min="9980" max="9980" width="20.625" style="29" customWidth="1"/>
    <col min="9981" max="9981" width="38.125" style="29" customWidth="1"/>
    <col min="9982" max="9982" width="17.25" style="29" customWidth="1"/>
    <col min="9983" max="9983" width="18.75" style="29" customWidth="1"/>
    <col min="9984" max="9984" width="19.625" style="29" customWidth="1"/>
    <col min="9985" max="10235" width="12.625" style="29"/>
    <col min="10236" max="10236" width="20.625" style="29" customWidth="1"/>
    <col min="10237" max="10237" width="38.125" style="29" customWidth="1"/>
    <col min="10238" max="10238" width="17.25" style="29" customWidth="1"/>
    <col min="10239" max="10239" width="18.75" style="29" customWidth="1"/>
    <col min="10240" max="10240" width="19.625" style="29" customWidth="1"/>
    <col min="10241" max="10491" width="12.625" style="29"/>
    <col min="10492" max="10492" width="20.625" style="29" customWidth="1"/>
    <col min="10493" max="10493" width="38.125" style="29" customWidth="1"/>
    <col min="10494" max="10494" width="17.25" style="29" customWidth="1"/>
    <col min="10495" max="10495" width="18.75" style="29" customWidth="1"/>
    <col min="10496" max="10496" width="19.625" style="29" customWidth="1"/>
    <col min="10497" max="10747" width="12.625" style="29"/>
    <col min="10748" max="10748" width="20.625" style="29" customWidth="1"/>
    <col min="10749" max="10749" width="38.125" style="29" customWidth="1"/>
    <col min="10750" max="10750" width="17.25" style="29" customWidth="1"/>
    <col min="10751" max="10751" width="18.75" style="29" customWidth="1"/>
    <col min="10752" max="10752" width="19.625" style="29" customWidth="1"/>
    <col min="10753" max="11003" width="12.625" style="29"/>
    <col min="11004" max="11004" width="20.625" style="29" customWidth="1"/>
    <col min="11005" max="11005" width="38.125" style="29" customWidth="1"/>
    <col min="11006" max="11006" width="17.25" style="29" customWidth="1"/>
    <col min="11007" max="11007" width="18.75" style="29" customWidth="1"/>
    <col min="11008" max="11008" width="19.625" style="29" customWidth="1"/>
    <col min="11009" max="11259" width="12.625" style="29"/>
    <col min="11260" max="11260" width="20.625" style="29" customWidth="1"/>
    <col min="11261" max="11261" width="38.125" style="29" customWidth="1"/>
    <col min="11262" max="11262" width="17.25" style="29" customWidth="1"/>
    <col min="11263" max="11263" width="18.75" style="29" customWidth="1"/>
    <col min="11264" max="11264" width="19.625" style="29" customWidth="1"/>
    <col min="11265" max="11515" width="12.625" style="29"/>
    <col min="11516" max="11516" width="20.625" style="29" customWidth="1"/>
    <col min="11517" max="11517" width="38.125" style="29" customWidth="1"/>
    <col min="11518" max="11518" width="17.25" style="29" customWidth="1"/>
    <col min="11519" max="11519" width="18.75" style="29" customWidth="1"/>
    <col min="11520" max="11520" width="19.625" style="29" customWidth="1"/>
    <col min="11521" max="11771" width="12.625" style="29"/>
    <col min="11772" max="11772" width="20.625" style="29" customWidth="1"/>
    <col min="11773" max="11773" width="38.125" style="29" customWidth="1"/>
    <col min="11774" max="11774" width="17.25" style="29" customWidth="1"/>
    <col min="11775" max="11775" width="18.75" style="29" customWidth="1"/>
    <col min="11776" max="11776" width="19.625" style="29" customWidth="1"/>
    <col min="11777" max="12027" width="12.625" style="29"/>
    <col min="12028" max="12028" width="20.625" style="29" customWidth="1"/>
    <col min="12029" max="12029" width="38.125" style="29" customWidth="1"/>
    <col min="12030" max="12030" width="17.25" style="29" customWidth="1"/>
    <col min="12031" max="12031" width="18.75" style="29" customWidth="1"/>
    <col min="12032" max="12032" width="19.625" style="29" customWidth="1"/>
    <col min="12033" max="12283" width="12.625" style="29"/>
    <col min="12284" max="12284" width="20.625" style="29" customWidth="1"/>
    <col min="12285" max="12285" width="38.125" style="29" customWidth="1"/>
    <col min="12286" max="12286" width="17.25" style="29" customWidth="1"/>
    <col min="12287" max="12287" width="18.75" style="29" customWidth="1"/>
    <col min="12288" max="12288" width="19.625" style="29" customWidth="1"/>
    <col min="12289" max="12539" width="12.625" style="29"/>
    <col min="12540" max="12540" width="20.625" style="29" customWidth="1"/>
    <col min="12541" max="12541" width="38.125" style="29" customWidth="1"/>
    <col min="12542" max="12542" width="17.25" style="29" customWidth="1"/>
    <col min="12543" max="12543" width="18.75" style="29" customWidth="1"/>
    <col min="12544" max="12544" width="19.625" style="29" customWidth="1"/>
    <col min="12545" max="12795" width="12.625" style="29"/>
    <col min="12796" max="12796" width="20.625" style="29" customWidth="1"/>
    <col min="12797" max="12797" width="38.125" style="29" customWidth="1"/>
    <col min="12798" max="12798" width="17.25" style="29" customWidth="1"/>
    <col min="12799" max="12799" width="18.75" style="29" customWidth="1"/>
    <col min="12800" max="12800" width="19.625" style="29" customWidth="1"/>
    <col min="12801" max="13051" width="12.625" style="29"/>
    <col min="13052" max="13052" width="20.625" style="29" customWidth="1"/>
    <col min="13053" max="13053" width="38.125" style="29" customWidth="1"/>
    <col min="13054" max="13054" width="17.25" style="29" customWidth="1"/>
    <col min="13055" max="13055" width="18.75" style="29" customWidth="1"/>
    <col min="13056" max="13056" width="19.625" style="29" customWidth="1"/>
    <col min="13057" max="13307" width="12.625" style="29"/>
    <col min="13308" max="13308" width="20.625" style="29" customWidth="1"/>
    <col min="13309" max="13309" width="38.125" style="29" customWidth="1"/>
    <col min="13310" max="13310" width="17.25" style="29" customWidth="1"/>
    <col min="13311" max="13311" width="18.75" style="29" customWidth="1"/>
    <col min="13312" max="13312" width="19.625" style="29" customWidth="1"/>
    <col min="13313" max="13563" width="12.625" style="29"/>
    <col min="13564" max="13564" width="20.625" style="29" customWidth="1"/>
    <col min="13565" max="13565" width="38.125" style="29" customWidth="1"/>
    <col min="13566" max="13566" width="17.25" style="29" customWidth="1"/>
    <col min="13567" max="13567" width="18.75" style="29" customWidth="1"/>
    <col min="13568" max="13568" width="19.625" style="29" customWidth="1"/>
    <col min="13569" max="13819" width="12.625" style="29"/>
    <col min="13820" max="13820" width="20.625" style="29" customWidth="1"/>
    <col min="13821" max="13821" width="38.125" style="29" customWidth="1"/>
    <col min="13822" max="13822" width="17.25" style="29" customWidth="1"/>
    <col min="13823" max="13823" width="18.75" style="29" customWidth="1"/>
    <col min="13824" max="13824" width="19.625" style="29" customWidth="1"/>
    <col min="13825" max="14075" width="12.625" style="29"/>
    <col min="14076" max="14076" width="20.625" style="29" customWidth="1"/>
    <col min="14077" max="14077" width="38.125" style="29" customWidth="1"/>
    <col min="14078" max="14078" width="17.25" style="29" customWidth="1"/>
    <col min="14079" max="14079" width="18.75" style="29" customWidth="1"/>
    <col min="14080" max="14080" width="19.625" style="29" customWidth="1"/>
    <col min="14081" max="14331" width="12.625" style="29"/>
    <col min="14332" max="14332" width="20.625" style="29" customWidth="1"/>
    <col min="14333" max="14333" width="38.125" style="29" customWidth="1"/>
    <col min="14334" max="14334" width="17.25" style="29" customWidth="1"/>
    <col min="14335" max="14335" width="18.75" style="29" customWidth="1"/>
    <col min="14336" max="14336" width="19.625" style="29" customWidth="1"/>
    <col min="14337" max="14587" width="12.625" style="29"/>
    <col min="14588" max="14588" width="20.625" style="29" customWidth="1"/>
    <col min="14589" max="14589" width="38.125" style="29" customWidth="1"/>
    <col min="14590" max="14590" width="17.25" style="29" customWidth="1"/>
    <col min="14591" max="14591" width="18.75" style="29" customWidth="1"/>
    <col min="14592" max="14592" width="19.625" style="29" customWidth="1"/>
    <col min="14593" max="14843" width="12.625" style="29"/>
    <col min="14844" max="14844" width="20.625" style="29" customWidth="1"/>
    <col min="14845" max="14845" width="38.125" style="29" customWidth="1"/>
    <col min="14846" max="14846" width="17.25" style="29" customWidth="1"/>
    <col min="14847" max="14847" width="18.75" style="29" customWidth="1"/>
    <col min="14848" max="14848" width="19.625" style="29" customWidth="1"/>
    <col min="14849" max="15099" width="12.625" style="29"/>
    <col min="15100" max="15100" width="20.625" style="29" customWidth="1"/>
    <col min="15101" max="15101" width="38.125" style="29" customWidth="1"/>
    <col min="15102" max="15102" width="17.25" style="29" customWidth="1"/>
    <col min="15103" max="15103" width="18.75" style="29" customWidth="1"/>
    <col min="15104" max="15104" width="19.625" style="29" customWidth="1"/>
    <col min="15105" max="15355" width="12.625" style="29"/>
    <col min="15356" max="15356" width="20.625" style="29" customWidth="1"/>
    <col min="15357" max="15357" width="38.125" style="29" customWidth="1"/>
    <col min="15358" max="15358" width="17.25" style="29" customWidth="1"/>
    <col min="15359" max="15359" width="18.75" style="29" customWidth="1"/>
    <col min="15360" max="15360" width="19.625" style="29" customWidth="1"/>
    <col min="15361" max="15611" width="12.625" style="29"/>
    <col min="15612" max="15612" width="20.625" style="29" customWidth="1"/>
    <col min="15613" max="15613" width="38.125" style="29" customWidth="1"/>
    <col min="15614" max="15614" width="17.25" style="29" customWidth="1"/>
    <col min="15615" max="15615" width="18.75" style="29" customWidth="1"/>
    <col min="15616" max="15616" width="19.625" style="29" customWidth="1"/>
    <col min="15617" max="15867" width="12.625" style="29"/>
    <col min="15868" max="15868" width="20.625" style="29" customWidth="1"/>
    <col min="15869" max="15869" width="38.125" style="29" customWidth="1"/>
    <col min="15870" max="15870" width="17.25" style="29" customWidth="1"/>
    <col min="15871" max="15871" width="18.75" style="29" customWidth="1"/>
    <col min="15872" max="15872" width="19.625" style="29" customWidth="1"/>
    <col min="15873" max="16123" width="12.625" style="29"/>
    <col min="16124" max="16124" width="20.625" style="29" customWidth="1"/>
    <col min="16125" max="16125" width="38.125" style="29" customWidth="1"/>
    <col min="16126" max="16126" width="17.25" style="29" customWidth="1"/>
    <col min="16127" max="16127" width="18.75" style="29" customWidth="1"/>
    <col min="16128" max="16128" width="19.625" style="29" customWidth="1"/>
    <col min="16129" max="16384" width="12.625" style="29"/>
  </cols>
  <sheetData>
    <row r="1" spans="1:5" ht="20.100000000000001" customHeight="1">
      <c r="A1" s="27" t="s">
        <v>1096</v>
      </c>
      <c r="B1" s="27"/>
    </row>
    <row r="2" spans="1:5" ht="17.25" customHeight="1">
      <c r="C2" s="7"/>
      <c r="D2" s="58"/>
    </row>
    <row r="3" spans="1:5" ht="20.100000000000001" customHeight="1">
      <c r="A3" s="2157">
        <f>장기선수수익!A3</f>
        <v>45504</v>
      </c>
      <c r="B3" s="2188"/>
      <c r="C3" s="2188"/>
      <c r="D3" s="30"/>
      <c r="E3" s="31" t="s">
        <v>0</v>
      </c>
    </row>
    <row r="4" spans="1:5" ht="21.95" customHeight="1">
      <c r="A4" s="1628" t="s">
        <v>878</v>
      </c>
      <c r="B4" s="1628" t="s">
        <v>31</v>
      </c>
      <c r="C4" s="1628" t="s">
        <v>877</v>
      </c>
      <c r="D4" s="1641" t="s">
        <v>3</v>
      </c>
      <c r="E4" s="1631" t="s">
        <v>4</v>
      </c>
    </row>
    <row r="5" spans="1:5" ht="21.95" customHeight="1">
      <c r="A5" s="2196" t="s">
        <v>1353</v>
      </c>
      <c r="B5" s="1982" t="s">
        <v>1092</v>
      </c>
      <c r="C5" s="2192" t="s">
        <v>1251</v>
      </c>
      <c r="D5" s="1983">
        <v>1022121564</v>
      </c>
      <c r="E5" s="1637"/>
    </row>
    <row r="6" spans="1:5" ht="21.95" customHeight="1">
      <c r="A6" s="2197"/>
      <c r="B6" s="1982" t="s">
        <v>1296</v>
      </c>
      <c r="C6" s="2198"/>
      <c r="D6" s="1983">
        <v>1687575005</v>
      </c>
      <c r="E6" s="1637"/>
    </row>
    <row r="7" spans="1:5" ht="21.95" customHeight="1">
      <c r="A7" s="2189" t="s">
        <v>1354</v>
      </c>
      <c r="B7" s="1982" t="s">
        <v>1092</v>
      </c>
      <c r="C7" s="2192" t="s">
        <v>1294</v>
      </c>
      <c r="D7" s="1983">
        <v>3326509654</v>
      </c>
      <c r="E7" s="1984"/>
    </row>
    <row r="8" spans="1:5" ht="21.95" customHeight="1">
      <c r="A8" s="2190"/>
      <c r="B8" s="1982" t="s">
        <v>1296</v>
      </c>
      <c r="C8" s="2193"/>
      <c r="D8" s="1983">
        <v>706851831</v>
      </c>
      <c r="E8" s="1984"/>
    </row>
    <row r="9" spans="1:5" ht="21.95" customHeight="1">
      <c r="A9" s="2191"/>
      <c r="B9" s="2016" t="s">
        <v>1295</v>
      </c>
      <c r="C9" s="2194"/>
      <c r="D9" s="1988">
        <v>1907255250</v>
      </c>
      <c r="E9" s="2017"/>
    </row>
    <row r="10" spans="1:5" ht="21.95" customHeight="1">
      <c r="A10" s="2190" t="s">
        <v>1336</v>
      </c>
      <c r="B10" s="1985" t="s">
        <v>1092</v>
      </c>
      <c r="C10" s="2193" t="s">
        <v>1355</v>
      </c>
      <c r="D10" s="1986">
        <v>1002827731</v>
      </c>
      <c r="E10" s="2015"/>
    </row>
    <row r="11" spans="1:5" ht="21.95" customHeight="1">
      <c r="A11" s="2190"/>
      <c r="B11" s="1987" t="s">
        <v>1295</v>
      </c>
      <c r="C11" s="2199"/>
      <c r="D11" s="1983">
        <f>4994028182+796277129</f>
        <v>5790305311</v>
      </c>
      <c r="E11" s="1984"/>
    </row>
    <row r="12" spans="1:5" ht="21.95" customHeight="1">
      <c r="A12" s="2190"/>
      <c r="B12" s="1635" t="s">
        <v>868</v>
      </c>
      <c r="C12" s="2195" t="s">
        <v>1356</v>
      </c>
      <c r="D12" s="1636">
        <v>13608400</v>
      </c>
      <c r="E12" s="1860"/>
    </row>
    <row r="13" spans="1:5" ht="21.95" customHeight="1">
      <c r="A13" s="2190"/>
      <c r="B13" s="1779" t="s">
        <v>567</v>
      </c>
      <c r="C13" s="2193"/>
      <c r="D13" s="1780">
        <v>3018796</v>
      </c>
      <c r="E13" s="1860"/>
    </row>
    <row r="14" spans="1:5" ht="21.95" customHeight="1">
      <c r="A14" s="2190"/>
      <c r="B14" s="1635" t="s">
        <v>568</v>
      </c>
      <c r="C14" s="2193"/>
      <c r="D14" s="1636">
        <v>262504</v>
      </c>
      <c r="E14" s="1860"/>
    </row>
    <row r="15" spans="1:5" ht="21.95" customHeight="1">
      <c r="A15" s="2190"/>
      <c r="B15" s="1635" t="s">
        <v>865</v>
      </c>
      <c r="C15" s="2193"/>
      <c r="D15" s="1636">
        <v>16581312</v>
      </c>
      <c r="E15" s="1860"/>
    </row>
    <row r="16" spans="1:5" ht="21.95" customHeight="1">
      <c r="A16" s="2190"/>
      <c r="B16" s="1635" t="s">
        <v>865</v>
      </c>
      <c r="C16" s="2193"/>
      <c r="D16" s="1636">
        <v>2955645</v>
      </c>
      <c r="E16" s="1860"/>
    </row>
    <row r="17" spans="1:5" ht="21.95" customHeight="1">
      <c r="A17" s="2190"/>
      <c r="B17" s="1635" t="s">
        <v>865</v>
      </c>
      <c r="C17" s="2193"/>
      <c r="D17" s="1636">
        <v>3784440</v>
      </c>
      <c r="E17" s="1860"/>
    </row>
    <row r="18" spans="1:5" ht="21.95" customHeight="1">
      <c r="A18" s="2190"/>
      <c r="B18" s="1777" t="s">
        <v>1104</v>
      </c>
      <c r="C18" s="2193"/>
      <c r="D18" s="1650">
        <v>802760</v>
      </c>
      <c r="E18" s="1860"/>
    </row>
    <row r="19" spans="1:5" ht="21.95" customHeight="1">
      <c r="A19" s="1628" t="s">
        <v>5</v>
      </c>
      <c r="B19" s="1628"/>
      <c r="C19" s="1628"/>
      <c r="D19" s="1642">
        <f>SUM(D5:D18)</f>
        <v>15484460203</v>
      </c>
      <c r="E19" s="1643"/>
    </row>
    <row r="20" spans="1:5" ht="20.100000000000001" customHeight="1">
      <c r="A20" s="2" t="str">
        <f>사외적립자산!A19</f>
        <v>김천에너지서비스㈜</v>
      </c>
      <c r="B20" s="2"/>
    </row>
  </sheetData>
  <mergeCells count="8">
    <mergeCell ref="A3:C3"/>
    <mergeCell ref="A7:A9"/>
    <mergeCell ref="C7:C9"/>
    <mergeCell ref="A10:A18"/>
    <mergeCell ref="C12:C18"/>
    <mergeCell ref="A5:A6"/>
    <mergeCell ref="C5:C6"/>
    <mergeCell ref="C10:C11"/>
  </mergeCells>
  <phoneticPr fontId="2" type="noConversion"/>
  <printOptions horizontalCentered="1"/>
  <pageMargins left="0.39370078740157483" right="0.39370078740157483" top="0.45" bottom="0.43" header="0.39370078740157483" footer="0.39370078740157483"/>
  <pageSetup paperSize="9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showGridLines="0" zoomScaleSheetLayoutView="100" workbookViewId="0"/>
  </sheetViews>
  <sheetFormatPr defaultColWidth="12.625" defaultRowHeight="20.100000000000001" customHeight="1"/>
  <cols>
    <col min="1" max="1" width="12" style="29" customWidth="1"/>
    <col min="2" max="2" width="27.75" style="29" customWidth="1"/>
    <col min="3" max="3" width="40.75" style="143" customWidth="1"/>
    <col min="4" max="4" width="18.5" style="29" customWidth="1"/>
    <col min="5" max="5" width="13.375" style="29" customWidth="1"/>
    <col min="6" max="251" width="12.625" style="29"/>
    <col min="252" max="252" width="20.625" style="29" customWidth="1"/>
    <col min="253" max="253" width="38.125" style="29" customWidth="1"/>
    <col min="254" max="254" width="17.25" style="29" customWidth="1"/>
    <col min="255" max="255" width="18.75" style="29" customWidth="1"/>
    <col min="256" max="256" width="19.625" style="29" customWidth="1"/>
    <col min="257" max="507" width="12.625" style="29"/>
    <col min="508" max="508" width="20.625" style="29" customWidth="1"/>
    <col min="509" max="509" width="38.125" style="29" customWidth="1"/>
    <col min="510" max="510" width="17.25" style="29" customWidth="1"/>
    <col min="511" max="511" width="18.75" style="29" customWidth="1"/>
    <col min="512" max="512" width="19.625" style="29" customWidth="1"/>
    <col min="513" max="763" width="12.625" style="29"/>
    <col min="764" max="764" width="20.625" style="29" customWidth="1"/>
    <col min="765" max="765" width="38.125" style="29" customWidth="1"/>
    <col min="766" max="766" width="17.25" style="29" customWidth="1"/>
    <col min="767" max="767" width="18.75" style="29" customWidth="1"/>
    <col min="768" max="768" width="19.625" style="29" customWidth="1"/>
    <col min="769" max="1019" width="12.625" style="29"/>
    <col min="1020" max="1020" width="20.625" style="29" customWidth="1"/>
    <col min="1021" max="1021" width="38.125" style="29" customWidth="1"/>
    <col min="1022" max="1022" width="17.25" style="29" customWidth="1"/>
    <col min="1023" max="1023" width="18.75" style="29" customWidth="1"/>
    <col min="1024" max="1024" width="19.625" style="29" customWidth="1"/>
    <col min="1025" max="1275" width="12.625" style="29"/>
    <col min="1276" max="1276" width="20.625" style="29" customWidth="1"/>
    <col min="1277" max="1277" width="38.125" style="29" customWidth="1"/>
    <col min="1278" max="1278" width="17.25" style="29" customWidth="1"/>
    <col min="1279" max="1279" width="18.75" style="29" customWidth="1"/>
    <col min="1280" max="1280" width="19.625" style="29" customWidth="1"/>
    <col min="1281" max="1531" width="12.625" style="29"/>
    <col min="1532" max="1532" width="20.625" style="29" customWidth="1"/>
    <col min="1533" max="1533" width="38.125" style="29" customWidth="1"/>
    <col min="1534" max="1534" width="17.25" style="29" customWidth="1"/>
    <col min="1535" max="1535" width="18.75" style="29" customWidth="1"/>
    <col min="1536" max="1536" width="19.625" style="29" customWidth="1"/>
    <col min="1537" max="1787" width="12.625" style="29"/>
    <col min="1788" max="1788" width="20.625" style="29" customWidth="1"/>
    <col min="1789" max="1789" width="38.125" style="29" customWidth="1"/>
    <col min="1790" max="1790" width="17.25" style="29" customWidth="1"/>
    <col min="1791" max="1791" width="18.75" style="29" customWidth="1"/>
    <col min="1792" max="1792" width="19.625" style="29" customWidth="1"/>
    <col min="1793" max="2043" width="12.625" style="29"/>
    <col min="2044" max="2044" width="20.625" style="29" customWidth="1"/>
    <col min="2045" max="2045" width="38.125" style="29" customWidth="1"/>
    <col min="2046" max="2046" width="17.25" style="29" customWidth="1"/>
    <col min="2047" max="2047" width="18.75" style="29" customWidth="1"/>
    <col min="2048" max="2048" width="19.625" style="29" customWidth="1"/>
    <col min="2049" max="2299" width="12.625" style="29"/>
    <col min="2300" max="2300" width="20.625" style="29" customWidth="1"/>
    <col min="2301" max="2301" width="38.125" style="29" customWidth="1"/>
    <col min="2302" max="2302" width="17.25" style="29" customWidth="1"/>
    <col min="2303" max="2303" width="18.75" style="29" customWidth="1"/>
    <col min="2304" max="2304" width="19.625" style="29" customWidth="1"/>
    <col min="2305" max="2555" width="12.625" style="29"/>
    <col min="2556" max="2556" width="20.625" style="29" customWidth="1"/>
    <col min="2557" max="2557" width="38.125" style="29" customWidth="1"/>
    <col min="2558" max="2558" width="17.25" style="29" customWidth="1"/>
    <col min="2559" max="2559" width="18.75" style="29" customWidth="1"/>
    <col min="2560" max="2560" width="19.625" style="29" customWidth="1"/>
    <col min="2561" max="2811" width="12.625" style="29"/>
    <col min="2812" max="2812" width="20.625" style="29" customWidth="1"/>
    <col min="2813" max="2813" width="38.125" style="29" customWidth="1"/>
    <col min="2814" max="2814" width="17.25" style="29" customWidth="1"/>
    <col min="2815" max="2815" width="18.75" style="29" customWidth="1"/>
    <col min="2816" max="2816" width="19.625" style="29" customWidth="1"/>
    <col min="2817" max="3067" width="12.625" style="29"/>
    <col min="3068" max="3068" width="20.625" style="29" customWidth="1"/>
    <col min="3069" max="3069" width="38.125" style="29" customWidth="1"/>
    <col min="3070" max="3070" width="17.25" style="29" customWidth="1"/>
    <col min="3071" max="3071" width="18.75" style="29" customWidth="1"/>
    <col min="3072" max="3072" width="19.625" style="29" customWidth="1"/>
    <col min="3073" max="3323" width="12.625" style="29"/>
    <col min="3324" max="3324" width="20.625" style="29" customWidth="1"/>
    <col min="3325" max="3325" width="38.125" style="29" customWidth="1"/>
    <col min="3326" max="3326" width="17.25" style="29" customWidth="1"/>
    <col min="3327" max="3327" width="18.75" style="29" customWidth="1"/>
    <col min="3328" max="3328" width="19.625" style="29" customWidth="1"/>
    <col min="3329" max="3579" width="12.625" style="29"/>
    <col min="3580" max="3580" width="20.625" style="29" customWidth="1"/>
    <col min="3581" max="3581" width="38.125" style="29" customWidth="1"/>
    <col min="3582" max="3582" width="17.25" style="29" customWidth="1"/>
    <col min="3583" max="3583" width="18.75" style="29" customWidth="1"/>
    <col min="3584" max="3584" width="19.625" style="29" customWidth="1"/>
    <col min="3585" max="3835" width="12.625" style="29"/>
    <col min="3836" max="3836" width="20.625" style="29" customWidth="1"/>
    <col min="3837" max="3837" width="38.125" style="29" customWidth="1"/>
    <col min="3838" max="3838" width="17.25" style="29" customWidth="1"/>
    <col min="3839" max="3839" width="18.75" style="29" customWidth="1"/>
    <col min="3840" max="3840" width="19.625" style="29" customWidth="1"/>
    <col min="3841" max="4091" width="12.625" style="29"/>
    <col min="4092" max="4092" width="20.625" style="29" customWidth="1"/>
    <col min="4093" max="4093" width="38.125" style="29" customWidth="1"/>
    <col min="4094" max="4094" width="17.25" style="29" customWidth="1"/>
    <col min="4095" max="4095" width="18.75" style="29" customWidth="1"/>
    <col min="4096" max="4096" width="19.625" style="29" customWidth="1"/>
    <col min="4097" max="4347" width="12.625" style="29"/>
    <col min="4348" max="4348" width="20.625" style="29" customWidth="1"/>
    <col min="4349" max="4349" width="38.125" style="29" customWidth="1"/>
    <col min="4350" max="4350" width="17.25" style="29" customWidth="1"/>
    <col min="4351" max="4351" width="18.75" style="29" customWidth="1"/>
    <col min="4352" max="4352" width="19.625" style="29" customWidth="1"/>
    <col min="4353" max="4603" width="12.625" style="29"/>
    <col min="4604" max="4604" width="20.625" style="29" customWidth="1"/>
    <col min="4605" max="4605" width="38.125" style="29" customWidth="1"/>
    <col min="4606" max="4606" width="17.25" style="29" customWidth="1"/>
    <col min="4607" max="4607" width="18.75" style="29" customWidth="1"/>
    <col min="4608" max="4608" width="19.625" style="29" customWidth="1"/>
    <col min="4609" max="4859" width="12.625" style="29"/>
    <col min="4860" max="4860" width="20.625" style="29" customWidth="1"/>
    <col min="4861" max="4861" width="38.125" style="29" customWidth="1"/>
    <col min="4862" max="4862" width="17.25" style="29" customWidth="1"/>
    <col min="4863" max="4863" width="18.75" style="29" customWidth="1"/>
    <col min="4864" max="4864" width="19.625" style="29" customWidth="1"/>
    <col min="4865" max="5115" width="12.625" style="29"/>
    <col min="5116" max="5116" width="20.625" style="29" customWidth="1"/>
    <col min="5117" max="5117" width="38.125" style="29" customWidth="1"/>
    <col min="5118" max="5118" width="17.25" style="29" customWidth="1"/>
    <col min="5119" max="5119" width="18.75" style="29" customWidth="1"/>
    <col min="5120" max="5120" width="19.625" style="29" customWidth="1"/>
    <col min="5121" max="5371" width="12.625" style="29"/>
    <col min="5372" max="5372" width="20.625" style="29" customWidth="1"/>
    <col min="5373" max="5373" width="38.125" style="29" customWidth="1"/>
    <col min="5374" max="5374" width="17.25" style="29" customWidth="1"/>
    <col min="5375" max="5375" width="18.75" style="29" customWidth="1"/>
    <col min="5376" max="5376" width="19.625" style="29" customWidth="1"/>
    <col min="5377" max="5627" width="12.625" style="29"/>
    <col min="5628" max="5628" width="20.625" style="29" customWidth="1"/>
    <col min="5629" max="5629" width="38.125" style="29" customWidth="1"/>
    <col min="5630" max="5630" width="17.25" style="29" customWidth="1"/>
    <col min="5631" max="5631" width="18.75" style="29" customWidth="1"/>
    <col min="5632" max="5632" width="19.625" style="29" customWidth="1"/>
    <col min="5633" max="5883" width="12.625" style="29"/>
    <col min="5884" max="5884" width="20.625" style="29" customWidth="1"/>
    <col min="5885" max="5885" width="38.125" style="29" customWidth="1"/>
    <col min="5886" max="5886" width="17.25" style="29" customWidth="1"/>
    <col min="5887" max="5887" width="18.75" style="29" customWidth="1"/>
    <col min="5888" max="5888" width="19.625" style="29" customWidth="1"/>
    <col min="5889" max="6139" width="12.625" style="29"/>
    <col min="6140" max="6140" width="20.625" style="29" customWidth="1"/>
    <col min="6141" max="6141" width="38.125" style="29" customWidth="1"/>
    <col min="6142" max="6142" width="17.25" style="29" customWidth="1"/>
    <col min="6143" max="6143" width="18.75" style="29" customWidth="1"/>
    <col min="6144" max="6144" width="19.625" style="29" customWidth="1"/>
    <col min="6145" max="6395" width="12.625" style="29"/>
    <col min="6396" max="6396" width="20.625" style="29" customWidth="1"/>
    <col min="6397" max="6397" width="38.125" style="29" customWidth="1"/>
    <col min="6398" max="6398" width="17.25" style="29" customWidth="1"/>
    <col min="6399" max="6399" width="18.75" style="29" customWidth="1"/>
    <col min="6400" max="6400" width="19.625" style="29" customWidth="1"/>
    <col min="6401" max="6651" width="12.625" style="29"/>
    <col min="6652" max="6652" width="20.625" style="29" customWidth="1"/>
    <col min="6653" max="6653" width="38.125" style="29" customWidth="1"/>
    <col min="6654" max="6654" width="17.25" style="29" customWidth="1"/>
    <col min="6655" max="6655" width="18.75" style="29" customWidth="1"/>
    <col min="6656" max="6656" width="19.625" style="29" customWidth="1"/>
    <col min="6657" max="6907" width="12.625" style="29"/>
    <col min="6908" max="6908" width="20.625" style="29" customWidth="1"/>
    <col min="6909" max="6909" width="38.125" style="29" customWidth="1"/>
    <col min="6910" max="6910" width="17.25" style="29" customWidth="1"/>
    <col min="6911" max="6911" width="18.75" style="29" customWidth="1"/>
    <col min="6912" max="6912" width="19.625" style="29" customWidth="1"/>
    <col min="6913" max="7163" width="12.625" style="29"/>
    <col min="7164" max="7164" width="20.625" style="29" customWidth="1"/>
    <col min="7165" max="7165" width="38.125" style="29" customWidth="1"/>
    <col min="7166" max="7166" width="17.25" style="29" customWidth="1"/>
    <col min="7167" max="7167" width="18.75" style="29" customWidth="1"/>
    <col min="7168" max="7168" width="19.625" style="29" customWidth="1"/>
    <col min="7169" max="7419" width="12.625" style="29"/>
    <col min="7420" max="7420" width="20.625" style="29" customWidth="1"/>
    <col min="7421" max="7421" width="38.125" style="29" customWidth="1"/>
    <col min="7422" max="7422" width="17.25" style="29" customWidth="1"/>
    <col min="7423" max="7423" width="18.75" style="29" customWidth="1"/>
    <col min="7424" max="7424" width="19.625" style="29" customWidth="1"/>
    <col min="7425" max="7675" width="12.625" style="29"/>
    <col min="7676" max="7676" width="20.625" style="29" customWidth="1"/>
    <col min="7677" max="7677" width="38.125" style="29" customWidth="1"/>
    <col min="7678" max="7678" width="17.25" style="29" customWidth="1"/>
    <col min="7679" max="7679" width="18.75" style="29" customWidth="1"/>
    <col min="7680" max="7680" width="19.625" style="29" customWidth="1"/>
    <col min="7681" max="7931" width="12.625" style="29"/>
    <col min="7932" max="7932" width="20.625" style="29" customWidth="1"/>
    <col min="7933" max="7933" width="38.125" style="29" customWidth="1"/>
    <col min="7934" max="7934" width="17.25" style="29" customWidth="1"/>
    <col min="7935" max="7935" width="18.75" style="29" customWidth="1"/>
    <col min="7936" max="7936" width="19.625" style="29" customWidth="1"/>
    <col min="7937" max="8187" width="12.625" style="29"/>
    <col min="8188" max="8188" width="20.625" style="29" customWidth="1"/>
    <col min="8189" max="8189" width="38.125" style="29" customWidth="1"/>
    <col min="8190" max="8190" width="17.25" style="29" customWidth="1"/>
    <col min="8191" max="8191" width="18.75" style="29" customWidth="1"/>
    <col min="8192" max="8192" width="19.625" style="29" customWidth="1"/>
    <col min="8193" max="8443" width="12.625" style="29"/>
    <col min="8444" max="8444" width="20.625" style="29" customWidth="1"/>
    <col min="8445" max="8445" width="38.125" style="29" customWidth="1"/>
    <col min="8446" max="8446" width="17.25" style="29" customWidth="1"/>
    <col min="8447" max="8447" width="18.75" style="29" customWidth="1"/>
    <col min="8448" max="8448" width="19.625" style="29" customWidth="1"/>
    <col min="8449" max="8699" width="12.625" style="29"/>
    <col min="8700" max="8700" width="20.625" style="29" customWidth="1"/>
    <col min="8701" max="8701" width="38.125" style="29" customWidth="1"/>
    <col min="8702" max="8702" width="17.25" style="29" customWidth="1"/>
    <col min="8703" max="8703" width="18.75" style="29" customWidth="1"/>
    <col min="8704" max="8704" width="19.625" style="29" customWidth="1"/>
    <col min="8705" max="8955" width="12.625" style="29"/>
    <col min="8956" max="8956" width="20.625" style="29" customWidth="1"/>
    <col min="8957" max="8957" width="38.125" style="29" customWidth="1"/>
    <col min="8958" max="8958" width="17.25" style="29" customWidth="1"/>
    <col min="8959" max="8959" width="18.75" style="29" customWidth="1"/>
    <col min="8960" max="8960" width="19.625" style="29" customWidth="1"/>
    <col min="8961" max="9211" width="12.625" style="29"/>
    <col min="9212" max="9212" width="20.625" style="29" customWidth="1"/>
    <col min="9213" max="9213" width="38.125" style="29" customWidth="1"/>
    <col min="9214" max="9214" width="17.25" style="29" customWidth="1"/>
    <col min="9215" max="9215" width="18.75" style="29" customWidth="1"/>
    <col min="9216" max="9216" width="19.625" style="29" customWidth="1"/>
    <col min="9217" max="9467" width="12.625" style="29"/>
    <col min="9468" max="9468" width="20.625" style="29" customWidth="1"/>
    <col min="9469" max="9469" width="38.125" style="29" customWidth="1"/>
    <col min="9470" max="9470" width="17.25" style="29" customWidth="1"/>
    <col min="9471" max="9471" width="18.75" style="29" customWidth="1"/>
    <col min="9472" max="9472" width="19.625" style="29" customWidth="1"/>
    <col min="9473" max="9723" width="12.625" style="29"/>
    <col min="9724" max="9724" width="20.625" style="29" customWidth="1"/>
    <col min="9725" max="9725" width="38.125" style="29" customWidth="1"/>
    <col min="9726" max="9726" width="17.25" style="29" customWidth="1"/>
    <col min="9727" max="9727" width="18.75" style="29" customWidth="1"/>
    <col min="9728" max="9728" width="19.625" style="29" customWidth="1"/>
    <col min="9729" max="9979" width="12.625" style="29"/>
    <col min="9980" max="9980" width="20.625" style="29" customWidth="1"/>
    <col min="9981" max="9981" width="38.125" style="29" customWidth="1"/>
    <col min="9982" max="9982" width="17.25" style="29" customWidth="1"/>
    <col min="9983" max="9983" width="18.75" style="29" customWidth="1"/>
    <col min="9984" max="9984" width="19.625" style="29" customWidth="1"/>
    <col min="9985" max="10235" width="12.625" style="29"/>
    <col min="10236" max="10236" width="20.625" style="29" customWidth="1"/>
    <col min="10237" max="10237" width="38.125" style="29" customWidth="1"/>
    <col min="10238" max="10238" width="17.25" style="29" customWidth="1"/>
    <col min="10239" max="10239" width="18.75" style="29" customWidth="1"/>
    <col min="10240" max="10240" width="19.625" style="29" customWidth="1"/>
    <col min="10241" max="10491" width="12.625" style="29"/>
    <col min="10492" max="10492" width="20.625" style="29" customWidth="1"/>
    <col min="10493" max="10493" width="38.125" style="29" customWidth="1"/>
    <col min="10494" max="10494" width="17.25" style="29" customWidth="1"/>
    <col min="10495" max="10495" width="18.75" style="29" customWidth="1"/>
    <col min="10496" max="10496" width="19.625" style="29" customWidth="1"/>
    <col min="10497" max="10747" width="12.625" style="29"/>
    <col min="10748" max="10748" width="20.625" style="29" customWidth="1"/>
    <col min="10749" max="10749" width="38.125" style="29" customWidth="1"/>
    <col min="10750" max="10750" width="17.25" style="29" customWidth="1"/>
    <col min="10751" max="10751" width="18.75" style="29" customWidth="1"/>
    <col min="10752" max="10752" width="19.625" style="29" customWidth="1"/>
    <col min="10753" max="11003" width="12.625" style="29"/>
    <col min="11004" max="11004" width="20.625" style="29" customWidth="1"/>
    <col min="11005" max="11005" width="38.125" style="29" customWidth="1"/>
    <col min="11006" max="11006" width="17.25" style="29" customWidth="1"/>
    <col min="11007" max="11007" width="18.75" style="29" customWidth="1"/>
    <col min="11008" max="11008" width="19.625" style="29" customWidth="1"/>
    <col min="11009" max="11259" width="12.625" style="29"/>
    <col min="11260" max="11260" width="20.625" style="29" customWidth="1"/>
    <col min="11261" max="11261" width="38.125" style="29" customWidth="1"/>
    <col min="11262" max="11262" width="17.25" style="29" customWidth="1"/>
    <col min="11263" max="11263" width="18.75" style="29" customWidth="1"/>
    <col min="11264" max="11264" width="19.625" style="29" customWidth="1"/>
    <col min="11265" max="11515" width="12.625" style="29"/>
    <col min="11516" max="11516" width="20.625" style="29" customWidth="1"/>
    <col min="11517" max="11517" width="38.125" style="29" customWidth="1"/>
    <col min="11518" max="11518" width="17.25" style="29" customWidth="1"/>
    <col min="11519" max="11519" width="18.75" style="29" customWidth="1"/>
    <col min="11520" max="11520" width="19.625" style="29" customWidth="1"/>
    <col min="11521" max="11771" width="12.625" style="29"/>
    <col min="11772" max="11772" width="20.625" style="29" customWidth="1"/>
    <col min="11773" max="11773" width="38.125" style="29" customWidth="1"/>
    <col min="11774" max="11774" width="17.25" style="29" customWidth="1"/>
    <col min="11775" max="11775" width="18.75" style="29" customWidth="1"/>
    <col min="11776" max="11776" width="19.625" style="29" customWidth="1"/>
    <col min="11777" max="12027" width="12.625" style="29"/>
    <col min="12028" max="12028" width="20.625" style="29" customWidth="1"/>
    <col min="12029" max="12029" width="38.125" style="29" customWidth="1"/>
    <col min="12030" max="12030" width="17.25" style="29" customWidth="1"/>
    <col min="12031" max="12031" width="18.75" style="29" customWidth="1"/>
    <col min="12032" max="12032" width="19.625" style="29" customWidth="1"/>
    <col min="12033" max="12283" width="12.625" style="29"/>
    <col min="12284" max="12284" width="20.625" style="29" customWidth="1"/>
    <col min="12285" max="12285" width="38.125" style="29" customWidth="1"/>
    <col min="12286" max="12286" width="17.25" style="29" customWidth="1"/>
    <col min="12287" max="12287" width="18.75" style="29" customWidth="1"/>
    <col min="12288" max="12288" width="19.625" style="29" customWidth="1"/>
    <col min="12289" max="12539" width="12.625" style="29"/>
    <col min="12540" max="12540" width="20.625" style="29" customWidth="1"/>
    <col min="12541" max="12541" width="38.125" style="29" customWidth="1"/>
    <col min="12542" max="12542" width="17.25" style="29" customWidth="1"/>
    <col min="12543" max="12543" width="18.75" style="29" customWidth="1"/>
    <col min="12544" max="12544" width="19.625" style="29" customWidth="1"/>
    <col min="12545" max="12795" width="12.625" style="29"/>
    <col min="12796" max="12796" width="20.625" style="29" customWidth="1"/>
    <col min="12797" max="12797" width="38.125" style="29" customWidth="1"/>
    <col min="12798" max="12798" width="17.25" style="29" customWidth="1"/>
    <col min="12799" max="12799" width="18.75" style="29" customWidth="1"/>
    <col min="12800" max="12800" width="19.625" style="29" customWidth="1"/>
    <col min="12801" max="13051" width="12.625" style="29"/>
    <col min="13052" max="13052" width="20.625" style="29" customWidth="1"/>
    <col min="13053" max="13053" width="38.125" style="29" customWidth="1"/>
    <col min="13054" max="13054" width="17.25" style="29" customWidth="1"/>
    <col min="13055" max="13055" width="18.75" style="29" customWidth="1"/>
    <col min="13056" max="13056" width="19.625" style="29" customWidth="1"/>
    <col min="13057" max="13307" width="12.625" style="29"/>
    <col min="13308" max="13308" width="20.625" style="29" customWidth="1"/>
    <col min="13309" max="13309" width="38.125" style="29" customWidth="1"/>
    <col min="13310" max="13310" width="17.25" style="29" customWidth="1"/>
    <col min="13311" max="13311" width="18.75" style="29" customWidth="1"/>
    <col min="13312" max="13312" width="19.625" style="29" customWidth="1"/>
    <col min="13313" max="13563" width="12.625" style="29"/>
    <col min="13564" max="13564" width="20.625" style="29" customWidth="1"/>
    <col min="13565" max="13565" width="38.125" style="29" customWidth="1"/>
    <col min="13566" max="13566" width="17.25" style="29" customWidth="1"/>
    <col min="13567" max="13567" width="18.75" style="29" customWidth="1"/>
    <col min="13568" max="13568" width="19.625" style="29" customWidth="1"/>
    <col min="13569" max="13819" width="12.625" style="29"/>
    <col min="13820" max="13820" width="20.625" style="29" customWidth="1"/>
    <col min="13821" max="13821" width="38.125" style="29" customWidth="1"/>
    <col min="13822" max="13822" width="17.25" style="29" customWidth="1"/>
    <col min="13823" max="13823" width="18.75" style="29" customWidth="1"/>
    <col min="13824" max="13824" width="19.625" style="29" customWidth="1"/>
    <col min="13825" max="14075" width="12.625" style="29"/>
    <col min="14076" max="14076" width="20.625" style="29" customWidth="1"/>
    <col min="14077" max="14077" width="38.125" style="29" customWidth="1"/>
    <col min="14078" max="14078" width="17.25" style="29" customWidth="1"/>
    <col min="14079" max="14079" width="18.75" style="29" customWidth="1"/>
    <col min="14080" max="14080" width="19.625" style="29" customWidth="1"/>
    <col min="14081" max="14331" width="12.625" style="29"/>
    <col min="14332" max="14332" width="20.625" style="29" customWidth="1"/>
    <col min="14333" max="14333" width="38.125" style="29" customWidth="1"/>
    <col min="14334" max="14334" width="17.25" style="29" customWidth="1"/>
    <col min="14335" max="14335" width="18.75" style="29" customWidth="1"/>
    <col min="14336" max="14336" width="19.625" style="29" customWidth="1"/>
    <col min="14337" max="14587" width="12.625" style="29"/>
    <col min="14588" max="14588" width="20.625" style="29" customWidth="1"/>
    <col min="14589" max="14589" width="38.125" style="29" customWidth="1"/>
    <col min="14590" max="14590" width="17.25" style="29" customWidth="1"/>
    <col min="14591" max="14591" width="18.75" style="29" customWidth="1"/>
    <col min="14592" max="14592" width="19.625" style="29" customWidth="1"/>
    <col min="14593" max="14843" width="12.625" style="29"/>
    <col min="14844" max="14844" width="20.625" style="29" customWidth="1"/>
    <col min="14845" max="14845" width="38.125" style="29" customWidth="1"/>
    <col min="14846" max="14846" width="17.25" style="29" customWidth="1"/>
    <col min="14847" max="14847" width="18.75" style="29" customWidth="1"/>
    <col min="14848" max="14848" width="19.625" style="29" customWidth="1"/>
    <col min="14849" max="15099" width="12.625" style="29"/>
    <col min="15100" max="15100" width="20.625" style="29" customWidth="1"/>
    <col min="15101" max="15101" width="38.125" style="29" customWidth="1"/>
    <col min="15102" max="15102" width="17.25" style="29" customWidth="1"/>
    <col min="15103" max="15103" width="18.75" style="29" customWidth="1"/>
    <col min="15104" max="15104" width="19.625" style="29" customWidth="1"/>
    <col min="15105" max="15355" width="12.625" style="29"/>
    <col min="15356" max="15356" width="20.625" style="29" customWidth="1"/>
    <col min="15357" max="15357" width="38.125" style="29" customWidth="1"/>
    <col min="15358" max="15358" width="17.25" style="29" customWidth="1"/>
    <col min="15359" max="15359" width="18.75" style="29" customWidth="1"/>
    <col min="15360" max="15360" width="19.625" style="29" customWidth="1"/>
    <col min="15361" max="15611" width="12.625" style="29"/>
    <col min="15612" max="15612" width="20.625" style="29" customWidth="1"/>
    <col min="15613" max="15613" width="38.125" style="29" customWidth="1"/>
    <col min="15614" max="15614" width="17.25" style="29" customWidth="1"/>
    <col min="15615" max="15615" width="18.75" style="29" customWidth="1"/>
    <col min="15616" max="15616" width="19.625" style="29" customWidth="1"/>
    <col min="15617" max="15867" width="12.625" style="29"/>
    <col min="15868" max="15868" width="20.625" style="29" customWidth="1"/>
    <col min="15869" max="15869" width="38.125" style="29" customWidth="1"/>
    <col min="15870" max="15870" width="17.25" style="29" customWidth="1"/>
    <col min="15871" max="15871" width="18.75" style="29" customWidth="1"/>
    <col min="15872" max="15872" width="19.625" style="29" customWidth="1"/>
    <col min="15873" max="16123" width="12.625" style="29"/>
    <col min="16124" max="16124" width="20.625" style="29" customWidth="1"/>
    <col min="16125" max="16125" width="38.125" style="29" customWidth="1"/>
    <col min="16126" max="16126" width="17.25" style="29" customWidth="1"/>
    <col min="16127" max="16127" width="18.75" style="29" customWidth="1"/>
    <col min="16128" max="16128" width="19.625" style="29" customWidth="1"/>
    <col min="16129" max="16384" width="12.625" style="29"/>
  </cols>
  <sheetData>
    <row r="1" spans="1:5" ht="20.100000000000001" customHeight="1">
      <c r="A1" s="27" t="s">
        <v>1045</v>
      </c>
      <c r="B1" s="27"/>
    </row>
    <row r="2" spans="1:5" ht="17.25" customHeight="1">
      <c r="C2" s="7"/>
      <c r="D2" s="58"/>
    </row>
    <row r="3" spans="1:5" ht="20.100000000000001" customHeight="1">
      <c r="A3" s="2157">
        <f>장기선수수익!A3</f>
        <v>45504</v>
      </c>
      <c r="B3" s="2188"/>
      <c r="C3" s="2188"/>
      <c r="D3" s="30"/>
      <c r="E3" s="31" t="s">
        <v>0</v>
      </c>
    </row>
    <row r="4" spans="1:5" ht="21.95" customHeight="1">
      <c r="A4" s="1628" t="s">
        <v>1058</v>
      </c>
      <c r="B4" s="1628" t="s">
        <v>1059</v>
      </c>
      <c r="C4" s="1628" t="s">
        <v>1060</v>
      </c>
      <c r="D4" s="1641" t="s">
        <v>3</v>
      </c>
      <c r="E4" s="1631" t="s">
        <v>4</v>
      </c>
    </row>
    <row r="5" spans="1:5" ht="21.95" customHeight="1">
      <c r="A5" s="1685" t="s">
        <v>1390</v>
      </c>
      <c r="B5" s="1635" t="s">
        <v>963</v>
      </c>
      <c r="C5" s="1645" t="s">
        <v>1391</v>
      </c>
      <c r="D5" s="1636">
        <v>38063310</v>
      </c>
      <c r="E5" s="1637"/>
    </row>
    <row r="6" spans="1:5" ht="21.95" customHeight="1">
      <c r="A6" s="1697" t="s">
        <v>1421</v>
      </c>
      <c r="B6" s="1698" t="s">
        <v>1318</v>
      </c>
      <c r="C6" s="1649" t="s">
        <v>1420</v>
      </c>
      <c r="D6" s="1699">
        <v>277200</v>
      </c>
      <c r="E6" s="1671"/>
    </row>
    <row r="7" spans="1:5" ht="21.95" customHeight="1">
      <c r="A7" s="1648" t="s">
        <v>1385</v>
      </c>
      <c r="B7" s="1649" t="s">
        <v>1217</v>
      </c>
      <c r="C7" s="1692" t="s">
        <v>1373</v>
      </c>
      <c r="D7" s="1650">
        <v>495800</v>
      </c>
      <c r="E7" s="1651"/>
    </row>
    <row r="8" spans="1:5" ht="21.95" customHeight="1">
      <c r="A8" s="1691" t="s">
        <v>1385</v>
      </c>
      <c r="B8" s="1692" t="s">
        <v>1057</v>
      </c>
      <c r="C8" s="1693" t="s">
        <v>1379</v>
      </c>
      <c r="D8" s="1694">
        <v>440000</v>
      </c>
      <c r="E8" s="1695"/>
    </row>
    <row r="9" spans="1:5" ht="21.95" customHeight="1">
      <c r="A9" s="1691" t="s">
        <v>1407</v>
      </c>
      <c r="B9" s="1692" t="s">
        <v>969</v>
      </c>
      <c r="C9" s="1693" t="s">
        <v>1406</v>
      </c>
      <c r="D9" s="1996">
        <v>253990</v>
      </c>
      <c r="E9" s="1695"/>
    </row>
    <row r="10" spans="1:5" ht="21.95" customHeight="1">
      <c r="A10" s="1691" t="s">
        <v>1389</v>
      </c>
      <c r="B10" s="1692" t="s">
        <v>1342</v>
      </c>
      <c r="C10" s="1994" t="s">
        <v>1382</v>
      </c>
      <c r="D10" s="1996">
        <v>1680680942</v>
      </c>
      <c r="E10" s="1997"/>
    </row>
    <row r="11" spans="1:5" ht="21.95" customHeight="1">
      <c r="A11" s="1691" t="s">
        <v>1397</v>
      </c>
      <c r="B11" s="1692" t="s">
        <v>959</v>
      </c>
      <c r="C11" s="1696" t="s">
        <v>1398</v>
      </c>
      <c r="D11" s="1694">
        <v>165000</v>
      </c>
      <c r="E11" s="1695"/>
    </row>
    <row r="12" spans="1:5" ht="21.95" customHeight="1">
      <c r="A12" s="1691" t="s">
        <v>1402</v>
      </c>
      <c r="B12" s="1692" t="s">
        <v>1105</v>
      </c>
      <c r="C12" s="1995" t="s">
        <v>1401</v>
      </c>
      <c r="D12" s="1996">
        <v>668800</v>
      </c>
      <c r="E12" s="1997"/>
    </row>
    <row r="13" spans="1:5" ht="21.95" customHeight="1">
      <c r="A13" s="1691" t="s">
        <v>1337</v>
      </c>
      <c r="B13" s="1692" t="s">
        <v>1055</v>
      </c>
      <c r="C13" s="1693" t="s">
        <v>1365</v>
      </c>
      <c r="D13" s="1694">
        <v>963600</v>
      </c>
      <c r="E13" s="1695"/>
    </row>
    <row r="14" spans="1:5" ht="21.95" customHeight="1">
      <c r="A14" s="1691" t="s">
        <v>1387</v>
      </c>
      <c r="B14" s="1692" t="s">
        <v>961</v>
      </c>
      <c r="C14" s="1692" t="s">
        <v>1380</v>
      </c>
      <c r="D14" s="1694">
        <v>299060</v>
      </c>
      <c r="E14" s="1695"/>
    </row>
    <row r="15" spans="1:5" ht="21.95" customHeight="1">
      <c r="A15" s="1691" t="s">
        <v>1400</v>
      </c>
      <c r="B15" s="1692" t="s">
        <v>1307</v>
      </c>
      <c r="C15" s="1994" t="s">
        <v>1399</v>
      </c>
      <c r="D15" s="1996">
        <v>38500</v>
      </c>
      <c r="E15" s="1997"/>
    </row>
    <row r="16" spans="1:5" ht="21.95" customHeight="1">
      <c r="A16" s="1691" t="s">
        <v>1386</v>
      </c>
      <c r="B16" s="1692" t="s">
        <v>1306</v>
      </c>
      <c r="C16" s="1692" t="s">
        <v>1377</v>
      </c>
      <c r="D16" s="1694">
        <v>1285680</v>
      </c>
      <c r="E16" s="1695"/>
    </row>
    <row r="17" spans="1:5" ht="21.95" customHeight="1">
      <c r="A17" s="1691" t="s">
        <v>1415</v>
      </c>
      <c r="B17" s="1692" t="s">
        <v>1361</v>
      </c>
      <c r="C17" s="1693" t="s">
        <v>1414</v>
      </c>
      <c r="D17" s="1694">
        <v>1191000</v>
      </c>
      <c r="E17" s="1695"/>
    </row>
    <row r="18" spans="1:5" ht="21.95" customHeight="1">
      <c r="A18" s="1691" t="s">
        <v>1409</v>
      </c>
      <c r="B18" s="1692" t="s">
        <v>1153</v>
      </c>
      <c r="C18" s="1693" t="s">
        <v>1408</v>
      </c>
      <c r="D18" s="1694">
        <v>33000</v>
      </c>
      <c r="E18" s="1695"/>
    </row>
    <row r="19" spans="1:5" ht="21.95" customHeight="1">
      <c r="A19" s="1691" t="s">
        <v>1364</v>
      </c>
      <c r="B19" s="1692" t="s">
        <v>1106</v>
      </c>
      <c r="C19" s="1693" t="s">
        <v>1363</v>
      </c>
      <c r="D19" s="1694">
        <v>8774680</v>
      </c>
      <c r="E19" s="1695"/>
    </row>
    <row r="20" spans="1:5" ht="21.95" customHeight="1">
      <c r="A20" s="1691" t="s">
        <v>1336</v>
      </c>
      <c r="B20" s="1692" t="s">
        <v>1305</v>
      </c>
      <c r="C20" s="1693" t="s">
        <v>1366</v>
      </c>
      <c r="D20" s="1694">
        <v>365200</v>
      </c>
      <c r="E20" s="1695"/>
    </row>
    <row r="21" spans="1:5" ht="21.95" customHeight="1">
      <c r="A21" s="1691" t="s">
        <v>1336</v>
      </c>
      <c r="B21" s="1692" t="s">
        <v>965</v>
      </c>
      <c r="C21" s="1995" t="s">
        <v>1367</v>
      </c>
      <c r="D21" s="1996">
        <v>3676420</v>
      </c>
      <c r="E21" s="1997"/>
    </row>
    <row r="22" spans="1:5" ht="21.95" customHeight="1">
      <c r="A22" s="1691" t="s">
        <v>1336</v>
      </c>
      <c r="B22" s="1692" t="s">
        <v>958</v>
      </c>
      <c r="C22" s="1692" t="s">
        <v>1368</v>
      </c>
      <c r="D22" s="1694">
        <v>59499039</v>
      </c>
      <c r="E22" s="1695"/>
    </row>
    <row r="23" spans="1:5" ht="21.95" customHeight="1">
      <c r="A23" s="1691" t="s">
        <v>1336</v>
      </c>
      <c r="B23" s="1692" t="s">
        <v>967</v>
      </c>
      <c r="C23" s="1696" t="s">
        <v>1369</v>
      </c>
      <c r="D23" s="1694">
        <v>44053403</v>
      </c>
      <c r="E23" s="1695"/>
    </row>
    <row r="24" spans="1:5" ht="21.95" customHeight="1">
      <c r="A24" s="1691" t="s">
        <v>1336</v>
      </c>
      <c r="B24" s="1692" t="s">
        <v>1357</v>
      </c>
      <c r="C24" s="1693" t="s">
        <v>1370</v>
      </c>
      <c r="D24" s="1694">
        <v>224400</v>
      </c>
      <c r="E24" s="1695"/>
    </row>
    <row r="25" spans="1:5" ht="21.95" customHeight="1">
      <c r="A25" s="1691" t="s">
        <v>1336</v>
      </c>
      <c r="B25" s="1692" t="s">
        <v>972</v>
      </c>
      <c r="C25" s="1693" t="s">
        <v>1371</v>
      </c>
      <c r="D25" s="1694">
        <v>31870300</v>
      </c>
      <c r="E25" s="1695"/>
    </row>
    <row r="26" spans="1:5" ht="21.95" customHeight="1">
      <c r="A26" s="1691" t="s">
        <v>1336</v>
      </c>
      <c r="B26" s="1692" t="s">
        <v>1093</v>
      </c>
      <c r="C26" s="1693" t="s">
        <v>1372</v>
      </c>
      <c r="D26" s="1694">
        <v>8799340</v>
      </c>
      <c r="E26" s="1695"/>
    </row>
    <row r="27" spans="1:5" ht="21.95" customHeight="1">
      <c r="A27" s="2018" t="s">
        <v>1336</v>
      </c>
      <c r="B27" s="1692" t="s">
        <v>1056</v>
      </c>
      <c r="C27" s="2019" t="s">
        <v>1374</v>
      </c>
      <c r="D27" s="2020">
        <v>441650</v>
      </c>
      <c r="E27" s="2021"/>
    </row>
    <row r="28" spans="1:5" ht="21.95" customHeight="1">
      <c r="A28" s="2018" t="s">
        <v>1336</v>
      </c>
      <c r="B28" s="1692" t="s">
        <v>960</v>
      </c>
      <c r="C28" s="2019" t="s">
        <v>1375</v>
      </c>
      <c r="D28" s="2020">
        <v>245520</v>
      </c>
      <c r="E28" s="2021"/>
    </row>
    <row r="29" spans="1:5" ht="21.95" customHeight="1">
      <c r="A29" s="2018" t="s">
        <v>1336</v>
      </c>
      <c r="B29" s="1692" t="s">
        <v>968</v>
      </c>
      <c r="C29" s="1692" t="s">
        <v>1376</v>
      </c>
      <c r="D29" s="1694">
        <v>1776940</v>
      </c>
      <c r="E29" s="1695"/>
    </row>
    <row r="30" spans="1:5" ht="21.95" customHeight="1">
      <c r="A30" s="2018" t="s">
        <v>1324</v>
      </c>
      <c r="B30" s="1692" t="s">
        <v>962</v>
      </c>
      <c r="C30" s="1726" t="s">
        <v>1378</v>
      </c>
      <c r="D30" s="1694">
        <v>58128400</v>
      </c>
      <c r="E30" s="1695"/>
    </row>
    <row r="31" spans="1:5" ht="21.95" customHeight="1">
      <c r="A31" s="2018" t="s">
        <v>1388</v>
      </c>
      <c r="B31" s="1692" t="s">
        <v>901</v>
      </c>
      <c r="C31" s="1693" t="s">
        <v>1381</v>
      </c>
      <c r="D31" s="1694">
        <v>308000</v>
      </c>
      <c r="E31" s="1695"/>
    </row>
    <row r="32" spans="1:5" ht="21.95" customHeight="1">
      <c r="A32" s="1691" t="s">
        <v>1388</v>
      </c>
      <c r="B32" s="1692" t="s">
        <v>1358</v>
      </c>
      <c r="C32" s="1693" t="s">
        <v>1383</v>
      </c>
      <c r="D32" s="1694">
        <v>2607000</v>
      </c>
      <c r="E32" s="1695"/>
    </row>
    <row r="33" spans="1:5" ht="21.95" customHeight="1">
      <c r="A33" s="1691" t="s">
        <v>1324</v>
      </c>
      <c r="B33" s="1692" t="s">
        <v>1253</v>
      </c>
      <c r="C33" s="1726" t="s">
        <v>1384</v>
      </c>
      <c r="D33" s="1694">
        <v>4950000</v>
      </c>
      <c r="E33" s="1695"/>
    </row>
    <row r="34" spans="1:5" ht="21.95" customHeight="1">
      <c r="A34" s="1691" t="s">
        <v>1351</v>
      </c>
      <c r="B34" s="1692" t="s">
        <v>963</v>
      </c>
      <c r="C34" s="1726" t="s">
        <v>1392</v>
      </c>
      <c r="D34" s="1694">
        <v>17842650</v>
      </c>
      <c r="E34" s="1695"/>
    </row>
    <row r="35" spans="1:5" ht="21.95" customHeight="1">
      <c r="A35" s="1691" t="s">
        <v>1351</v>
      </c>
      <c r="B35" s="1692" t="s">
        <v>963</v>
      </c>
      <c r="C35" s="1693" t="s">
        <v>1393</v>
      </c>
      <c r="D35" s="1694">
        <v>877350</v>
      </c>
      <c r="E35" s="1695"/>
    </row>
    <row r="36" spans="1:5" ht="21.95" customHeight="1">
      <c r="A36" s="1691" t="s">
        <v>1351</v>
      </c>
      <c r="B36" s="1692" t="s">
        <v>964</v>
      </c>
      <c r="C36" s="1693" t="s">
        <v>1394</v>
      </c>
      <c r="D36" s="1694">
        <v>110623690</v>
      </c>
      <c r="E36" s="1695"/>
    </row>
    <row r="37" spans="1:5" ht="21.95" customHeight="1">
      <c r="A37" s="1691" t="s">
        <v>1351</v>
      </c>
      <c r="B37" s="1692" t="s">
        <v>1359</v>
      </c>
      <c r="C37" s="1692" t="s">
        <v>1395</v>
      </c>
      <c r="D37" s="1694">
        <v>150000</v>
      </c>
      <c r="E37" s="1695"/>
    </row>
    <row r="38" spans="1:5" ht="21.95" customHeight="1">
      <c r="A38" s="1691" t="s">
        <v>1351</v>
      </c>
      <c r="B38" s="1692" t="s">
        <v>1360</v>
      </c>
      <c r="C38" s="1998" t="s">
        <v>1396</v>
      </c>
      <c r="D38" s="1694">
        <v>1617000</v>
      </c>
      <c r="E38" s="1695"/>
    </row>
    <row r="39" spans="1:5" ht="21.95" customHeight="1">
      <c r="A39" s="1691" t="s">
        <v>1324</v>
      </c>
      <c r="B39" s="1692" t="s">
        <v>987</v>
      </c>
      <c r="C39" s="1692" t="s">
        <v>1403</v>
      </c>
      <c r="D39" s="1694">
        <v>583000</v>
      </c>
      <c r="E39" s="1695"/>
    </row>
    <row r="40" spans="1:5" ht="21.95" customHeight="1">
      <c r="A40" s="1691" t="s">
        <v>1324</v>
      </c>
      <c r="B40" s="1692" t="s">
        <v>957</v>
      </c>
      <c r="C40" s="1998" t="s">
        <v>1404</v>
      </c>
      <c r="D40" s="1694">
        <v>69097600</v>
      </c>
      <c r="E40" s="1695"/>
    </row>
    <row r="41" spans="1:5" ht="21.95" customHeight="1">
      <c r="A41" s="1993" t="s">
        <v>1324</v>
      </c>
      <c r="B41" s="1692" t="s">
        <v>1308</v>
      </c>
      <c r="C41" s="1995" t="s">
        <v>1405</v>
      </c>
      <c r="D41" s="1996">
        <v>90000</v>
      </c>
      <c r="E41" s="1997"/>
    </row>
    <row r="42" spans="1:5" ht="21.95" customHeight="1">
      <c r="A42" s="1993" t="s">
        <v>1324</v>
      </c>
      <c r="B42" s="1692" t="s">
        <v>1063</v>
      </c>
      <c r="C42" s="1994" t="s">
        <v>1410</v>
      </c>
      <c r="D42" s="1996">
        <v>17688858</v>
      </c>
      <c r="E42" s="1997"/>
    </row>
    <row r="43" spans="1:5" ht="21.95" customHeight="1">
      <c r="A43" s="1993" t="s">
        <v>1324</v>
      </c>
      <c r="B43" s="1692" t="s">
        <v>973</v>
      </c>
      <c r="C43" s="1994" t="s">
        <v>1411</v>
      </c>
      <c r="D43" s="1996">
        <v>5479925</v>
      </c>
      <c r="E43" s="1997"/>
    </row>
    <row r="44" spans="1:5" ht="21.95" customHeight="1">
      <c r="A44" s="1691" t="s">
        <v>1351</v>
      </c>
      <c r="B44" s="1692" t="s">
        <v>971</v>
      </c>
      <c r="C44" s="1696" t="s">
        <v>1412</v>
      </c>
      <c r="D44" s="1694">
        <v>103004000</v>
      </c>
      <c r="E44" s="1695"/>
    </row>
    <row r="45" spans="1:5" ht="21.95" customHeight="1">
      <c r="A45" s="1691" t="s">
        <v>1351</v>
      </c>
      <c r="B45" s="1692" t="s">
        <v>966</v>
      </c>
      <c r="C45" s="1696" t="s">
        <v>1413</v>
      </c>
      <c r="D45" s="1694">
        <v>3305588</v>
      </c>
      <c r="E45" s="1695"/>
    </row>
    <row r="46" spans="1:5" ht="21.95" customHeight="1">
      <c r="A46" s="1691" t="s">
        <v>1417</v>
      </c>
      <c r="B46" s="1692" t="s">
        <v>970</v>
      </c>
      <c r="C46" s="1693" t="s">
        <v>1416</v>
      </c>
      <c r="D46" s="1694">
        <v>3083850</v>
      </c>
      <c r="E46" s="1683"/>
    </row>
    <row r="47" spans="1:5" ht="21.95" customHeight="1">
      <c r="A47" s="1691" t="s">
        <v>1419</v>
      </c>
      <c r="B47" s="1692" t="s">
        <v>956</v>
      </c>
      <c r="C47" s="1693" t="s">
        <v>1418</v>
      </c>
      <c r="D47" s="1694">
        <v>11838200</v>
      </c>
      <c r="E47" s="1695"/>
    </row>
    <row r="48" spans="1:5" ht="21.95" customHeight="1">
      <c r="A48" s="1993" t="s">
        <v>1423</v>
      </c>
      <c r="B48" s="1692" t="s">
        <v>955</v>
      </c>
      <c r="C48" s="1995" t="s">
        <v>1422</v>
      </c>
      <c r="D48" s="1996">
        <v>8253828</v>
      </c>
      <c r="E48" s="1997"/>
    </row>
    <row r="49" spans="1:5" ht="21.95" customHeight="1">
      <c r="A49" s="1691" t="s">
        <v>1351</v>
      </c>
      <c r="B49" s="1690" t="s">
        <v>1362</v>
      </c>
      <c r="C49" s="1696" t="s">
        <v>1424</v>
      </c>
      <c r="D49" s="1694">
        <v>30000</v>
      </c>
      <c r="E49" s="1695"/>
    </row>
    <row r="50" spans="1:5" ht="21.95" hidden="1" customHeight="1">
      <c r="A50" s="1691"/>
      <c r="B50" s="1692"/>
      <c r="C50" s="1693"/>
      <c r="D50" s="1694"/>
      <c r="E50" s="1683"/>
    </row>
    <row r="51" spans="1:5" ht="21.95" hidden="1" customHeight="1">
      <c r="A51" s="1691"/>
      <c r="B51" s="1692"/>
      <c r="C51" s="1690"/>
      <c r="D51" s="1694"/>
      <c r="E51" s="1683"/>
    </row>
    <row r="52" spans="1:5" ht="21.95" hidden="1" customHeight="1">
      <c r="A52" s="1762"/>
      <c r="B52" s="1763"/>
      <c r="C52" s="1763"/>
      <c r="D52" s="1764"/>
      <c r="E52" s="1761"/>
    </row>
    <row r="53" spans="1:5" ht="21.95" hidden="1" customHeight="1">
      <c r="A53" s="1691"/>
      <c r="B53" s="1692"/>
      <c r="C53" s="1693"/>
      <c r="D53" s="1694"/>
      <c r="E53" s="1683"/>
    </row>
    <row r="54" spans="1:5" ht="21.95" hidden="1" customHeight="1">
      <c r="A54" s="1691"/>
      <c r="B54" s="1692"/>
      <c r="C54" s="1690"/>
      <c r="D54" s="1694"/>
      <c r="E54" s="1683"/>
    </row>
    <row r="55" spans="1:5" ht="21.95" hidden="1" customHeight="1">
      <c r="A55" s="1762"/>
      <c r="B55" s="1763"/>
      <c r="C55" s="1763"/>
      <c r="D55" s="1764"/>
      <c r="E55" s="1761"/>
    </row>
    <row r="56" spans="1:5" ht="21.95" hidden="1" customHeight="1">
      <c r="A56" s="1691"/>
      <c r="B56" s="1692"/>
      <c r="C56" s="1693"/>
      <c r="D56" s="1694"/>
      <c r="E56" s="1683"/>
    </row>
    <row r="57" spans="1:5" ht="21.95" hidden="1" customHeight="1">
      <c r="A57" s="1691"/>
      <c r="B57" s="1692"/>
      <c r="C57" s="1690"/>
      <c r="D57" s="1694"/>
      <c r="E57" s="1683"/>
    </row>
    <row r="58" spans="1:5" ht="21.95" hidden="1" customHeight="1">
      <c r="A58" s="1762"/>
      <c r="B58" s="1763"/>
      <c r="C58" s="1763"/>
      <c r="D58" s="1764"/>
      <c r="E58" s="1761"/>
    </row>
    <row r="59" spans="1:5" ht="21.95" hidden="1" customHeight="1">
      <c r="A59" s="1691"/>
      <c r="B59" s="1692"/>
      <c r="C59" s="1693"/>
      <c r="D59" s="1694"/>
      <c r="E59" s="1683"/>
    </row>
    <row r="60" spans="1:5" ht="21.95" customHeight="1">
      <c r="A60" s="1628" t="s">
        <v>5</v>
      </c>
      <c r="B60" s="1628"/>
      <c r="C60" s="1628"/>
      <c r="D60" s="1642">
        <f>SUM(D5:D56)</f>
        <v>2304141713</v>
      </c>
      <c r="E60" s="1643"/>
    </row>
    <row r="61" spans="1:5" ht="20.100000000000001" customHeight="1">
      <c r="A61" s="2" t="str">
        <f>사외적립자산!A19</f>
        <v>김천에너지서비스㈜</v>
      </c>
      <c r="B61" s="2"/>
    </row>
  </sheetData>
  <mergeCells count="1">
    <mergeCell ref="A3:C3"/>
  </mergeCells>
  <phoneticPr fontId="2" type="noConversion"/>
  <printOptions horizontalCentered="1"/>
  <pageMargins left="0.19685039370078741" right="0.19685039370078741" top="0.43307086614173229" bottom="0.43307086614173229" header="0.39370078740157483" footer="0.39370078740157483"/>
  <pageSetup paperSize="9"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showGridLines="0" zoomScaleSheetLayoutView="100" workbookViewId="0"/>
  </sheetViews>
  <sheetFormatPr defaultRowHeight="16.5" customHeight="1"/>
  <cols>
    <col min="1" max="1" width="17.125" style="213" customWidth="1"/>
    <col min="2" max="2" width="23.125" style="213" customWidth="1"/>
    <col min="3" max="3" width="29.625" style="213" customWidth="1"/>
    <col min="4" max="4" width="20.625" style="214" customWidth="1"/>
    <col min="5" max="5" width="26.5" style="215" bestFit="1" customWidth="1"/>
    <col min="6" max="6" width="2.375" style="214" customWidth="1"/>
    <col min="7" max="7" width="13.875" style="214" bestFit="1" customWidth="1"/>
    <col min="8" max="8" width="9.625" style="214" bestFit="1" customWidth="1"/>
    <col min="9" max="254" width="9" style="214"/>
    <col min="255" max="255" width="12.625" style="214" customWidth="1"/>
    <col min="256" max="256" width="22.875" style="214" customWidth="1"/>
    <col min="257" max="257" width="37.25" style="214" customWidth="1"/>
    <col min="258" max="258" width="20.625" style="214" customWidth="1"/>
    <col min="259" max="259" width="12.625" style="214" customWidth="1"/>
    <col min="260" max="260" width="17.75" style="214" customWidth="1"/>
    <col min="261" max="510" width="9" style="214"/>
    <col min="511" max="511" width="12.625" style="214" customWidth="1"/>
    <col min="512" max="512" width="22.875" style="214" customWidth="1"/>
    <col min="513" max="513" width="37.25" style="214" customWidth="1"/>
    <col min="514" max="514" width="20.625" style="214" customWidth="1"/>
    <col min="515" max="515" width="12.625" style="214" customWidth="1"/>
    <col min="516" max="516" width="17.75" style="214" customWidth="1"/>
    <col min="517" max="766" width="9" style="214"/>
    <col min="767" max="767" width="12.625" style="214" customWidth="1"/>
    <col min="768" max="768" width="22.875" style="214" customWidth="1"/>
    <col min="769" max="769" width="37.25" style="214" customWidth="1"/>
    <col min="770" max="770" width="20.625" style="214" customWidth="1"/>
    <col min="771" max="771" width="12.625" style="214" customWidth="1"/>
    <col min="772" max="772" width="17.75" style="214" customWidth="1"/>
    <col min="773" max="1022" width="9" style="214"/>
    <col min="1023" max="1023" width="12.625" style="214" customWidth="1"/>
    <col min="1024" max="1024" width="22.875" style="214" customWidth="1"/>
    <col min="1025" max="1025" width="37.25" style="214" customWidth="1"/>
    <col min="1026" max="1026" width="20.625" style="214" customWidth="1"/>
    <col min="1027" max="1027" width="12.625" style="214" customWidth="1"/>
    <col min="1028" max="1028" width="17.75" style="214" customWidth="1"/>
    <col min="1029" max="1278" width="9" style="214"/>
    <col min="1279" max="1279" width="12.625" style="214" customWidth="1"/>
    <col min="1280" max="1280" width="22.875" style="214" customWidth="1"/>
    <col min="1281" max="1281" width="37.25" style="214" customWidth="1"/>
    <col min="1282" max="1282" width="20.625" style="214" customWidth="1"/>
    <col min="1283" max="1283" width="12.625" style="214" customWidth="1"/>
    <col min="1284" max="1284" width="17.75" style="214" customWidth="1"/>
    <col min="1285" max="1534" width="9" style="214"/>
    <col min="1535" max="1535" width="12.625" style="214" customWidth="1"/>
    <col min="1536" max="1536" width="22.875" style="214" customWidth="1"/>
    <col min="1537" max="1537" width="37.25" style="214" customWidth="1"/>
    <col min="1538" max="1538" width="20.625" style="214" customWidth="1"/>
    <col min="1539" max="1539" width="12.625" style="214" customWidth="1"/>
    <col min="1540" max="1540" width="17.75" style="214" customWidth="1"/>
    <col min="1541" max="1790" width="9" style="214"/>
    <col min="1791" max="1791" width="12.625" style="214" customWidth="1"/>
    <col min="1792" max="1792" width="22.875" style="214" customWidth="1"/>
    <col min="1793" max="1793" width="37.25" style="214" customWidth="1"/>
    <col min="1794" max="1794" width="20.625" style="214" customWidth="1"/>
    <col min="1795" max="1795" width="12.625" style="214" customWidth="1"/>
    <col min="1796" max="1796" width="17.75" style="214" customWidth="1"/>
    <col min="1797" max="2046" width="9" style="214"/>
    <col min="2047" max="2047" width="12.625" style="214" customWidth="1"/>
    <col min="2048" max="2048" width="22.875" style="214" customWidth="1"/>
    <col min="2049" max="2049" width="37.25" style="214" customWidth="1"/>
    <col min="2050" max="2050" width="20.625" style="214" customWidth="1"/>
    <col min="2051" max="2051" width="12.625" style="214" customWidth="1"/>
    <col min="2052" max="2052" width="17.75" style="214" customWidth="1"/>
    <col min="2053" max="2302" width="9" style="214"/>
    <col min="2303" max="2303" width="12.625" style="214" customWidth="1"/>
    <col min="2304" max="2304" width="22.875" style="214" customWidth="1"/>
    <col min="2305" max="2305" width="37.25" style="214" customWidth="1"/>
    <col min="2306" max="2306" width="20.625" style="214" customWidth="1"/>
    <col min="2307" max="2307" width="12.625" style="214" customWidth="1"/>
    <col min="2308" max="2308" width="17.75" style="214" customWidth="1"/>
    <col min="2309" max="2558" width="9" style="214"/>
    <col min="2559" max="2559" width="12.625" style="214" customWidth="1"/>
    <col min="2560" max="2560" width="22.875" style="214" customWidth="1"/>
    <col min="2561" max="2561" width="37.25" style="214" customWidth="1"/>
    <col min="2562" max="2562" width="20.625" style="214" customWidth="1"/>
    <col min="2563" max="2563" width="12.625" style="214" customWidth="1"/>
    <col min="2564" max="2564" width="17.75" style="214" customWidth="1"/>
    <col min="2565" max="2814" width="9" style="214"/>
    <col min="2815" max="2815" width="12.625" style="214" customWidth="1"/>
    <col min="2816" max="2816" width="22.875" style="214" customWidth="1"/>
    <col min="2817" max="2817" width="37.25" style="214" customWidth="1"/>
    <col min="2818" max="2818" width="20.625" style="214" customWidth="1"/>
    <col min="2819" max="2819" width="12.625" style="214" customWidth="1"/>
    <col min="2820" max="2820" width="17.75" style="214" customWidth="1"/>
    <col min="2821" max="3070" width="9" style="214"/>
    <col min="3071" max="3071" width="12.625" style="214" customWidth="1"/>
    <col min="3072" max="3072" width="22.875" style="214" customWidth="1"/>
    <col min="3073" max="3073" width="37.25" style="214" customWidth="1"/>
    <col min="3074" max="3074" width="20.625" style="214" customWidth="1"/>
    <col min="3075" max="3075" width="12.625" style="214" customWidth="1"/>
    <col min="3076" max="3076" width="17.75" style="214" customWidth="1"/>
    <col min="3077" max="3326" width="9" style="214"/>
    <col min="3327" max="3327" width="12.625" style="214" customWidth="1"/>
    <col min="3328" max="3328" width="22.875" style="214" customWidth="1"/>
    <col min="3329" max="3329" width="37.25" style="214" customWidth="1"/>
    <col min="3330" max="3330" width="20.625" style="214" customWidth="1"/>
    <col min="3331" max="3331" width="12.625" style="214" customWidth="1"/>
    <col min="3332" max="3332" width="17.75" style="214" customWidth="1"/>
    <col min="3333" max="3582" width="9" style="214"/>
    <col min="3583" max="3583" width="12.625" style="214" customWidth="1"/>
    <col min="3584" max="3584" width="22.875" style="214" customWidth="1"/>
    <col min="3585" max="3585" width="37.25" style="214" customWidth="1"/>
    <col min="3586" max="3586" width="20.625" style="214" customWidth="1"/>
    <col min="3587" max="3587" width="12.625" style="214" customWidth="1"/>
    <col min="3588" max="3588" width="17.75" style="214" customWidth="1"/>
    <col min="3589" max="3838" width="9" style="214"/>
    <col min="3839" max="3839" width="12.625" style="214" customWidth="1"/>
    <col min="3840" max="3840" width="22.875" style="214" customWidth="1"/>
    <col min="3841" max="3841" width="37.25" style="214" customWidth="1"/>
    <col min="3842" max="3842" width="20.625" style="214" customWidth="1"/>
    <col min="3843" max="3843" width="12.625" style="214" customWidth="1"/>
    <col min="3844" max="3844" width="17.75" style="214" customWidth="1"/>
    <col min="3845" max="4094" width="9" style="214"/>
    <col min="4095" max="4095" width="12.625" style="214" customWidth="1"/>
    <col min="4096" max="4096" width="22.875" style="214" customWidth="1"/>
    <col min="4097" max="4097" width="37.25" style="214" customWidth="1"/>
    <col min="4098" max="4098" width="20.625" style="214" customWidth="1"/>
    <col min="4099" max="4099" width="12.625" style="214" customWidth="1"/>
    <col min="4100" max="4100" width="17.75" style="214" customWidth="1"/>
    <col min="4101" max="4350" width="9" style="214"/>
    <col min="4351" max="4351" width="12.625" style="214" customWidth="1"/>
    <col min="4352" max="4352" width="22.875" style="214" customWidth="1"/>
    <col min="4353" max="4353" width="37.25" style="214" customWidth="1"/>
    <col min="4354" max="4354" width="20.625" style="214" customWidth="1"/>
    <col min="4355" max="4355" width="12.625" style="214" customWidth="1"/>
    <col min="4356" max="4356" width="17.75" style="214" customWidth="1"/>
    <col min="4357" max="4606" width="9" style="214"/>
    <col min="4607" max="4607" width="12.625" style="214" customWidth="1"/>
    <col min="4608" max="4608" width="22.875" style="214" customWidth="1"/>
    <col min="4609" max="4609" width="37.25" style="214" customWidth="1"/>
    <col min="4610" max="4610" width="20.625" style="214" customWidth="1"/>
    <col min="4611" max="4611" width="12.625" style="214" customWidth="1"/>
    <col min="4612" max="4612" width="17.75" style="214" customWidth="1"/>
    <col min="4613" max="4862" width="9" style="214"/>
    <col min="4863" max="4863" width="12.625" style="214" customWidth="1"/>
    <col min="4864" max="4864" width="22.875" style="214" customWidth="1"/>
    <col min="4865" max="4865" width="37.25" style="214" customWidth="1"/>
    <col min="4866" max="4866" width="20.625" style="214" customWidth="1"/>
    <col min="4867" max="4867" width="12.625" style="214" customWidth="1"/>
    <col min="4868" max="4868" width="17.75" style="214" customWidth="1"/>
    <col min="4869" max="5118" width="9" style="214"/>
    <col min="5119" max="5119" width="12.625" style="214" customWidth="1"/>
    <col min="5120" max="5120" width="22.875" style="214" customWidth="1"/>
    <col min="5121" max="5121" width="37.25" style="214" customWidth="1"/>
    <col min="5122" max="5122" width="20.625" style="214" customWidth="1"/>
    <col min="5123" max="5123" width="12.625" style="214" customWidth="1"/>
    <col min="5124" max="5124" width="17.75" style="214" customWidth="1"/>
    <col min="5125" max="5374" width="9" style="214"/>
    <col min="5375" max="5375" width="12.625" style="214" customWidth="1"/>
    <col min="5376" max="5376" width="22.875" style="214" customWidth="1"/>
    <col min="5377" max="5377" width="37.25" style="214" customWidth="1"/>
    <col min="5378" max="5378" width="20.625" style="214" customWidth="1"/>
    <col min="5379" max="5379" width="12.625" style="214" customWidth="1"/>
    <col min="5380" max="5380" width="17.75" style="214" customWidth="1"/>
    <col min="5381" max="5630" width="9" style="214"/>
    <col min="5631" max="5631" width="12.625" style="214" customWidth="1"/>
    <col min="5632" max="5632" width="22.875" style="214" customWidth="1"/>
    <col min="5633" max="5633" width="37.25" style="214" customWidth="1"/>
    <col min="5634" max="5634" width="20.625" style="214" customWidth="1"/>
    <col min="5635" max="5635" width="12.625" style="214" customWidth="1"/>
    <col min="5636" max="5636" width="17.75" style="214" customWidth="1"/>
    <col min="5637" max="5886" width="9" style="214"/>
    <col min="5887" max="5887" width="12.625" style="214" customWidth="1"/>
    <col min="5888" max="5888" width="22.875" style="214" customWidth="1"/>
    <col min="5889" max="5889" width="37.25" style="214" customWidth="1"/>
    <col min="5890" max="5890" width="20.625" style="214" customWidth="1"/>
    <col min="5891" max="5891" width="12.625" style="214" customWidth="1"/>
    <col min="5892" max="5892" width="17.75" style="214" customWidth="1"/>
    <col min="5893" max="6142" width="9" style="214"/>
    <col min="6143" max="6143" width="12.625" style="214" customWidth="1"/>
    <col min="6144" max="6144" width="22.875" style="214" customWidth="1"/>
    <col min="6145" max="6145" width="37.25" style="214" customWidth="1"/>
    <col min="6146" max="6146" width="20.625" style="214" customWidth="1"/>
    <col min="6147" max="6147" width="12.625" style="214" customWidth="1"/>
    <col min="6148" max="6148" width="17.75" style="214" customWidth="1"/>
    <col min="6149" max="6398" width="9" style="214"/>
    <col min="6399" max="6399" width="12.625" style="214" customWidth="1"/>
    <col min="6400" max="6400" width="22.875" style="214" customWidth="1"/>
    <col min="6401" max="6401" width="37.25" style="214" customWidth="1"/>
    <col min="6402" max="6402" width="20.625" style="214" customWidth="1"/>
    <col min="6403" max="6403" width="12.625" style="214" customWidth="1"/>
    <col min="6404" max="6404" width="17.75" style="214" customWidth="1"/>
    <col min="6405" max="6654" width="9" style="214"/>
    <col min="6655" max="6655" width="12.625" style="214" customWidth="1"/>
    <col min="6656" max="6656" width="22.875" style="214" customWidth="1"/>
    <col min="6657" max="6657" width="37.25" style="214" customWidth="1"/>
    <col min="6658" max="6658" width="20.625" style="214" customWidth="1"/>
    <col min="6659" max="6659" width="12.625" style="214" customWidth="1"/>
    <col min="6660" max="6660" width="17.75" style="214" customWidth="1"/>
    <col min="6661" max="6910" width="9" style="214"/>
    <col min="6911" max="6911" width="12.625" style="214" customWidth="1"/>
    <col min="6912" max="6912" width="22.875" style="214" customWidth="1"/>
    <col min="6913" max="6913" width="37.25" style="214" customWidth="1"/>
    <col min="6914" max="6914" width="20.625" style="214" customWidth="1"/>
    <col min="6915" max="6915" width="12.625" style="214" customWidth="1"/>
    <col min="6916" max="6916" width="17.75" style="214" customWidth="1"/>
    <col min="6917" max="7166" width="9" style="214"/>
    <col min="7167" max="7167" width="12.625" style="214" customWidth="1"/>
    <col min="7168" max="7168" width="22.875" style="214" customWidth="1"/>
    <col min="7169" max="7169" width="37.25" style="214" customWidth="1"/>
    <col min="7170" max="7170" width="20.625" style="214" customWidth="1"/>
    <col min="7171" max="7171" width="12.625" style="214" customWidth="1"/>
    <col min="7172" max="7172" width="17.75" style="214" customWidth="1"/>
    <col min="7173" max="7422" width="9" style="214"/>
    <col min="7423" max="7423" width="12.625" style="214" customWidth="1"/>
    <col min="7424" max="7424" width="22.875" style="214" customWidth="1"/>
    <col min="7425" max="7425" width="37.25" style="214" customWidth="1"/>
    <col min="7426" max="7426" width="20.625" style="214" customWidth="1"/>
    <col min="7427" max="7427" width="12.625" style="214" customWidth="1"/>
    <col min="7428" max="7428" width="17.75" style="214" customWidth="1"/>
    <col min="7429" max="7678" width="9" style="214"/>
    <col min="7679" max="7679" width="12.625" style="214" customWidth="1"/>
    <col min="7680" max="7680" width="22.875" style="214" customWidth="1"/>
    <col min="7681" max="7681" width="37.25" style="214" customWidth="1"/>
    <col min="7682" max="7682" width="20.625" style="214" customWidth="1"/>
    <col min="7683" max="7683" width="12.625" style="214" customWidth="1"/>
    <col min="7684" max="7684" width="17.75" style="214" customWidth="1"/>
    <col min="7685" max="7934" width="9" style="214"/>
    <col min="7935" max="7935" width="12.625" style="214" customWidth="1"/>
    <col min="7936" max="7936" width="22.875" style="214" customWidth="1"/>
    <col min="7937" max="7937" width="37.25" style="214" customWidth="1"/>
    <col min="7938" max="7938" width="20.625" style="214" customWidth="1"/>
    <col min="7939" max="7939" width="12.625" style="214" customWidth="1"/>
    <col min="7940" max="7940" width="17.75" style="214" customWidth="1"/>
    <col min="7941" max="8190" width="9" style="214"/>
    <col min="8191" max="8191" width="12.625" style="214" customWidth="1"/>
    <col min="8192" max="8192" width="22.875" style="214" customWidth="1"/>
    <col min="8193" max="8193" width="37.25" style="214" customWidth="1"/>
    <col min="8194" max="8194" width="20.625" style="214" customWidth="1"/>
    <col min="8195" max="8195" width="12.625" style="214" customWidth="1"/>
    <col min="8196" max="8196" width="17.75" style="214" customWidth="1"/>
    <col min="8197" max="8446" width="9" style="214"/>
    <col min="8447" max="8447" width="12.625" style="214" customWidth="1"/>
    <col min="8448" max="8448" width="22.875" style="214" customWidth="1"/>
    <col min="8449" max="8449" width="37.25" style="214" customWidth="1"/>
    <col min="8450" max="8450" width="20.625" style="214" customWidth="1"/>
    <col min="8451" max="8451" width="12.625" style="214" customWidth="1"/>
    <col min="8452" max="8452" width="17.75" style="214" customWidth="1"/>
    <col min="8453" max="8702" width="9" style="214"/>
    <col min="8703" max="8703" width="12.625" style="214" customWidth="1"/>
    <col min="8704" max="8704" width="22.875" style="214" customWidth="1"/>
    <col min="8705" max="8705" width="37.25" style="214" customWidth="1"/>
    <col min="8706" max="8706" width="20.625" style="214" customWidth="1"/>
    <col min="8707" max="8707" width="12.625" style="214" customWidth="1"/>
    <col min="8708" max="8708" width="17.75" style="214" customWidth="1"/>
    <col min="8709" max="8958" width="9" style="214"/>
    <col min="8959" max="8959" width="12.625" style="214" customWidth="1"/>
    <col min="8960" max="8960" width="22.875" style="214" customWidth="1"/>
    <col min="8961" max="8961" width="37.25" style="214" customWidth="1"/>
    <col min="8962" max="8962" width="20.625" style="214" customWidth="1"/>
    <col min="8963" max="8963" width="12.625" style="214" customWidth="1"/>
    <col min="8964" max="8964" width="17.75" style="214" customWidth="1"/>
    <col min="8965" max="9214" width="9" style="214"/>
    <col min="9215" max="9215" width="12.625" style="214" customWidth="1"/>
    <col min="9216" max="9216" width="22.875" style="214" customWidth="1"/>
    <col min="9217" max="9217" width="37.25" style="214" customWidth="1"/>
    <col min="9218" max="9218" width="20.625" style="214" customWidth="1"/>
    <col min="9219" max="9219" width="12.625" style="214" customWidth="1"/>
    <col min="9220" max="9220" width="17.75" style="214" customWidth="1"/>
    <col min="9221" max="9470" width="9" style="214"/>
    <col min="9471" max="9471" width="12.625" style="214" customWidth="1"/>
    <col min="9472" max="9472" width="22.875" style="214" customWidth="1"/>
    <col min="9473" max="9473" width="37.25" style="214" customWidth="1"/>
    <col min="9474" max="9474" width="20.625" style="214" customWidth="1"/>
    <col min="9475" max="9475" width="12.625" style="214" customWidth="1"/>
    <col min="9476" max="9476" width="17.75" style="214" customWidth="1"/>
    <col min="9477" max="9726" width="9" style="214"/>
    <col min="9727" max="9727" width="12.625" style="214" customWidth="1"/>
    <col min="9728" max="9728" width="22.875" style="214" customWidth="1"/>
    <col min="9729" max="9729" width="37.25" style="214" customWidth="1"/>
    <col min="9730" max="9730" width="20.625" style="214" customWidth="1"/>
    <col min="9731" max="9731" width="12.625" style="214" customWidth="1"/>
    <col min="9732" max="9732" width="17.75" style="214" customWidth="1"/>
    <col min="9733" max="9982" width="9" style="214"/>
    <col min="9983" max="9983" width="12.625" style="214" customWidth="1"/>
    <col min="9984" max="9984" width="22.875" style="214" customWidth="1"/>
    <col min="9985" max="9985" width="37.25" style="214" customWidth="1"/>
    <col min="9986" max="9986" width="20.625" style="214" customWidth="1"/>
    <col min="9987" max="9987" width="12.625" style="214" customWidth="1"/>
    <col min="9988" max="9988" width="17.75" style="214" customWidth="1"/>
    <col min="9989" max="10238" width="9" style="214"/>
    <col min="10239" max="10239" width="12.625" style="214" customWidth="1"/>
    <col min="10240" max="10240" width="22.875" style="214" customWidth="1"/>
    <col min="10241" max="10241" width="37.25" style="214" customWidth="1"/>
    <col min="10242" max="10242" width="20.625" style="214" customWidth="1"/>
    <col min="10243" max="10243" width="12.625" style="214" customWidth="1"/>
    <col min="10244" max="10244" width="17.75" style="214" customWidth="1"/>
    <col min="10245" max="10494" width="9" style="214"/>
    <col min="10495" max="10495" width="12.625" style="214" customWidth="1"/>
    <col min="10496" max="10496" width="22.875" style="214" customWidth="1"/>
    <col min="10497" max="10497" width="37.25" style="214" customWidth="1"/>
    <col min="10498" max="10498" width="20.625" style="214" customWidth="1"/>
    <col min="10499" max="10499" width="12.625" style="214" customWidth="1"/>
    <col min="10500" max="10500" width="17.75" style="214" customWidth="1"/>
    <col min="10501" max="10750" width="9" style="214"/>
    <col min="10751" max="10751" width="12.625" style="214" customWidth="1"/>
    <col min="10752" max="10752" width="22.875" style="214" customWidth="1"/>
    <col min="10753" max="10753" width="37.25" style="214" customWidth="1"/>
    <col min="10754" max="10754" width="20.625" style="214" customWidth="1"/>
    <col min="10755" max="10755" width="12.625" style="214" customWidth="1"/>
    <col min="10756" max="10756" width="17.75" style="214" customWidth="1"/>
    <col min="10757" max="11006" width="9" style="214"/>
    <col min="11007" max="11007" width="12.625" style="214" customWidth="1"/>
    <col min="11008" max="11008" width="22.875" style="214" customWidth="1"/>
    <col min="11009" max="11009" width="37.25" style="214" customWidth="1"/>
    <col min="11010" max="11010" width="20.625" style="214" customWidth="1"/>
    <col min="11011" max="11011" width="12.625" style="214" customWidth="1"/>
    <col min="11012" max="11012" width="17.75" style="214" customWidth="1"/>
    <col min="11013" max="11262" width="9" style="214"/>
    <col min="11263" max="11263" width="12.625" style="214" customWidth="1"/>
    <col min="11264" max="11264" width="22.875" style="214" customWidth="1"/>
    <col min="11265" max="11265" width="37.25" style="214" customWidth="1"/>
    <col min="11266" max="11266" width="20.625" style="214" customWidth="1"/>
    <col min="11267" max="11267" width="12.625" style="214" customWidth="1"/>
    <col min="11268" max="11268" width="17.75" style="214" customWidth="1"/>
    <col min="11269" max="11518" width="9" style="214"/>
    <col min="11519" max="11519" width="12.625" style="214" customWidth="1"/>
    <col min="11520" max="11520" width="22.875" style="214" customWidth="1"/>
    <col min="11521" max="11521" width="37.25" style="214" customWidth="1"/>
    <col min="11522" max="11522" width="20.625" style="214" customWidth="1"/>
    <col min="11523" max="11523" width="12.625" style="214" customWidth="1"/>
    <col min="11524" max="11524" width="17.75" style="214" customWidth="1"/>
    <col min="11525" max="11774" width="9" style="214"/>
    <col min="11775" max="11775" width="12.625" style="214" customWidth="1"/>
    <col min="11776" max="11776" width="22.875" style="214" customWidth="1"/>
    <col min="11777" max="11777" width="37.25" style="214" customWidth="1"/>
    <col min="11778" max="11778" width="20.625" style="214" customWidth="1"/>
    <col min="11779" max="11779" width="12.625" style="214" customWidth="1"/>
    <col min="11780" max="11780" width="17.75" style="214" customWidth="1"/>
    <col min="11781" max="12030" width="9" style="214"/>
    <col min="12031" max="12031" width="12.625" style="214" customWidth="1"/>
    <col min="12032" max="12032" width="22.875" style="214" customWidth="1"/>
    <col min="12033" max="12033" width="37.25" style="214" customWidth="1"/>
    <col min="12034" max="12034" width="20.625" style="214" customWidth="1"/>
    <col min="12035" max="12035" width="12.625" style="214" customWidth="1"/>
    <col min="12036" max="12036" width="17.75" style="214" customWidth="1"/>
    <col min="12037" max="12286" width="9" style="214"/>
    <col min="12287" max="12287" width="12.625" style="214" customWidth="1"/>
    <col min="12288" max="12288" width="22.875" style="214" customWidth="1"/>
    <col min="12289" max="12289" width="37.25" style="214" customWidth="1"/>
    <col min="12290" max="12290" width="20.625" style="214" customWidth="1"/>
    <col min="12291" max="12291" width="12.625" style="214" customWidth="1"/>
    <col min="12292" max="12292" width="17.75" style="214" customWidth="1"/>
    <col min="12293" max="12542" width="9" style="214"/>
    <col min="12543" max="12543" width="12.625" style="214" customWidth="1"/>
    <col min="12544" max="12544" width="22.875" style="214" customWidth="1"/>
    <col min="12545" max="12545" width="37.25" style="214" customWidth="1"/>
    <col min="12546" max="12546" width="20.625" style="214" customWidth="1"/>
    <col min="12547" max="12547" width="12.625" style="214" customWidth="1"/>
    <col min="12548" max="12548" width="17.75" style="214" customWidth="1"/>
    <col min="12549" max="12798" width="9" style="214"/>
    <col min="12799" max="12799" width="12.625" style="214" customWidth="1"/>
    <col min="12800" max="12800" width="22.875" style="214" customWidth="1"/>
    <col min="12801" max="12801" width="37.25" style="214" customWidth="1"/>
    <col min="12802" max="12802" width="20.625" style="214" customWidth="1"/>
    <col min="12803" max="12803" width="12.625" style="214" customWidth="1"/>
    <col min="12804" max="12804" width="17.75" style="214" customWidth="1"/>
    <col min="12805" max="13054" width="9" style="214"/>
    <col min="13055" max="13055" width="12.625" style="214" customWidth="1"/>
    <col min="13056" max="13056" width="22.875" style="214" customWidth="1"/>
    <col min="13057" max="13057" width="37.25" style="214" customWidth="1"/>
    <col min="13058" max="13058" width="20.625" style="214" customWidth="1"/>
    <col min="13059" max="13059" width="12.625" style="214" customWidth="1"/>
    <col min="13060" max="13060" width="17.75" style="214" customWidth="1"/>
    <col min="13061" max="13310" width="9" style="214"/>
    <col min="13311" max="13311" width="12.625" style="214" customWidth="1"/>
    <col min="13312" max="13312" width="22.875" style="214" customWidth="1"/>
    <col min="13313" max="13313" width="37.25" style="214" customWidth="1"/>
    <col min="13314" max="13314" width="20.625" style="214" customWidth="1"/>
    <col min="13315" max="13315" width="12.625" style="214" customWidth="1"/>
    <col min="13316" max="13316" width="17.75" style="214" customWidth="1"/>
    <col min="13317" max="13566" width="9" style="214"/>
    <col min="13567" max="13567" width="12.625" style="214" customWidth="1"/>
    <col min="13568" max="13568" width="22.875" style="214" customWidth="1"/>
    <col min="13569" max="13569" width="37.25" style="214" customWidth="1"/>
    <col min="13570" max="13570" width="20.625" style="214" customWidth="1"/>
    <col min="13571" max="13571" width="12.625" style="214" customWidth="1"/>
    <col min="13572" max="13572" width="17.75" style="214" customWidth="1"/>
    <col min="13573" max="13822" width="9" style="214"/>
    <col min="13823" max="13823" width="12.625" style="214" customWidth="1"/>
    <col min="13824" max="13824" width="22.875" style="214" customWidth="1"/>
    <col min="13825" max="13825" width="37.25" style="214" customWidth="1"/>
    <col min="13826" max="13826" width="20.625" style="214" customWidth="1"/>
    <col min="13827" max="13827" width="12.625" style="214" customWidth="1"/>
    <col min="13828" max="13828" width="17.75" style="214" customWidth="1"/>
    <col min="13829" max="14078" width="9" style="214"/>
    <col min="14079" max="14079" width="12.625" style="214" customWidth="1"/>
    <col min="14080" max="14080" width="22.875" style="214" customWidth="1"/>
    <col min="14081" max="14081" width="37.25" style="214" customWidth="1"/>
    <col min="14082" max="14082" width="20.625" style="214" customWidth="1"/>
    <col min="14083" max="14083" width="12.625" style="214" customWidth="1"/>
    <col min="14084" max="14084" width="17.75" style="214" customWidth="1"/>
    <col min="14085" max="14334" width="9" style="214"/>
    <col min="14335" max="14335" width="12.625" style="214" customWidth="1"/>
    <col min="14336" max="14336" width="22.875" style="214" customWidth="1"/>
    <col min="14337" max="14337" width="37.25" style="214" customWidth="1"/>
    <col min="14338" max="14338" width="20.625" style="214" customWidth="1"/>
    <col min="14339" max="14339" width="12.625" style="214" customWidth="1"/>
    <col min="14340" max="14340" width="17.75" style="214" customWidth="1"/>
    <col min="14341" max="14590" width="9" style="214"/>
    <col min="14591" max="14591" width="12.625" style="214" customWidth="1"/>
    <col min="14592" max="14592" width="22.875" style="214" customWidth="1"/>
    <col min="14593" max="14593" width="37.25" style="214" customWidth="1"/>
    <col min="14594" max="14594" width="20.625" style="214" customWidth="1"/>
    <col min="14595" max="14595" width="12.625" style="214" customWidth="1"/>
    <col min="14596" max="14596" width="17.75" style="214" customWidth="1"/>
    <col min="14597" max="14846" width="9" style="214"/>
    <col min="14847" max="14847" width="12.625" style="214" customWidth="1"/>
    <col min="14848" max="14848" width="22.875" style="214" customWidth="1"/>
    <col min="14849" max="14849" width="37.25" style="214" customWidth="1"/>
    <col min="14850" max="14850" width="20.625" style="214" customWidth="1"/>
    <col min="14851" max="14851" width="12.625" style="214" customWidth="1"/>
    <col min="14852" max="14852" width="17.75" style="214" customWidth="1"/>
    <col min="14853" max="15102" width="9" style="214"/>
    <col min="15103" max="15103" width="12.625" style="214" customWidth="1"/>
    <col min="15104" max="15104" width="22.875" style="214" customWidth="1"/>
    <col min="15105" max="15105" width="37.25" style="214" customWidth="1"/>
    <col min="15106" max="15106" width="20.625" style="214" customWidth="1"/>
    <col min="15107" max="15107" width="12.625" style="214" customWidth="1"/>
    <col min="15108" max="15108" width="17.75" style="214" customWidth="1"/>
    <col min="15109" max="15358" width="9" style="214"/>
    <col min="15359" max="15359" width="12.625" style="214" customWidth="1"/>
    <col min="15360" max="15360" width="22.875" style="214" customWidth="1"/>
    <col min="15361" max="15361" width="37.25" style="214" customWidth="1"/>
    <col min="15362" max="15362" width="20.625" style="214" customWidth="1"/>
    <col min="15363" max="15363" width="12.625" style="214" customWidth="1"/>
    <col min="15364" max="15364" width="17.75" style="214" customWidth="1"/>
    <col min="15365" max="15614" width="9" style="214"/>
    <col min="15615" max="15615" width="12.625" style="214" customWidth="1"/>
    <col min="15616" max="15616" width="22.875" style="214" customWidth="1"/>
    <col min="15617" max="15617" width="37.25" style="214" customWidth="1"/>
    <col min="15618" max="15618" width="20.625" style="214" customWidth="1"/>
    <col min="15619" max="15619" width="12.625" style="214" customWidth="1"/>
    <col min="15620" max="15620" width="17.75" style="214" customWidth="1"/>
    <col min="15621" max="15870" width="9" style="214"/>
    <col min="15871" max="15871" width="12.625" style="214" customWidth="1"/>
    <col min="15872" max="15872" width="22.875" style="214" customWidth="1"/>
    <col min="15873" max="15873" width="37.25" style="214" customWidth="1"/>
    <col min="15874" max="15874" width="20.625" style="214" customWidth="1"/>
    <col min="15875" max="15875" width="12.625" style="214" customWidth="1"/>
    <col min="15876" max="15876" width="17.75" style="214" customWidth="1"/>
    <col min="15877" max="16126" width="9" style="214"/>
    <col min="16127" max="16127" width="12.625" style="214" customWidth="1"/>
    <col min="16128" max="16128" width="22.875" style="214" customWidth="1"/>
    <col min="16129" max="16129" width="37.25" style="214" customWidth="1"/>
    <col min="16130" max="16130" width="20.625" style="214" customWidth="1"/>
    <col min="16131" max="16131" width="12.625" style="214" customWidth="1"/>
    <col min="16132" max="16132" width="17.75" style="214" customWidth="1"/>
    <col min="16133" max="16384" width="9" style="214"/>
  </cols>
  <sheetData>
    <row r="1" spans="1:5" s="211" customFormat="1" ht="20.100000000000001" customHeight="1">
      <c r="A1" s="27" t="s">
        <v>1046</v>
      </c>
      <c r="B1" s="210"/>
      <c r="C1" s="231"/>
      <c r="E1" s="212"/>
    </row>
    <row r="2" spans="1:5" ht="8.25" customHeight="1"/>
    <row r="3" spans="1:5" s="217" customFormat="1" ht="16.5" customHeight="1">
      <c r="A3" s="216">
        <f>'미지급금(일반)'!A3:C3</f>
        <v>45504</v>
      </c>
      <c r="B3" s="216"/>
      <c r="C3" s="220"/>
      <c r="E3" s="218" t="s">
        <v>0</v>
      </c>
    </row>
    <row r="4" spans="1:5" s="217" customFormat="1" ht="21.95" customHeight="1">
      <c r="A4" s="1962" t="s">
        <v>122</v>
      </c>
      <c r="B4" s="1054" t="s">
        <v>123</v>
      </c>
      <c r="C4" s="1963" t="s">
        <v>2</v>
      </c>
      <c r="D4" s="1964" t="s">
        <v>3</v>
      </c>
      <c r="E4" s="219" t="s">
        <v>124</v>
      </c>
    </row>
    <row r="5" spans="1:5" ht="21.95" customHeight="1">
      <c r="A5" s="2200" t="s">
        <v>152</v>
      </c>
      <c r="B5" s="2200"/>
      <c r="C5" s="1980"/>
      <c r="D5" s="1981"/>
      <c r="E5" s="1981"/>
    </row>
    <row r="6" spans="1:5" ht="21.95" customHeight="1">
      <c r="A6" s="2001" t="s">
        <v>1337</v>
      </c>
      <c r="B6" s="1966" t="s">
        <v>1293</v>
      </c>
      <c r="C6" s="1967" t="s">
        <v>928</v>
      </c>
      <c r="D6" s="1960">
        <f>1020000</f>
        <v>1020000</v>
      </c>
      <c r="E6" s="1961" t="s">
        <v>1252</v>
      </c>
    </row>
    <row r="7" spans="1:5" ht="21.95" customHeight="1">
      <c r="A7" s="2000" t="s">
        <v>1336</v>
      </c>
      <c r="B7" s="2000" t="s">
        <v>153</v>
      </c>
      <c r="C7" s="1968" t="s">
        <v>1332</v>
      </c>
      <c r="D7" s="1959">
        <v>8478480</v>
      </c>
      <c r="E7" s="357"/>
    </row>
    <row r="8" spans="1:5" ht="21.95" customHeight="1">
      <c r="A8" s="2001"/>
      <c r="B8" s="2001"/>
      <c r="C8" s="1968" t="s">
        <v>1333</v>
      </c>
      <c r="D8" s="1959">
        <v>5604780</v>
      </c>
      <c r="E8" s="357"/>
    </row>
    <row r="9" spans="1:5" ht="21.95" customHeight="1">
      <c r="A9" s="2001"/>
      <c r="B9" s="2001"/>
      <c r="C9" s="1968" t="s">
        <v>1334</v>
      </c>
      <c r="D9" s="1959">
        <v>1625600</v>
      </c>
      <c r="E9" s="357"/>
    </row>
    <row r="10" spans="1:5" ht="21.95" customHeight="1">
      <c r="A10" s="2001"/>
      <c r="B10" s="2002"/>
      <c r="C10" s="1968" t="s">
        <v>1335</v>
      </c>
      <c r="D10" s="1959">
        <f>650240+58720</f>
        <v>708960</v>
      </c>
      <c r="E10" s="357"/>
    </row>
    <row r="11" spans="1:5" ht="21.95" customHeight="1">
      <c r="A11" s="2001"/>
      <c r="B11" s="1969" t="s">
        <v>513</v>
      </c>
      <c r="C11" s="1970" t="s">
        <v>1329</v>
      </c>
      <c r="D11" s="1971">
        <v>24978064</v>
      </c>
      <c r="E11" s="358"/>
    </row>
    <row r="12" spans="1:5" ht="21.95" customHeight="1">
      <c r="A12" s="2001"/>
      <c r="B12" s="1969" t="s">
        <v>154</v>
      </c>
      <c r="C12" s="2014" t="s">
        <v>1330</v>
      </c>
      <c r="D12" s="1960">
        <v>914465</v>
      </c>
      <c r="E12" s="370"/>
    </row>
    <row r="13" spans="1:5" ht="21.95" customHeight="1">
      <c r="A13" s="2001"/>
      <c r="B13" s="1972" t="s">
        <v>365</v>
      </c>
      <c r="C13" s="1973" t="s">
        <v>1328</v>
      </c>
      <c r="D13" s="1974">
        <v>3074886</v>
      </c>
      <c r="E13" s="1782"/>
    </row>
    <row r="14" spans="1:5" ht="21.95" customHeight="1">
      <c r="A14" s="2003"/>
      <c r="B14" s="1972" t="s">
        <v>578</v>
      </c>
      <c r="C14" s="1975" t="s">
        <v>1331</v>
      </c>
      <c r="D14" s="1974">
        <f>5063740+22400</f>
        <v>5086140</v>
      </c>
      <c r="E14" s="409"/>
    </row>
    <row r="15" spans="1:5" ht="21.95" customHeight="1">
      <c r="A15" s="1965"/>
      <c r="B15" s="1972"/>
      <c r="C15" s="1972"/>
      <c r="D15" s="1976"/>
      <c r="E15" s="1658"/>
    </row>
    <row r="16" spans="1:5" ht="21.95" customHeight="1">
      <c r="A16" s="1965"/>
      <c r="B16" s="1972"/>
      <c r="C16" s="1972"/>
      <c r="D16" s="1976"/>
      <c r="E16" s="1658"/>
    </row>
    <row r="17" spans="1:5" ht="21.95" customHeight="1">
      <c r="A17" s="1977"/>
      <c r="B17" s="1978"/>
      <c r="C17" s="1978"/>
      <c r="D17" s="1979"/>
      <c r="E17" s="1659"/>
    </row>
    <row r="18" spans="1:5" ht="21.95" customHeight="1">
      <c r="A18" s="2201" t="s">
        <v>40</v>
      </c>
      <c r="B18" s="2202"/>
      <c r="C18" s="2203"/>
      <c r="D18" s="1657">
        <f>SUM(D6:D17)</f>
        <v>51491375</v>
      </c>
      <c r="E18" s="1660"/>
    </row>
    <row r="19" spans="1:5" ht="18" customHeight="1">
      <c r="A19" s="220" t="str">
        <f>'매입채무(외상매입금)'!A20</f>
        <v>김천에너지서비스㈜</v>
      </c>
      <c r="B19" s="221"/>
      <c r="C19" s="224"/>
      <c r="D19" s="222"/>
      <c r="E19" s="222"/>
    </row>
    <row r="20" spans="1:5" s="215" customFormat="1" ht="20.100000000000001" customHeight="1">
      <c r="A20" s="223"/>
      <c r="B20" s="224"/>
      <c r="C20" s="223"/>
    </row>
    <row r="21" spans="1:5" s="215" customFormat="1" ht="15" customHeight="1">
      <c r="A21" s="223"/>
      <c r="B21" s="223"/>
      <c r="C21" s="223"/>
    </row>
    <row r="22" spans="1:5" s="215" customFormat="1" ht="16.5" customHeight="1">
      <c r="A22" s="223"/>
      <c r="B22" s="225"/>
      <c r="C22" s="232"/>
      <c r="D22" s="226"/>
      <c r="E22" s="226"/>
    </row>
    <row r="23" spans="1:5" s="215" customFormat="1" ht="16.5" customHeight="1">
      <c r="A23" s="224"/>
      <c r="B23" s="224"/>
      <c r="C23" s="224"/>
      <c r="D23" s="224"/>
      <c r="E23" s="224"/>
    </row>
    <row r="24" spans="1:5" s="215" customFormat="1" ht="16.5" customHeight="1">
      <c r="A24" s="227"/>
      <c r="B24" s="227"/>
      <c r="C24" s="227"/>
      <c r="D24" s="228"/>
      <c r="E24" s="229"/>
    </row>
    <row r="25" spans="1:5" s="215" customFormat="1" ht="16.5" customHeight="1">
      <c r="A25" s="227"/>
      <c r="B25" s="227"/>
      <c r="C25" s="227"/>
      <c r="D25" s="228"/>
      <c r="E25" s="229"/>
    </row>
    <row r="26" spans="1:5" s="215" customFormat="1" ht="16.5" customHeight="1">
      <c r="A26" s="227"/>
      <c r="B26" s="227"/>
      <c r="C26" s="233"/>
      <c r="D26" s="230"/>
      <c r="E26" s="229"/>
    </row>
    <row r="27" spans="1:5" s="215" customFormat="1" ht="16.5" customHeight="1">
      <c r="A27" s="227"/>
      <c r="B27" s="227"/>
      <c r="C27" s="227"/>
      <c r="D27" s="229"/>
      <c r="E27" s="229"/>
    </row>
    <row r="28" spans="1:5" s="215" customFormat="1" ht="16.5" customHeight="1">
      <c r="A28" s="227"/>
      <c r="B28" s="227"/>
      <c r="C28" s="227"/>
      <c r="D28" s="229"/>
      <c r="E28" s="229"/>
    </row>
    <row r="29" spans="1:5" s="215" customFormat="1" ht="16.5" customHeight="1">
      <c r="A29" s="227"/>
      <c r="B29" s="227"/>
      <c r="C29" s="227"/>
      <c r="D29" s="229"/>
      <c r="E29" s="229"/>
    </row>
    <row r="30" spans="1:5" s="215" customFormat="1" ht="16.5" customHeight="1">
      <c r="A30" s="227"/>
      <c r="B30" s="227"/>
      <c r="C30" s="227"/>
      <c r="D30" s="229"/>
      <c r="E30" s="229"/>
    </row>
    <row r="31" spans="1:5" s="215" customFormat="1" ht="16.5" customHeight="1">
      <c r="A31" s="227"/>
      <c r="B31" s="227"/>
      <c r="C31" s="227"/>
      <c r="D31" s="229"/>
      <c r="E31" s="229"/>
    </row>
    <row r="32" spans="1:5" s="215" customFormat="1" ht="16.5" customHeight="1">
      <c r="A32" s="227"/>
      <c r="B32" s="227"/>
      <c r="C32" s="227"/>
      <c r="D32" s="229"/>
      <c r="E32" s="229"/>
    </row>
    <row r="33" spans="1:5" s="215" customFormat="1" ht="16.5" customHeight="1">
      <c r="A33" s="227"/>
      <c r="B33" s="227"/>
      <c r="C33" s="227"/>
      <c r="D33" s="229"/>
      <c r="E33" s="229"/>
    </row>
    <row r="34" spans="1:5" s="215" customFormat="1" ht="16.5" customHeight="1">
      <c r="A34" s="227"/>
      <c r="B34" s="227"/>
      <c r="C34" s="227"/>
      <c r="D34" s="229"/>
      <c r="E34" s="229"/>
    </row>
    <row r="35" spans="1:5" s="215" customFormat="1" ht="16.5" customHeight="1">
      <c r="A35" s="227"/>
      <c r="B35" s="227"/>
      <c r="C35" s="227"/>
      <c r="D35" s="229"/>
      <c r="E35" s="229"/>
    </row>
    <row r="36" spans="1:5" s="215" customFormat="1" ht="16.5" customHeight="1">
      <c r="A36" s="227"/>
      <c r="B36" s="227"/>
      <c r="C36" s="227"/>
      <c r="D36" s="229"/>
      <c r="E36" s="229"/>
    </row>
    <row r="37" spans="1:5" s="215" customFormat="1" ht="16.5" customHeight="1">
      <c r="A37" s="227"/>
      <c r="B37" s="227"/>
      <c r="C37" s="227"/>
      <c r="D37" s="229"/>
      <c r="E37" s="229"/>
    </row>
    <row r="38" spans="1:5" s="215" customFormat="1" ht="16.5" customHeight="1">
      <c r="A38" s="227"/>
      <c r="B38" s="227"/>
      <c r="C38" s="227"/>
      <c r="D38" s="229"/>
      <c r="E38" s="229"/>
    </row>
    <row r="39" spans="1:5" s="215" customFormat="1" ht="16.5" customHeight="1">
      <c r="A39" s="227"/>
      <c r="B39" s="227"/>
      <c r="C39" s="227"/>
      <c r="D39" s="229"/>
      <c r="E39" s="229"/>
    </row>
    <row r="40" spans="1:5" s="215" customFormat="1" ht="16.5" customHeight="1">
      <c r="A40" s="227"/>
      <c r="B40" s="227"/>
      <c r="C40" s="227"/>
      <c r="D40" s="229"/>
      <c r="E40" s="229"/>
    </row>
    <row r="41" spans="1:5" s="215" customFormat="1" ht="16.5" customHeight="1">
      <c r="A41" s="227"/>
      <c r="B41" s="227"/>
      <c r="C41" s="227"/>
      <c r="D41" s="229"/>
      <c r="E41" s="229"/>
    </row>
    <row r="42" spans="1:5" s="215" customFormat="1" ht="16.5" customHeight="1">
      <c r="A42" s="227"/>
      <c r="B42" s="227"/>
      <c r="C42" s="227"/>
      <c r="D42" s="229"/>
      <c r="E42" s="229"/>
    </row>
    <row r="43" spans="1:5" s="215" customFormat="1" ht="16.5" customHeight="1">
      <c r="A43" s="227"/>
      <c r="B43" s="227"/>
      <c r="C43" s="227"/>
      <c r="D43" s="229"/>
      <c r="E43" s="229"/>
    </row>
    <row r="44" spans="1:5" s="215" customFormat="1" ht="16.5" customHeight="1">
      <c r="A44" s="227"/>
      <c r="B44" s="227"/>
      <c r="C44" s="227"/>
      <c r="D44" s="229"/>
      <c r="E44" s="229"/>
    </row>
    <row r="45" spans="1:5" s="215" customFormat="1" ht="16.5" customHeight="1">
      <c r="A45" s="227"/>
      <c r="B45" s="227"/>
      <c r="C45" s="227"/>
      <c r="D45" s="229"/>
      <c r="E45" s="229"/>
    </row>
    <row r="46" spans="1:5" s="215" customFormat="1" ht="16.5" customHeight="1">
      <c r="A46" s="227"/>
      <c r="B46" s="227"/>
      <c r="C46" s="227"/>
      <c r="D46" s="229"/>
      <c r="E46" s="229"/>
    </row>
    <row r="47" spans="1:5" s="215" customFormat="1" ht="16.5" customHeight="1">
      <c r="A47" s="224"/>
      <c r="B47" s="224"/>
      <c r="C47" s="224"/>
      <c r="D47" s="222"/>
      <c r="E47" s="222"/>
    </row>
    <row r="48" spans="1:5" s="215" customFormat="1" ht="16.5" customHeight="1">
      <c r="A48" s="224"/>
      <c r="B48" s="224"/>
      <c r="C48" s="224"/>
      <c r="D48" s="222"/>
      <c r="E48" s="222"/>
    </row>
    <row r="49" spans="1:3" s="215" customFormat="1" ht="16.5" customHeight="1">
      <c r="A49" s="223"/>
      <c r="B49" s="223"/>
      <c r="C49" s="223"/>
    </row>
    <row r="50" spans="1:3" s="215" customFormat="1" ht="16.5" customHeight="1">
      <c r="A50" s="223"/>
      <c r="B50" s="223"/>
      <c r="C50" s="223"/>
    </row>
    <row r="51" spans="1:3" s="215" customFormat="1" ht="16.5" customHeight="1">
      <c r="A51" s="223"/>
      <c r="B51" s="223"/>
      <c r="C51" s="223"/>
    </row>
  </sheetData>
  <mergeCells count="2">
    <mergeCell ref="A5:B5"/>
    <mergeCell ref="A18:C18"/>
  </mergeCells>
  <phoneticPr fontId="2" type="noConversion"/>
  <printOptions horizontalCentered="1"/>
  <pageMargins left="0.39370078740157483" right="0.39370078740157483" top="0.39370078740157483" bottom="0.39370078740157483" header="0.39370078740157483" footer="0.39370078740157483"/>
  <pageSetup paperSize="9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showGridLines="0" zoomScaleSheetLayoutView="100" workbookViewId="0">
      <selection activeCell="D5" sqref="A5:D5"/>
    </sheetView>
  </sheetViews>
  <sheetFormatPr defaultRowHeight="16.5" customHeight="1"/>
  <cols>
    <col min="1" max="1" width="17.125" style="213" customWidth="1"/>
    <col min="2" max="2" width="23.125" style="213" customWidth="1"/>
    <col min="3" max="3" width="29.625" style="213" customWidth="1"/>
    <col min="4" max="4" width="20.625" style="214" customWidth="1"/>
    <col min="5" max="5" width="26.5" style="215" bestFit="1" customWidth="1"/>
    <col min="6" max="6" width="2.375" style="214" customWidth="1"/>
    <col min="7" max="7" width="13.875" style="214" bestFit="1" customWidth="1"/>
    <col min="8" max="8" width="9.625" style="214" bestFit="1" customWidth="1"/>
    <col min="9" max="254" width="9" style="214"/>
    <col min="255" max="255" width="12.625" style="214" customWidth="1"/>
    <col min="256" max="256" width="22.875" style="214" customWidth="1"/>
    <col min="257" max="257" width="37.25" style="214" customWidth="1"/>
    <col min="258" max="258" width="20.625" style="214" customWidth="1"/>
    <col min="259" max="259" width="12.625" style="214" customWidth="1"/>
    <col min="260" max="260" width="17.75" style="214" customWidth="1"/>
    <col min="261" max="510" width="9" style="214"/>
    <col min="511" max="511" width="12.625" style="214" customWidth="1"/>
    <col min="512" max="512" width="22.875" style="214" customWidth="1"/>
    <col min="513" max="513" width="37.25" style="214" customWidth="1"/>
    <col min="514" max="514" width="20.625" style="214" customWidth="1"/>
    <col min="515" max="515" width="12.625" style="214" customWidth="1"/>
    <col min="516" max="516" width="17.75" style="214" customWidth="1"/>
    <col min="517" max="766" width="9" style="214"/>
    <col min="767" max="767" width="12.625" style="214" customWidth="1"/>
    <col min="768" max="768" width="22.875" style="214" customWidth="1"/>
    <col min="769" max="769" width="37.25" style="214" customWidth="1"/>
    <col min="770" max="770" width="20.625" style="214" customWidth="1"/>
    <col min="771" max="771" width="12.625" style="214" customWidth="1"/>
    <col min="772" max="772" width="17.75" style="214" customWidth="1"/>
    <col min="773" max="1022" width="9" style="214"/>
    <col min="1023" max="1023" width="12.625" style="214" customWidth="1"/>
    <col min="1024" max="1024" width="22.875" style="214" customWidth="1"/>
    <col min="1025" max="1025" width="37.25" style="214" customWidth="1"/>
    <col min="1026" max="1026" width="20.625" style="214" customWidth="1"/>
    <col min="1027" max="1027" width="12.625" style="214" customWidth="1"/>
    <col min="1028" max="1028" width="17.75" style="214" customWidth="1"/>
    <col min="1029" max="1278" width="9" style="214"/>
    <col min="1279" max="1279" width="12.625" style="214" customWidth="1"/>
    <col min="1280" max="1280" width="22.875" style="214" customWidth="1"/>
    <col min="1281" max="1281" width="37.25" style="214" customWidth="1"/>
    <col min="1282" max="1282" width="20.625" style="214" customWidth="1"/>
    <col min="1283" max="1283" width="12.625" style="214" customWidth="1"/>
    <col min="1284" max="1284" width="17.75" style="214" customWidth="1"/>
    <col min="1285" max="1534" width="9" style="214"/>
    <col min="1535" max="1535" width="12.625" style="214" customWidth="1"/>
    <col min="1536" max="1536" width="22.875" style="214" customWidth="1"/>
    <col min="1537" max="1537" width="37.25" style="214" customWidth="1"/>
    <col min="1538" max="1538" width="20.625" style="214" customWidth="1"/>
    <col min="1539" max="1539" width="12.625" style="214" customWidth="1"/>
    <col min="1540" max="1540" width="17.75" style="214" customWidth="1"/>
    <col min="1541" max="1790" width="9" style="214"/>
    <col min="1791" max="1791" width="12.625" style="214" customWidth="1"/>
    <col min="1792" max="1792" width="22.875" style="214" customWidth="1"/>
    <col min="1793" max="1793" width="37.25" style="214" customWidth="1"/>
    <col min="1794" max="1794" width="20.625" style="214" customWidth="1"/>
    <col min="1795" max="1795" width="12.625" style="214" customWidth="1"/>
    <col min="1796" max="1796" width="17.75" style="214" customWidth="1"/>
    <col min="1797" max="2046" width="9" style="214"/>
    <col min="2047" max="2047" width="12.625" style="214" customWidth="1"/>
    <col min="2048" max="2048" width="22.875" style="214" customWidth="1"/>
    <col min="2049" max="2049" width="37.25" style="214" customWidth="1"/>
    <col min="2050" max="2050" width="20.625" style="214" customWidth="1"/>
    <col min="2051" max="2051" width="12.625" style="214" customWidth="1"/>
    <col min="2052" max="2052" width="17.75" style="214" customWidth="1"/>
    <col min="2053" max="2302" width="9" style="214"/>
    <col min="2303" max="2303" width="12.625" style="214" customWidth="1"/>
    <col min="2304" max="2304" width="22.875" style="214" customWidth="1"/>
    <col min="2305" max="2305" width="37.25" style="214" customWidth="1"/>
    <col min="2306" max="2306" width="20.625" style="214" customWidth="1"/>
    <col min="2307" max="2307" width="12.625" style="214" customWidth="1"/>
    <col min="2308" max="2308" width="17.75" style="214" customWidth="1"/>
    <col min="2309" max="2558" width="9" style="214"/>
    <col min="2559" max="2559" width="12.625" style="214" customWidth="1"/>
    <col min="2560" max="2560" width="22.875" style="214" customWidth="1"/>
    <col min="2561" max="2561" width="37.25" style="214" customWidth="1"/>
    <col min="2562" max="2562" width="20.625" style="214" customWidth="1"/>
    <col min="2563" max="2563" width="12.625" style="214" customWidth="1"/>
    <col min="2564" max="2564" width="17.75" style="214" customWidth="1"/>
    <col min="2565" max="2814" width="9" style="214"/>
    <col min="2815" max="2815" width="12.625" style="214" customWidth="1"/>
    <col min="2816" max="2816" width="22.875" style="214" customWidth="1"/>
    <col min="2817" max="2817" width="37.25" style="214" customWidth="1"/>
    <col min="2818" max="2818" width="20.625" style="214" customWidth="1"/>
    <col min="2819" max="2819" width="12.625" style="214" customWidth="1"/>
    <col min="2820" max="2820" width="17.75" style="214" customWidth="1"/>
    <col min="2821" max="3070" width="9" style="214"/>
    <col min="3071" max="3071" width="12.625" style="214" customWidth="1"/>
    <col min="3072" max="3072" width="22.875" style="214" customWidth="1"/>
    <col min="3073" max="3073" width="37.25" style="214" customWidth="1"/>
    <col min="3074" max="3074" width="20.625" style="214" customWidth="1"/>
    <col min="3075" max="3075" width="12.625" style="214" customWidth="1"/>
    <col min="3076" max="3076" width="17.75" style="214" customWidth="1"/>
    <col min="3077" max="3326" width="9" style="214"/>
    <col min="3327" max="3327" width="12.625" style="214" customWidth="1"/>
    <col min="3328" max="3328" width="22.875" style="214" customWidth="1"/>
    <col min="3329" max="3329" width="37.25" style="214" customWidth="1"/>
    <col min="3330" max="3330" width="20.625" style="214" customWidth="1"/>
    <col min="3331" max="3331" width="12.625" style="214" customWidth="1"/>
    <col min="3332" max="3332" width="17.75" style="214" customWidth="1"/>
    <col min="3333" max="3582" width="9" style="214"/>
    <col min="3583" max="3583" width="12.625" style="214" customWidth="1"/>
    <col min="3584" max="3584" width="22.875" style="214" customWidth="1"/>
    <col min="3585" max="3585" width="37.25" style="214" customWidth="1"/>
    <col min="3586" max="3586" width="20.625" style="214" customWidth="1"/>
    <col min="3587" max="3587" width="12.625" style="214" customWidth="1"/>
    <col min="3588" max="3588" width="17.75" style="214" customWidth="1"/>
    <col min="3589" max="3838" width="9" style="214"/>
    <col min="3839" max="3839" width="12.625" style="214" customWidth="1"/>
    <col min="3840" max="3840" width="22.875" style="214" customWidth="1"/>
    <col min="3841" max="3841" width="37.25" style="214" customWidth="1"/>
    <col min="3842" max="3842" width="20.625" style="214" customWidth="1"/>
    <col min="3843" max="3843" width="12.625" style="214" customWidth="1"/>
    <col min="3844" max="3844" width="17.75" style="214" customWidth="1"/>
    <col min="3845" max="4094" width="9" style="214"/>
    <col min="4095" max="4095" width="12.625" style="214" customWidth="1"/>
    <col min="4096" max="4096" width="22.875" style="214" customWidth="1"/>
    <col min="4097" max="4097" width="37.25" style="214" customWidth="1"/>
    <col min="4098" max="4098" width="20.625" style="214" customWidth="1"/>
    <col min="4099" max="4099" width="12.625" style="214" customWidth="1"/>
    <col min="4100" max="4100" width="17.75" style="214" customWidth="1"/>
    <col min="4101" max="4350" width="9" style="214"/>
    <col min="4351" max="4351" width="12.625" style="214" customWidth="1"/>
    <col min="4352" max="4352" width="22.875" style="214" customWidth="1"/>
    <col min="4353" max="4353" width="37.25" style="214" customWidth="1"/>
    <col min="4354" max="4354" width="20.625" style="214" customWidth="1"/>
    <col min="4355" max="4355" width="12.625" style="214" customWidth="1"/>
    <col min="4356" max="4356" width="17.75" style="214" customWidth="1"/>
    <col min="4357" max="4606" width="9" style="214"/>
    <col min="4607" max="4607" width="12.625" style="214" customWidth="1"/>
    <col min="4608" max="4608" width="22.875" style="214" customWidth="1"/>
    <col min="4609" max="4609" width="37.25" style="214" customWidth="1"/>
    <col min="4610" max="4610" width="20.625" style="214" customWidth="1"/>
    <col min="4611" max="4611" width="12.625" style="214" customWidth="1"/>
    <col min="4612" max="4612" width="17.75" style="214" customWidth="1"/>
    <col min="4613" max="4862" width="9" style="214"/>
    <col min="4863" max="4863" width="12.625" style="214" customWidth="1"/>
    <col min="4864" max="4864" width="22.875" style="214" customWidth="1"/>
    <col min="4865" max="4865" width="37.25" style="214" customWidth="1"/>
    <col min="4866" max="4866" width="20.625" style="214" customWidth="1"/>
    <col min="4867" max="4867" width="12.625" style="214" customWidth="1"/>
    <col min="4868" max="4868" width="17.75" style="214" customWidth="1"/>
    <col min="4869" max="5118" width="9" style="214"/>
    <col min="5119" max="5119" width="12.625" style="214" customWidth="1"/>
    <col min="5120" max="5120" width="22.875" style="214" customWidth="1"/>
    <col min="5121" max="5121" width="37.25" style="214" customWidth="1"/>
    <col min="5122" max="5122" width="20.625" style="214" customWidth="1"/>
    <col min="5123" max="5123" width="12.625" style="214" customWidth="1"/>
    <col min="5124" max="5124" width="17.75" style="214" customWidth="1"/>
    <col min="5125" max="5374" width="9" style="214"/>
    <col min="5375" max="5375" width="12.625" style="214" customWidth="1"/>
    <col min="5376" max="5376" width="22.875" style="214" customWidth="1"/>
    <col min="5377" max="5377" width="37.25" style="214" customWidth="1"/>
    <col min="5378" max="5378" width="20.625" style="214" customWidth="1"/>
    <col min="5379" max="5379" width="12.625" style="214" customWidth="1"/>
    <col min="5380" max="5380" width="17.75" style="214" customWidth="1"/>
    <col min="5381" max="5630" width="9" style="214"/>
    <col min="5631" max="5631" width="12.625" style="214" customWidth="1"/>
    <col min="5632" max="5632" width="22.875" style="214" customWidth="1"/>
    <col min="5633" max="5633" width="37.25" style="214" customWidth="1"/>
    <col min="5634" max="5634" width="20.625" style="214" customWidth="1"/>
    <col min="5635" max="5635" width="12.625" style="214" customWidth="1"/>
    <col min="5636" max="5636" width="17.75" style="214" customWidth="1"/>
    <col min="5637" max="5886" width="9" style="214"/>
    <col min="5887" max="5887" width="12.625" style="214" customWidth="1"/>
    <col min="5888" max="5888" width="22.875" style="214" customWidth="1"/>
    <col min="5889" max="5889" width="37.25" style="214" customWidth="1"/>
    <col min="5890" max="5890" width="20.625" style="214" customWidth="1"/>
    <col min="5891" max="5891" width="12.625" style="214" customWidth="1"/>
    <col min="5892" max="5892" width="17.75" style="214" customWidth="1"/>
    <col min="5893" max="6142" width="9" style="214"/>
    <col min="6143" max="6143" width="12.625" style="214" customWidth="1"/>
    <col min="6144" max="6144" width="22.875" style="214" customWidth="1"/>
    <col min="6145" max="6145" width="37.25" style="214" customWidth="1"/>
    <col min="6146" max="6146" width="20.625" style="214" customWidth="1"/>
    <col min="6147" max="6147" width="12.625" style="214" customWidth="1"/>
    <col min="6148" max="6148" width="17.75" style="214" customWidth="1"/>
    <col min="6149" max="6398" width="9" style="214"/>
    <col min="6399" max="6399" width="12.625" style="214" customWidth="1"/>
    <col min="6400" max="6400" width="22.875" style="214" customWidth="1"/>
    <col min="6401" max="6401" width="37.25" style="214" customWidth="1"/>
    <col min="6402" max="6402" width="20.625" style="214" customWidth="1"/>
    <col min="6403" max="6403" width="12.625" style="214" customWidth="1"/>
    <col min="6404" max="6404" width="17.75" style="214" customWidth="1"/>
    <col min="6405" max="6654" width="9" style="214"/>
    <col min="6655" max="6655" width="12.625" style="214" customWidth="1"/>
    <col min="6656" max="6656" width="22.875" style="214" customWidth="1"/>
    <col min="6657" max="6657" width="37.25" style="214" customWidth="1"/>
    <col min="6658" max="6658" width="20.625" style="214" customWidth="1"/>
    <col min="6659" max="6659" width="12.625" style="214" customWidth="1"/>
    <col min="6660" max="6660" width="17.75" style="214" customWidth="1"/>
    <col min="6661" max="6910" width="9" style="214"/>
    <col min="6911" max="6911" width="12.625" style="214" customWidth="1"/>
    <col min="6912" max="6912" width="22.875" style="214" customWidth="1"/>
    <col min="6913" max="6913" width="37.25" style="214" customWidth="1"/>
    <col min="6914" max="6914" width="20.625" style="214" customWidth="1"/>
    <col min="6915" max="6915" width="12.625" style="214" customWidth="1"/>
    <col min="6916" max="6916" width="17.75" style="214" customWidth="1"/>
    <col min="6917" max="7166" width="9" style="214"/>
    <col min="7167" max="7167" width="12.625" style="214" customWidth="1"/>
    <col min="7168" max="7168" width="22.875" style="214" customWidth="1"/>
    <col min="7169" max="7169" width="37.25" style="214" customWidth="1"/>
    <col min="7170" max="7170" width="20.625" style="214" customWidth="1"/>
    <col min="7171" max="7171" width="12.625" style="214" customWidth="1"/>
    <col min="7172" max="7172" width="17.75" style="214" customWidth="1"/>
    <col min="7173" max="7422" width="9" style="214"/>
    <col min="7423" max="7423" width="12.625" style="214" customWidth="1"/>
    <col min="7424" max="7424" width="22.875" style="214" customWidth="1"/>
    <col min="7425" max="7425" width="37.25" style="214" customWidth="1"/>
    <col min="7426" max="7426" width="20.625" style="214" customWidth="1"/>
    <col min="7427" max="7427" width="12.625" style="214" customWidth="1"/>
    <col min="7428" max="7428" width="17.75" style="214" customWidth="1"/>
    <col min="7429" max="7678" width="9" style="214"/>
    <col min="7679" max="7679" width="12.625" style="214" customWidth="1"/>
    <col min="7680" max="7680" width="22.875" style="214" customWidth="1"/>
    <col min="7681" max="7681" width="37.25" style="214" customWidth="1"/>
    <col min="7682" max="7682" width="20.625" style="214" customWidth="1"/>
    <col min="7683" max="7683" width="12.625" style="214" customWidth="1"/>
    <col min="7684" max="7684" width="17.75" style="214" customWidth="1"/>
    <col min="7685" max="7934" width="9" style="214"/>
    <col min="7935" max="7935" width="12.625" style="214" customWidth="1"/>
    <col min="7936" max="7936" width="22.875" style="214" customWidth="1"/>
    <col min="7937" max="7937" width="37.25" style="214" customWidth="1"/>
    <col min="7938" max="7938" width="20.625" style="214" customWidth="1"/>
    <col min="7939" max="7939" width="12.625" style="214" customWidth="1"/>
    <col min="7940" max="7940" width="17.75" style="214" customWidth="1"/>
    <col min="7941" max="8190" width="9" style="214"/>
    <col min="8191" max="8191" width="12.625" style="214" customWidth="1"/>
    <col min="8192" max="8192" width="22.875" style="214" customWidth="1"/>
    <col min="8193" max="8193" width="37.25" style="214" customWidth="1"/>
    <col min="8194" max="8194" width="20.625" style="214" customWidth="1"/>
    <col min="8195" max="8195" width="12.625" style="214" customWidth="1"/>
    <col min="8196" max="8196" width="17.75" style="214" customWidth="1"/>
    <col min="8197" max="8446" width="9" style="214"/>
    <col min="8447" max="8447" width="12.625" style="214" customWidth="1"/>
    <col min="8448" max="8448" width="22.875" style="214" customWidth="1"/>
    <col min="8449" max="8449" width="37.25" style="214" customWidth="1"/>
    <col min="8450" max="8450" width="20.625" style="214" customWidth="1"/>
    <col min="8451" max="8451" width="12.625" style="214" customWidth="1"/>
    <col min="8452" max="8452" width="17.75" style="214" customWidth="1"/>
    <col min="8453" max="8702" width="9" style="214"/>
    <col min="8703" max="8703" width="12.625" style="214" customWidth="1"/>
    <col min="8704" max="8704" width="22.875" style="214" customWidth="1"/>
    <col min="8705" max="8705" width="37.25" style="214" customWidth="1"/>
    <col min="8706" max="8706" width="20.625" style="214" customWidth="1"/>
    <col min="8707" max="8707" width="12.625" style="214" customWidth="1"/>
    <col min="8708" max="8708" width="17.75" style="214" customWidth="1"/>
    <col min="8709" max="8958" width="9" style="214"/>
    <col min="8959" max="8959" width="12.625" style="214" customWidth="1"/>
    <col min="8960" max="8960" width="22.875" style="214" customWidth="1"/>
    <col min="8961" max="8961" width="37.25" style="214" customWidth="1"/>
    <col min="8962" max="8962" width="20.625" style="214" customWidth="1"/>
    <col min="8963" max="8963" width="12.625" style="214" customWidth="1"/>
    <col min="8964" max="8964" width="17.75" style="214" customWidth="1"/>
    <col min="8965" max="9214" width="9" style="214"/>
    <col min="9215" max="9215" width="12.625" style="214" customWidth="1"/>
    <col min="9216" max="9216" width="22.875" style="214" customWidth="1"/>
    <col min="9217" max="9217" width="37.25" style="214" customWidth="1"/>
    <col min="9218" max="9218" width="20.625" style="214" customWidth="1"/>
    <col min="9219" max="9219" width="12.625" style="214" customWidth="1"/>
    <col min="9220" max="9220" width="17.75" style="214" customWidth="1"/>
    <col min="9221" max="9470" width="9" style="214"/>
    <col min="9471" max="9471" width="12.625" style="214" customWidth="1"/>
    <col min="9472" max="9472" width="22.875" style="214" customWidth="1"/>
    <col min="9473" max="9473" width="37.25" style="214" customWidth="1"/>
    <col min="9474" max="9474" width="20.625" style="214" customWidth="1"/>
    <col min="9475" max="9475" width="12.625" style="214" customWidth="1"/>
    <col min="9476" max="9476" width="17.75" style="214" customWidth="1"/>
    <col min="9477" max="9726" width="9" style="214"/>
    <col min="9727" max="9727" width="12.625" style="214" customWidth="1"/>
    <col min="9728" max="9728" width="22.875" style="214" customWidth="1"/>
    <col min="9729" max="9729" width="37.25" style="214" customWidth="1"/>
    <col min="9730" max="9730" width="20.625" style="214" customWidth="1"/>
    <col min="9731" max="9731" width="12.625" style="214" customWidth="1"/>
    <col min="9732" max="9732" width="17.75" style="214" customWidth="1"/>
    <col min="9733" max="9982" width="9" style="214"/>
    <col min="9983" max="9983" width="12.625" style="214" customWidth="1"/>
    <col min="9984" max="9984" width="22.875" style="214" customWidth="1"/>
    <col min="9985" max="9985" width="37.25" style="214" customWidth="1"/>
    <col min="9986" max="9986" width="20.625" style="214" customWidth="1"/>
    <col min="9987" max="9987" width="12.625" style="214" customWidth="1"/>
    <col min="9988" max="9988" width="17.75" style="214" customWidth="1"/>
    <col min="9989" max="10238" width="9" style="214"/>
    <col min="10239" max="10239" width="12.625" style="214" customWidth="1"/>
    <col min="10240" max="10240" width="22.875" style="214" customWidth="1"/>
    <col min="10241" max="10241" width="37.25" style="214" customWidth="1"/>
    <col min="10242" max="10242" width="20.625" style="214" customWidth="1"/>
    <col min="10243" max="10243" width="12.625" style="214" customWidth="1"/>
    <col min="10244" max="10244" width="17.75" style="214" customWidth="1"/>
    <col min="10245" max="10494" width="9" style="214"/>
    <col min="10495" max="10495" width="12.625" style="214" customWidth="1"/>
    <col min="10496" max="10496" width="22.875" style="214" customWidth="1"/>
    <col min="10497" max="10497" width="37.25" style="214" customWidth="1"/>
    <col min="10498" max="10498" width="20.625" style="214" customWidth="1"/>
    <col min="10499" max="10499" width="12.625" style="214" customWidth="1"/>
    <col min="10500" max="10500" width="17.75" style="214" customWidth="1"/>
    <col min="10501" max="10750" width="9" style="214"/>
    <col min="10751" max="10751" width="12.625" style="214" customWidth="1"/>
    <col min="10752" max="10752" width="22.875" style="214" customWidth="1"/>
    <col min="10753" max="10753" width="37.25" style="214" customWidth="1"/>
    <col min="10754" max="10754" width="20.625" style="214" customWidth="1"/>
    <col min="10755" max="10755" width="12.625" style="214" customWidth="1"/>
    <col min="10756" max="10756" width="17.75" style="214" customWidth="1"/>
    <col min="10757" max="11006" width="9" style="214"/>
    <col min="11007" max="11007" width="12.625" style="214" customWidth="1"/>
    <col min="11008" max="11008" width="22.875" style="214" customWidth="1"/>
    <col min="11009" max="11009" width="37.25" style="214" customWidth="1"/>
    <col min="11010" max="11010" width="20.625" style="214" customWidth="1"/>
    <col min="11011" max="11011" width="12.625" style="214" customWidth="1"/>
    <col min="11012" max="11012" width="17.75" style="214" customWidth="1"/>
    <col min="11013" max="11262" width="9" style="214"/>
    <col min="11263" max="11263" width="12.625" style="214" customWidth="1"/>
    <col min="11264" max="11264" width="22.875" style="214" customWidth="1"/>
    <col min="11265" max="11265" width="37.25" style="214" customWidth="1"/>
    <col min="11266" max="11266" width="20.625" style="214" customWidth="1"/>
    <col min="11267" max="11267" width="12.625" style="214" customWidth="1"/>
    <col min="11268" max="11268" width="17.75" style="214" customWidth="1"/>
    <col min="11269" max="11518" width="9" style="214"/>
    <col min="11519" max="11519" width="12.625" style="214" customWidth="1"/>
    <col min="11520" max="11520" width="22.875" style="214" customWidth="1"/>
    <col min="11521" max="11521" width="37.25" style="214" customWidth="1"/>
    <col min="11522" max="11522" width="20.625" style="214" customWidth="1"/>
    <col min="11523" max="11523" width="12.625" style="214" customWidth="1"/>
    <col min="11524" max="11524" width="17.75" style="214" customWidth="1"/>
    <col min="11525" max="11774" width="9" style="214"/>
    <col min="11775" max="11775" width="12.625" style="214" customWidth="1"/>
    <col min="11776" max="11776" width="22.875" style="214" customWidth="1"/>
    <col min="11777" max="11777" width="37.25" style="214" customWidth="1"/>
    <col min="11778" max="11778" width="20.625" style="214" customWidth="1"/>
    <col min="11779" max="11779" width="12.625" style="214" customWidth="1"/>
    <col min="11780" max="11780" width="17.75" style="214" customWidth="1"/>
    <col min="11781" max="12030" width="9" style="214"/>
    <col min="12031" max="12031" width="12.625" style="214" customWidth="1"/>
    <col min="12032" max="12032" width="22.875" style="214" customWidth="1"/>
    <col min="12033" max="12033" width="37.25" style="214" customWidth="1"/>
    <col min="12034" max="12034" width="20.625" style="214" customWidth="1"/>
    <col min="12035" max="12035" width="12.625" style="214" customWidth="1"/>
    <col min="12036" max="12036" width="17.75" style="214" customWidth="1"/>
    <col min="12037" max="12286" width="9" style="214"/>
    <col min="12287" max="12287" width="12.625" style="214" customWidth="1"/>
    <col min="12288" max="12288" width="22.875" style="214" customWidth="1"/>
    <col min="12289" max="12289" width="37.25" style="214" customWidth="1"/>
    <col min="12290" max="12290" width="20.625" style="214" customWidth="1"/>
    <col min="12291" max="12291" width="12.625" style="214" customWidth="1"/>
    <col min="12292" max="12292" width="17.75" style="214" customWidth="1"/>
    <col min="12293" max="12542" width="9" style="214"/>
    <col min="12543" max="12543" width="12.625" style="214" customWidth="1"/>
    <col min="12544" max="12544" width="22.875" style="214" customWidth="1"/>
    <col min="12545" max="12545" width="37.25" style="214" customWidth="1"/>
    <col min="12546" max="12546" width="20.625" style="214" customWidth="1"/>
    <col min="12547" max="12547" width="12.625" style="214" customWidth="1"/>
    <col min="12548" max="12548" width="17.75" style="214" customWidth="1"/>
    <col min="12549" max="12798" width="9" style="214"/>
    <col min="12799" max="12799" width="12.625" style="214" customWidth="1"/>
    <col min="12800" max="12800" width="22.875" style="214" customWidth="1"/>
    <col min="12801" max="12801" width="37.25" style="214" customWidth="1"/>
    <col min="12802" max="12802" width="20.625" style="214" customWidth="1"/>
    <col min="12803" max="12803" width="12.625" style="214" customWidth="1"/>
    <col min="12804" max="12804" width="17.75" style="214" customWidth="1"/>
    <col min="12805" max="13054" width="9" style="214"/>
    <col min="13055" max="13055" width="12.625" style="214" customWidth="1"/>
    <col min="13056" max="13056" width="22.875" style="214" customWidth="1"/>
    <col min="13057" max="13057" width="37.25" style="214" customWidth="1"/>
    <col min="13058" max="13058" width="20.625" style="214" customWidth="1"/>
    <col min="13059" max="13059" width="12.625" style="214" customWidth="1"/>
    <col min="13060" max="13060" width="17.75" style="214" customWidth="1"/>
    <col min="13061" max="13310" width="9" style="214"/>
    <col min="13311" max="13311" width="12.625" style="214" customWidth="1"/>
    <col min="13312" max="13312" width="22.875" style="214" customWidth="1"/>
    <col min="13313" max="13313" width="37.25" style="214" customWidth="1"/>
    <col min="13314" max="13314" width="20.625" style="214" customWidth="1"/>
    <col min="13315" max="13315" width="12.625" style="214" customWidth="1"/>
    <col min="13316" max="13316" width="17.75" style="214" customWidth="1"/>
    <col min="13317" max="13566" width="9" style="214"/>
    <col min="13567" max="13567" width="12.625" style="214" customWidth="1"/>
    <col min="13568" max="13568" width="22.875" style="214" customWidth="1"/>
    <col min="13569" max="13569" width="37.25" style="214" customWidth="1"/>
    <col min="13570" max="13570" width="20.625" style="214" customWidth="1"/>
    <col min="13571" max="13571" width="12.625" style="214" customWidth="1"/>
    <col min="13572" max="13572" width="17.75" style="214" customWidth="1"/>
    <col min="13573" max="13822" width="9" style="214"/>
    <col min="13823" max="13823" width="12.625" style="214" customWidth="1"/>
    <col min="13824" max="13824" width="22.875" style="214" customWidth="1"/>
    <col min="13825" max="13825" width="37.25" style="214" customWidth="1"/>
    <col min="13826" max="13826" width="20.625" style="214" customWidth="1"/>
    <col min="13827" max="13827" width="12.625" style="214" customWidth="1"/>
    <col min="13828" max="13828" width="17.75" style="214" customWidth="1"/>
    <col min="13829" max="14078" width="9" style="214"/>
    <col min="14079" max="14079" width="12.625" style="214" customWidth="1"/>
    <col min="14080" max="14080" width="22.875" style="214" customWidth="1"/>
    <col min="14081" max="14081" width="37.25" style="214" customWidth="1"/>
    <col min="14082" max="14082" width="20.625" style="214" customWidth="1"/>
    <col min="14083" max="14083" width="12.625" style="214" customWidth="1"/>
    <col min="14084" max="14084" width="17.75" style="214" customWidth="1"/>
    <col min="14085" max="14334" width="9" style="214"/>
    <col min="14335" max="14335" width="12.625" style="214" customWidth="1"/>
    <col min="14336" max="14336" width="22.875" style="214" customWidth="1"/>
    <col min="14337" max="14337" width="37.25" style="214" customWidth="1"/>
    <col min="14338" max="14338" width="20.625" style="214" customWidth="1"/>
    <col min="14339" max="14339" width="12.625" style="214" customWidth="1"/>
    <col min="14340" max="14340" width="17.75" style="214" customWidth="1"/>
    <col min="14341" max="14590" width="9" style="214"/>
    <col min="14591" max="14591" width="12.625" style="214" customWidth="1"/>
    <col min="14592" max="14592" width="22.875" style="214" customWidth="1"/>
    <col min="14593" max="14593" width="37.25" style="214" customWidth="1"/>
    <col min="14594" max="14594" width="20.625" style="214" customWidth="1"/>
    <col min="14595" max="14595" width="12.625" style="214" customWidth="1"/>
    <col min="14596" max="14596" width="17.75" style="214" customWidth="1"/>
    <col min="14597" max="14846" width="9" style="214"/>
    <col min="14847" max="14847" width="12.625" style="214" customWidth="1"/>
    <col min="14848" max="14848" width="22.875" style="214" customWidth="1"/>
    <col min="14849" max="14849" width="37.25" style="214" customWidth="1"/>
    <col min="14850" max="14850" width="20.625" style="214" customWidth="1"/>
    <col min="14851" max="14851" width="12.625" style="214" customWidth="1"/>
    <col min="14852" max="14852" width="17.75" style="214" customWidth="1"/>
    <col min="14853" max="15102" width="9" style="214"/>
    <col min="15103" max="15103" width="12.625" style="214" customWidth="1"/>
    <col min="15104" max="15104" width="22.875" style="214" customWidth="1"/>
    <col min="15105" max="15105" width="37.25" style="214" customWidth="1"/>
    <col min="15106" max="15106" width="20.625" style="214" customWidth="1"/>
    <col min="15107" max="15107" width="12.625" style="214" customWidth="1"/>
    <col min="15108" max="15108" width="17.75" style="214" customWidth="1"/>
    <col min="15109" max="15358" width="9" style="214"/>
    <col min="15359" max="15359" width="12.625" style="214" customWidth="1"/>
    <col min="15360" max="15360" width="22.875" style="214" customWidth="1"/>
    <col min="15361" max="15361" width="37.25" style="214" customWidth="1"/>
    <col min="15362" max="15362" width="20.625" style="214" customWidth="1"/>
    <col min="15363" max="15363" width="12.625" style="214" customWidth="1"/>
    <col min="15364" max="15364" width="17.75" style="214" customWidth="1"/>
    <col min="15365" max="15614" width="9" style="214"/>
    <col min="15615" max="15615" width="12.625" style="214" customWidth="1"/>
    <col min="15616" max="15616" width="22.875" style="214" customWidth="1"/>
    <col min="15617" max="15617" width="37.25" style="214" customWidth="1"/>
    <col min="15618" max="15618" width="20.625" style="214" customWidth="1"/>
    <col min="15619" max="15619" width="12.625" style="214" customWidth="1"/>
    <col min="15620" max="15620" width="17.75" style="214" customWidth="1"/>
    <col min="15621" max="15870" width="9" style="214"/>
    <col min="15871" max="15871" width="12.625" style="214" customWidth="1"/>
    <col min="15872" max="15872" width="22.875" style="214" customWidth="1"/>
    <col min="15873" max="15873" width="37.25" style="214" customWidth="1"/>
    <col min="15874" max="15874" width="20.625" style="214" customWidth="1"/>
    <col min="15875" max="15875" width="12.625" style="214" customWidth="1"/>
    <col min="15876" max="15876" width="17.75" style="214" customWidth="1"/>
    <col min="15877" max="16126" width="9" style="214"/>
    <col min="16127" max="16127" width="12.625" style="214" customWidth="1"/>
    <col min="16128" max="16128" width="22.875" style="214" customWidth="1"/>
    <col min="16129" max="16129" width="37.25" style="214" customWidth="1"/>
    <col min="16130" max="16130" width="20.625" style="214" customWidth="1"/>
    <col min="16131" max="16131" width="12.625" style="214" customWidth="1"/>
    <col min="16132" max="16132" width="17.75" style="214" customWidth="1"/>
    <col min="16133" max="16384" width="9" style="214"/>
  </cols>
  <sheetData>
    <row r="1" spans="1:8" s="211" customFormat="1" ht="20.100000000000001" customHeight="1">
      <c r="A1" s="209" t="s">
        <v>494</v>
      </c>
      <c r="B1" s="210"/>
      <c r="C1" s="231"/>
      <c r="E1" s="212"/>
    </row>
    <row r="2" spans="1:8" ht="8.25" customHeight="1"/>
    <row r="3" spans="1:8" s="217" customFormat="1" ht="16.5" customHeight="1">
      <c r="A3" s="216" t="e">
        <f>#REF!</f>
        <v>#REF!</v>
      </c>
      <c r="B3" s="216"/>
      <c r="C3" s="220"/>
      <c r="E3" s="218" t="s">
        <v>0</v>
      </c>
    </row>
    <row r="4" spans="1:8" s="217" customFormat="1" ht="21.95" customHeight="1">
      <c r="A4" s="821" t="s">
        <v>122</v>
      </c>
      <c r="B4" s="294" t="s">
        <v>31</v>
      </c>
      <c r="C4" s="822" t="s">
        <v>2</v>
      </c>
      <c r="D4" s="823" t="s">
        <v>3</v>
      </c>
      <c r="E4" s="337" t="s">
        <v>124</v>
      </c>
    </row>
    <row r="5" spans="1:8" ht="21.95" customHeight="1">
      <c r="A5" s="828"/>
      <c r="B5" s="825"/>
      <c r="C5" s="824"/>
      <c r="D5" s="827"/>
      <c r="E5" s="826"/>
      <c r="G5" s="217"/>
      <c r="H5" s="217"/>
    </row>
    <row r="6" spans="1:8" ht="21.95" customHeight="1">
      <c r="A6" s="810"/>
      <c r="B6" s="802"/>
      <c r="C6" s="802"/>
      <c r="D6" s="803"/>
      <c r="E6" s="826"/>
      <c r="G6" s="217"/>
      <c r="H6" s="217"/>
    </row>
    <row r="7" spans="1:8" ht="21.95" customHeight="1">
      <c r="A7" s="800"/>
      <c r="B7" s="801"/>
      <c r="C7" s="802"/>
      <c r="D7" s="803"/>
      <c r="E7" s="804"/>
      <c r="G7" s="217"/>
      <c r="H7" s="217"/>
    </row>
    <row r="8" spans="1:8" ht="21.95" customHeight="1">
      <c r="A8" s="800"/>
      <c r="B8" s="801"/>
      <c r="C8" s="802"/>
      <c r="D8" s="803"/>
      <c r="E8" s="804"/>
    </row>
    <row r="9" spans="1:8" ht="21.95" customHeight="1">
      <c r="A9" s="800"/>
      <c r="B9" s="801"/>
      <c r="C9" s="802"/>
      <c r="D9" s="803"/>
      <c r="E9" s="804"/>
    </row>
    <row r="10" spans="1:8" ht="21.95" customHeight="1">
      <c r="A10" s="813"/>
      <c r="B10" s="814"/>
      <c r="C10" s="802"/>
      <c r="D10" s="803"/>
      <c r="E10" s="804"/>
    </row>
    <row r="11" spans="1:8" ht="21.95" customHeight="1">
      <c r="A11" s="815"/>
      <c r="B11" s="816"/>
      <c r="C11" s="805"/>
      <c r="D11" s="803"/>
      <c r="E11" s="806"/>
    </row>
    <row r="12" spans="1:8" ht="21.95" customHeight="1">
      <c r="A12" s="815"/>
      <c r="B12" s="816"/>
      <c r="C12" s="805"/>
      <c r="D12" s="803"/>
      <c r="E12" s="806"/>
    </row>
    <row r="13" spans="1:8" ht="21.95" customHeight="1">
      <c r="A13" s="815"/>
      <c r="B13" s="816"/>
      <c r="C13" s="805"/>
      <c r="D13" s="803"/>
      <c r="E13" s="806"/>
    </row>
    <row r="14" spans="1:8" ht="21.95" customHeight="1">
      <c r="A14" s="815"/>
      <c r="B14" s="816"/>
      <c r="C14" s="805"/>
      <c r="D14" s="803"/>
      <c r="E14" s="806"/>
    </row>
    <row r="15" spans="1:8" ht="21.95" customHeight="1">
      <c r="A15" s="807"/>
      <c r="B15" s="803"/>
      <c r="C15" s="802"/>
      <c r="D15" s="803"/>
      <c r="E15" s="808"/>
    </row>
    <row r="16" spans="1:8" ht="21.95" customHeight="1">
      <c r="A16" s="807"/>
      <c r="B16" s="803"/>
      <c r="C16" s="802"/>
      <c r="D16" s="803"/>
      <c r="E16" s="808"/>
    </row>
    <row r="17" spans="1:5" ht="21.95" customHeight="1">
      <c r="A17" s="807"/>
      <c r="B17" s="802"/>
      <c r="C17" s="802"/>
      <c r="D17" s="803"/>
      <c r="E17" s="808"/>
    </row>
    <row r="18" spans="1:5" ht="21.95" customHeight="1">
      <c r="A18" s="817"/>
      <c r="B18" s="818"/>
      <c r="C18" s="818"/>
      <c r="D18" s="809"/>
      <c r="E18" s="804"/>
    </row>
    <row r="19" spans="1:5" ht="21.95" customHeight="1">
      <c r="A19" s="813"/>
      <c r="B19" s="814"/>
      <c r="C19" s="802"/>
      <c r="D19" s="803"/>
      <c r="E19" s="804"/>
    </row>
    <row r="20" spans="1:5" ht="21.95" customHeight="1">
      <c r="A20" s="810"/>
      <c r="B20" s="802"/>
      <c r="C20" s="802"/>
      <c r="D20" s="803"/>
      <c r="E20" s="804"/>
    </row>
    <row r="21" spans="1:5" ht="21.95" customHeight="1">
      <c r="A21" s="819"/>
      <c r="B21" s="820"/>
      <c r="C21" s="820"/>
      <c r="D21" s="811"/>
      <c r="E21" s="812"/>
    </row>
    <row r="22" spans="1:5" ht="21.95" customHeight="1">
      <c r="A22" s="799" t="s">
        <v>5</v>
      </c>
      <c r="B22" s="334"/>
      <c r="C22" s="331"/>
      <c r="D22" s="332">
        <f>D5</f>
        <v>0</v>
      </c>
      <c r="E22" s="333"/>
    </row>
    <row r="23" spans="1:5" ht="18" customHeight="1">
      <c r="A23" s="220" t="str">
        <f>'매입채무(외상매입금)'!A20</f>
        <v>김천에너지서비스㈜</v>
      </c>
      <c r="B23" s="221"/>
      <c r="C23" s="224"/>
      <c r="D23" s="222"/>
      <c r="E23" s="222"/>
    </row>
    <row r="24" spans="1:5" s="215" customFormat="1" ht="20.100000000000001" customHeight="1">
      <c r="A24" s="223"/>
      <c r="B24" s="224"/>
      <c r="C24" s="223"/>
    </row>
    <row r="25" spans="1:5" s="215" customFormat="1" ht="15" customHeight="1">
      <c r="A25" s="223"/>
      <c r="B25" s="223"/>
      <c r="C25" s="223"/>
    </row>
    <row r="26" spans="1:5" s="215" customFormat="1" ht="16.5" customHeight="1">
      <c r="A26" s="223"/>
      <c r="B26" s="225"/>
      <c r="C26" s="232"/>
      <c r="D26" s="226"/>
      <c r="E26" s="226"/>
    </row>
    <row r="27" spans="1:5" s="215" customFormat="1" ht="16.5" customHeight="1">
      <c r="A27" s="224"/>
      <c r="B27" s="224"/>
      <c r="C27" s="224"/>
      <c r="D27" s="224"/>
      <c r="E27" s="224"/>
    </row>
    <row r="28" spans="1:5" s="215" customFormat="1" ht="16.5" customHeight="1">
      <c r="A28" s="227"/>
      <c r="B28" s="227"/>
      <c r="C28" s="227"/>
      <c r="D28" s="228"/>
      <c r="E28" s="229"/>
    </row>
    <row r="29" spans="1:5" s="215" customFormat="1" ht="16.5" customHeight="1">
      <c r="A29" s="227"/>
      <c r="B29" s="227"/>
      <c r="C29" s="227"/>
      <c r="D29" s="228"/>
      <c r="E29" s="229"/>
    </row>
    <row r="30" spans="1:5" s="215" customFormat="1" ht="16.5" customHeight="1">
      <c r="A30" s="227"/>
      <c r="B30" s="227"/>
      <c r="C30" s="233"/>
      <c r="D30" s="230"/>
      <c r="E30" s="229"/>
    </row>
    <row r="31" spans="1:5" s="215" customFormat="1" ht="16.5" customHeight="1">
      <c r="A31" s="227"/>
      <c r="B31" s="227"/>
      <c r="C31" s="227"/>
      <c r="D31" s="229"/>
      <c r="E31" s="229"/>
    </row>
    <row r="32" spans="1:5" s="215" customFormat="1" ht="16.5" customHeight="1">
      <c r="A32" s="227"/>
      <c r="B32" s="227"/>
      <c r="C32" s="227"/>
      <c r="D32" s="229"/>
      <c r="E32" s="229"/>
    </row>
    <row r="33" spans="1:5" s="215" customFormat="1" ht="16.5" customHeight="1">
      <c r="A33" s="227"/>
      <c r="B33" s="227"/>
      <c r="C33" s="227"/>
      <c r="D33" s="229"/>
      <c r="E33" s="229"/>
    </row>
    <row r="34" spans="1:5" s="215" customFormat="1" ht="16.5" customHeight="1">
      <c r="A34" s="227"/>
      <c r="B34" s="227"/>
      <c r="C34" s="227"/>
      <c r="D34" s="229"/>
      <c r="E34" s="229"/>
    </row>
    <row r="35" spans="1:5" s="215" customFormat="1" ht="16.5" customHeight="1">
      <c r="A35" s="227"/>
      <c r="B35" s="227"/>
      <c r="C35" s="227"/>
      <c r="D35" s="229"/>
      <c r="E35" s="229"/>
    </row>
    <row r="36" spans="1:5" s="215" customFormat="1" ht="16.5" customHeight="1">
      <c r="A36" s="227"/>
      <c r="B36" s="227"/>
      <c r="C36" s="227"/>
      <c r="D36" s="229"/>
      <c r="E36" s="229"/>
    </row>
    <row r="37" spans="1:5" s="215" customFormat="1" ht="16.5" customHeight="1">
      <c r="A37" s="227"/>
      <c r="B37" s="227"/>
      <c r="C37" s="227"/>
      <c r="D37" s="229"/>
      <c r="E37" s="229"/>
    </row>
    <row r="38" spans="1:5" s="215" customFormat="1" ht="16.5" customHeight="1">
      <c r="A38" s="227"/>
      <c r="B38" s="227"/>
      <c r="C38" s="227"/>
      <c r="D38" s="229"/>
      <c r="E38" s="229"/>
    </row>
    <row r="39" spans="1:5" s="215" customFormat="1" ht="16.5" customHeight="1">
      <c r="A39" s="227"/>
      <c r="B39" s="227"/>
      <c r="C39" s="227"/>
      <c r="D39" s="229"/>
      <c r="E39" s="229"/>
    </row>
    <row r="40" spans="1:5" s="215" customFormat="1" ht="16.5" customHeight="1">
      <c r="A40" s="227"/>
      <c r="B40" s="227"/>
      <c r="C40" s="227"/>
      <c r="D40" s="229"/>
      <c r="E40" s="229"/>
    </row>
    <row r="41" spans="1:5" s="215" customFormat="1" ht="16.5" customHeight="1">
      <c r="A41" s="227"/>
      <c r="B41" s="227"/>
      <c r="C41" s="227"/>
      <c r="D41" s="229"/>
      <c r="E41" s="229"/>
    </row>
    <row r="42" spans="1:5" s="215" customFormat="1" ht="16.5" customHeight="1">
      <c r="A42" s="227"/>
      <c r="B42" s="227"/>
      <c r="C42" s="227"/>
      <c r="D42" s="229"/>
      <c r="E42" s="229"/>
    </row>
    <row r="43" spans="1:5" s="215" customFormat="1" ht="16.5" customHeight="1">
      <c r="A43" s="227"/>
      <c r="B43" s="227"/>
      <c r="C43" s="227"/>
      <c r="D43" s="229"/>
      <c r="E43" s="229"/>
    </row>
    <row r="44" spans="1:5" s="215" customFormat="1" ht="16.5" customHeight="1">
      <c r="A44" s="227"/>
      <c r="B44" s="227"/>
      <c r="C44" s="227"/>
      <c r="D44" s="229"/>
      <c r="E44" s="229"/>
    </row>
    <row r="45" spans="1:5" s="215" customFormat="1" ht="16.5" customHeight="1">
      <c r="A45" s="227"/>
      <c r="B45" s="227"/>
      <c r="C45" s="227"/>
      <c r="D45" s="229"/>
      <c r="E45" s="229"/>
    </row>
    <row r="46" spans="1:5" s="215" customFormat="1" ht="16.5" customHeight="1">
      <c r="A46" s="227"/>
      <c r="B46" s="227"/>
      <c r="C46" s="227"/>
      <c r="D46" s="229"/>
      <c r="E46" s="229"/>
    </row>
    <row r="47" spans="1:5" s="215" customFormat="1" ht="16.5" customHeight="1">
      <c r="A47" s="227"/>
      <c r="B47" s="227"/>
      <c r="C47" s="227"/>
      <c r="D47" s="229"/>
      <c r="E47" s="229"/>
    </row>
    <row r="48" spans="1:5" s="215" customFormat="1" ht="16.5" customHeight="1">
      <c r="A48" s="227"/>
      <c r="B48" s="227"/>
      <c r="C48" s="227"/>
      <c r="D48" s="229"/>
      <c r="E48" s="229"/>
    </row>
    <row r="49" spans="1:5" s="215" customFormat="1" ht="16.5" customHeight="1">
      <c r="A49" s="227"/>
      <c r="B49" s="227"/>
      <c r="C49" s="227"/>
      <c r="D49" s="229"/>
      <c r="E49" s="229"/>
    </row>
    <row r="50" spans="1:5" s="215" customFormat="1" ht="16.5" customHeight="1">
      <c r="A50" s="227"/>
      <c r="B50" s="227"/>
      <c r="C50" s="227"/>
      <c r="D50" s="229"/>
      <c r="E50" s="229"/>
    </row>
    <row r="51" spans="1:5" s="215" customFormat="1" ht="16.5" customHeight="1">
      <c r="A51" s="224"/>
      <c r="B51" s="224"/>
      <c r="C51" s="224"/>
      <c r="D51" s="222"/>
      <c r="E51" s="222"/>
    </row>
    <row r="52" spans="1:5" s="215" customFormat="1" ht="16.5" customHeight="1">
      <c r="A52" s="224"/>
      <c r="B52" s="224"/>
      <c r="C52" s="224"/>
      <c r="D52" s="222"/>
      <c r="E52" s="222"/>
    </row>
    <row r="53" spans="1:5" s="215" customFormat="1" ht="16.5" customHeight="1">
      <c r="A53" s="223"/>
      <c r="B53" s="223"/>
      <c r="C53" s="223"/>
    </row>
    <row r="54" spans="1:5" s="215" customFormat="1" ht="16.5" customHeight="1">
      <c r="A54" s="223"/>
      <c r="B54" s="223"/>
      <c r="C54" s="223"/>
    </row>
    <row r="55" spans="1:5" s="215" customFormat="1" ht="16.5" customHeight="1">
      <c r="A55" s="223"/>
      <c r="B55" s="223"/>
      <c r="C55" s="223"/>
    </row>
  </sheetData>
  <phoneticPr fontId="2" type="noConversion"/>
  <printOptions horizontalCentered="1"/>
  <pageMargins left="0.39370078740157483" right="0.39370078740157483" top="0.39370078740157483" bottom="0.39370078740157483" header="0.39370078740157483" footer="0.39370078740157483"/>
  <pageSetup paperSize="9" orientation="landscape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SheetLayoutView="100" workbookViewId="0"/>
  </sheetViews>
  <sheetFormatPr defaultColWidth="12.625" defaultRowHeight="20.100000000000001" customHeight="1"/>
  <cols>
    <col min="1" max="1" width="16.125" style="29" customWidth="1"/>
    <col min="2" max="2" width="16.25" style="29" customWidth="1"/>
    <col min="3" max="3" width="30.5" style="29" customWidth="1"/>
    <col min="4" max="4" width="21.375" style="29" customWidth="1"/>
    <col min="5" max="5" width="21.75" style="29" customWidth="1"/>
    <col min="6" max="12" width="0" style="29" hidden="1" customWidth="1"/>
    <col min="13" max="251" width="12.625" style="29"/>
    <col min="252" max="252" width="20.625" style="29" customWidth="1"/>
    <col min="253" max="253" width="38.125" style="29" customWidth="1"/>
    <col min="254" max="254" width="17.25" style="29" customWidth="1"/>
    <col min="255" max="255" width="18.75" style="29" customWidth="1"/>
    <col min="256" max="256" width="19.625" style="29" customWidth="1"/>
    <col min="257" max="507" width="12.625" style="29"/>
    <col min="508" max="508" width="20.625" style="29" customWidth="1"/>
    <col min="509" max="509" width="38.125" style="29" customWidth="1"/>
    <col min="510" max="510" width="17.25" style="29" customWidth="1"/>
    <col min="511" max="511" width="18.75" style="29" customWidth="1"/>
    <col min="512" max="512" width="19.625" style="29" customWidth="1"/>
    <col min="513" max="763" width="12.625" style="29"/>
    <col min="764" max="764" width="20.625" style="29" customWidth="1"/>
    <col min="765" max="765" width="38.125" style="29" customWidth="1"/>
    <col min="766" max="766" width="17.25" style="29" customWidth="1"/>
    <col min="767" max="767" width="18.75" style="29" customWidth="1"/>
    <col min="768" max="768" width="19.625" style="29" customWidth="1"/>
    <col min="769" max="1019" width="12.625" style="29"/>
    <col min="1020" max="1020" width="20.625" style="29" customWidth="1"/>
    <col min="1021" max="1021" width="38.125" style="29" customWidth="1"/>
    <col min="1022" max="1022" width="17.25" style="29" customWidth="1"/>
    <col min="1023" max="1023" width="18.75" style="29" customWidth="1"/>
    <col min="1024" max="1024" width="19.625" style="29" customWidth="1"/>
    <col min="1025" max="1275" width="12.625" style="29"/>
    <col min="1276" max="1276" width="20.625" style="29" customWidth="1"/>
    <col min="1277" max="1277" width="38.125" style="29" customWidth="1"/>
    <col min="1278" max="1278" width="17.25" style="29" customWidth="1"/>
    <col min="1279" max="1279" width="18.75" style="29" customWidth="1"/>
    <col min="1280" max="1280" width="19.625" style="29" customWidth="1"/>
    <col min="1281" max="1531" width="12.625" style="29"/>
    <col min="1532" max="1532" width="20.625" style="29" customWidth="1"/>
    <col min="1533" max="1533" width="38.125" style="29" customWidth="1"/>
    <col min="1534" max="1534" width="17.25" style="29" customWidth="1"/>
    <col min="1535" max="1535" width="18.75" style="29" customWidth="1"/>
    <col min="1536" max="1536" width="19.625" style="29" customWidth="1"/>
    <col min="1537" max="1787" width="12.625" style="29"/>
    <col min="1788" max="1788" width="20.625" style="29" customWidth="1"/>
    <col min="1789" max="1789" width="38.125" style="29" customWidth="1"/>
    <col min="1790" max="1790" width="17.25" style="29" customWidth="1"/>
    <col min="1791" max="1791" width="18.75" style="29" customWidth="1"/>
    <col min="1792" max="1792" width="19.625" style="29" customWidth="1"/>
    <col min="1793" max="2043" width="12.625" style="29"/>
    <col min="2044" max="2044" width="20.625" style="29" customWidth="1"/>
    <col min="2045" max="2045" width="38.125" style="29" customWidth="1"/>
    <col min="2046" max="2046" width="17.25" style="29" customWidth="1"/>
    <col min="2047" max="2047" width="18.75" style="29" customWidth="1"/>
    <col min="2048" max="2048" width="19.625" style="29" customWidth="1"/>
    <col min="2049" max="2299" width="12.625" style="29"/>
    <col min="2300" max="2300" width="20.625" style="29" customWidth="1"/>
    <col min="2301" max="2301" width="38.125" style="29" customWidth="1"/>
    <col min="2302" max="2302" width="17.25" style="29" customWidth="1"/>
    <col min="2303" max="2303" width="18.75" style="29" customWidth="1"/>
    <col min="2304" max="2304" width="19.625" style="29" customWidth="1"/>
    <col min="2305" max="2555" width="12.625" style="29"/>
    <col min="2556" max="2556" width="20.625" style="29" customWidth="1"/>
    <col min="2557" max="2557" width="38.125" style="29" customWidth="1"/>
    <col min="2558" max="2558" width="17.25" style="29" customWidth="1"/>
    <col min="2559" max="2559" width="18.75" style="29" customWidth="1"/>
    <col min="2560" max="2560" width="19.625" style="29" customWidth="1"/>
    <col min="2561" max="2811" width="12.625" style="29"/>
    <col min="2812" max="2812" width="20.625" style="29" customWidth="1"/>
    <col min="2813" max="2813" width="38.125" style="29" customWidth="1"/>
    <col min="2814" max="2814" width="17.25" style="29" customWidth="1"/>
    <col min="2815" max="2815" width="18.75" style="29" customWidth="1"/>
    <col min="2816" max="2816" width="19.625" style="29" customWidth="1"/>
    <col min="2817" max="3067" width="12.625" style="29"/>
    <col min="3068" max="3068" width="20.625" style="29" customWidth="1"/>
    <col min="3069" max="3069" width="38.125" style="29" customWidth="1"/>
    <col min="3070" max="3070" width="17.25" style="29" customWidth="1"/>
    <col min="3071" max="3071" width="18.75" style="29" customWidth="1"/>
    <col min="3072" max="3072" width="19.625" style="29" customWidth="1"/>
    <col min="3073" max="3323" width="12.625" style="29"/>
    <col min="3324" max="3324" width="20.625" style="29" customWidth="1"/>
    <col min="3325" max="3325" width="38.125" style="29" customWidth="1"/>
    <col min="3326" max="3326" width="17.25" style="29" customWidth="1"/>
    <col min="3327" max="3327" width="18.75" style="29" customWidth="1"/>
    <col min="3328" max="3328" width="19.625" style="29" customWidth="1"/>
    <col min="3329" max="3579" width="12.625" style="29"/>
    <col min="3580" max="3580" width="20.625" style="29" customWidth="1"/>
    <col min="3581" max="3581" width="38.125" style="29" customWidth="1"/>
    <col min="3582" max="3582" width="17.25" style="29" customWidth="1"/>
    <col min="3583" max="3583" width="18.75" style="29" customWidth="1"/>
    <col min="3584" max="3584" width="19.625" style="29" customWidth="1"/>
    <col min="3585" max="3835" width="12.625" style="29"/>
    <col min="3836" max="3836" width="20.625" style="29" customWidth="1"/>
    <col min="3837" max="3837" width="38.125" style="29" customWidth="1"/>
    <col min="3838" max="3838" width="17.25" style="29" customWidth="1"/>
    <col min="3839" max="3839" width="18.75" style="29" customWidth="1"/>
    <col min="3840" max="3840" width="19.625" style="29" customWidth="1"/>
    <col min="3841" max="4091" width="12.625" style="29"/>
    <col min="4092" max="4092" width="20.625" style="29" customWidth="1"/>
    <col min="4093" max="4093" width="38.125" style="29" customWidth="1"/>
    <col min="4094" max="4094" width="17.25" style="29" customWidth="1"/>
    <col min="4095" max="4095" width="18.75" style="29" customWidth="1"/>
    <col min="4096" max="4096" width="19.625" style="29" customWidth="1"/>
    <col min="4097" max="4347" width="12.625" style="29"/>
    <col min="4348" max="4348" width="20.625" style="29" customWidth="1"/>
    <col min="4349" max="4349" width="38.125" style="29" customWidth="1"/>
    <col min="4350" max="4350" width="17.25" style="29" customWidth="1"/>
    <col min="4351" max="4351" width="18.75" style="29" customWidth="1"/>
    <col min="4352" max="4352" width="19.625" style="29" customWidth="1"/>
    <col min="4353" max="4603" width="12.625" style="29"/>
    <col min="4604" max="4604" width="20.625" style="29" customWidth="1"/>
    <col min="4605" max="4605" width="38.125" style="29" customWidth="1"/>
    <col min="4606" max="4606" width="17.25" style="29" customWidth="1"/>
    <col min="4607" max="4607" width="18.75" style="29" customWidth="1"/>
    <col min="4608" max="4608" width="19.625" style="29" customWidth="1"/>
    <col min="4609" max="4859" width="12.625" style="29"/>
    <col min="4860" max="4860" width="20.625" style="29" customWidth="1"/>
    <col min="4861" max="4861" width="38.125" style="29" customWidth="1"/>
    <col min="4862" max="4862" width="17.25" style="29" customWidth="1"/>
    <col min="4863" max="4863" width="18.75" style="29" customWidth="1"/>
    <col min="4864" max="4864" width="19.625" style="29" customWidth="1"/>
    <col min="4865" max="5115" width="12.625" style="29"/>
    <col min="5116" max="5116" width="20.625" style="29" customWidth="1"/>
    <col min="5117" max="5117" width="38.125" style="29" customWidth="1"/>
    <col min="5118" max="5118" width="17.25" style="29" customWidth="1"/>
    <col min="5119" max="5119" width="18.75" style="29" customWidth="1"/>
    <col min="5120" max="5120" width="19.625" style="29" customWidth="1"/>
    <col min="5121" max="5371" width="12.625" style="29"/>
    <col min="5372" max="5372" width="20.625" style="29" customWidth="1"/>
    <col min="5373" max="5373" width="38.125" style="29" customWidth="1"/>
    <col min="5374" max="5374" width="17.25" style="29" customWidth="1"/>
    <col min="5375" max="5375" width="18.75" style="29" customWidth="1"/>
    <col min="5376" max="5376" width="19.625" style="29" customWidth="1"/>
    <col min="5377" max="5627" width="12.625" style="29"/>
    <col min="5628" max="5628" width="20.625" style="29" customWidth="1"/>
    <col min="5629" max="5629" width="38.125" style="29" customWidth="1"/>
    <col min="5630" max="5630" width="17.25" style="29" customWidth="1"/>
    <col min="5631" max="5631" width="18.75" style="29" customWidth="1"/>
    <col min="5632" max="5632" width="19.625" style="29" customWidth="1"/>
    <col min="5633" max="5883" width="12.625" style="29"/>
    <col min="5884" max="5884" width="20.625" style="29" customWidth="1"/>
    <col min="5885" max="5885" width="38.125" style="29" customWidth="1"/>
    <col min="5886" max="5886" width="17.25" style="29" customWidth="1"/>
    <col min="5887" max="5887" width="18.75" style="29" customWidth="1"/>
    <col min="5888" max="5888" width="19.625" style="29" customWidth="1"/>
    <col min="5889" max="6139" width="12.625" style="29"/>
    <col min="6140" max="6140" width="20.625" style="29" customWidth="1"/>
    <col min="6141" max="6141" width="38.125" style="29" customWidth="1"/>
    <col min="6142" max="6142" width="17.25" style="29" customWidth="1"/>
    <col min="6143" max="6143" width="18.75" style="29" customWidth="1"/>
    <col min="6144" max="6144" width="19.625" style="29" customWidth="1"/>
    <col min="6145" max="6395" width="12.625" style="29"/>
    <col min="6396" max="6396" width="20.625" style="29" customWidth="1"/>
    <col min="6397" max="6397" width="38.125" style="29" customWidth="1"/>
    <col min="6398" max="6398" width="17.25" style="29" customWidth="1"/>
    <col min="6399" max="6399" width="18.75" style="29" customWidth="1"/>
    <col min="6400" max="6400" width="19.625" style="29" customWidth="1"/>
    <col min="6401" max="6651" width="12.625" style="29"/>
    <col min="6652" max="6652" width="20.625" style="29" customWidth="1"/>
    <col min="6653" max="6653" width="38.125" style="29" customWidth="1"/>
    <col min="6654" max="6654" width="17.25" style="29" customWidth="1"/>
    <col min="6655" max="6655" width="18.75" style="29" customWidth="1"/>
    <col min="6656" max="6656" width="19.625" style="29" customWidth="1"/>
    <col min="6657" max="6907" width="12.625" style="29"/>
    <col min="6908" max="6908" width="20.625" style="29" customWidth="1"/>
    <col min="6909" max="6909" width="38.125" style="29" customWidth="1"/>
    <col min="6910" max="6910" width="17.25" style="29" customWidth="1"/>
    <col min="6911" max="6911" width="18.75" style="29" customWidth="1"/>
    <col min="6912" max="6912" width="19.625" style="29" customWidth="1"/>
    <col min="6913" max="7163" width="12.625" style="29"/>
    <col min="7164" max="7164" width="20.625" style="29" customWidth="1"/>
    <col min="7165" max="7165" width="38.125" style="29" customWidth="1"/>
    <col min="7166" max="7166" width="17.25" style="29" customWidth="1"/>
    <col min="7167" max="7167" width="18.75" style="29" customWidth="1"/>
    <col min="7168" max="7168" width="19.625" style="29" customWidth="1"/>
    <col min="7169" max="7419" width="12.625" style="29"/>
    <col min="7420" max="7420" width="20.625" style="29" customWidth="1"/>
    <col min="7421" max="7421" width="38.125" style="29" customWidth="1"/>
    <col min="7422" max="7422" width="17.25" style="29" customWidth="1"/>
    <col min="7423" max="7423" width="18.75" style="29" customWidth="1"/>
    <col min="7424" max="7424" width="19.625" style="29" customWidth="1"/>
    <col min="7425" max="7675" width="12.625" style="29"/>
    <col min="7676" max="7676" width="20.625" style="29" customWidth="1"/>
    <col min="7677" max="7677" width="38.125" style="29" customWidth="1"/>
    <col min="7678" max="7678" width="17.25" style="29" customWidth="1"/>
    <col min="7679" max="7679" width="18.75" style="29" customWidth="1"/>
    <col min="7680" max="7680" width="19.625" style="29" customWidth="1"/>
    <col min="7681" max="7931" width="12.625" style="29"/>
    <col min="7932" max="7932" width="20.625" style="29" customWidth="1"/>
    <col min="7933" max="7933" width="38.125" style="29" customWidth="1"/>
    <col min="7934" max="7934" width="17.25" style="29" customWidth="1"/>
    <col min="7935" max="7935" width="18.75" style="29" customWidth="1"/>
    <col min="7936" max="7936" width="19.625" style="29" customWidth="1"/>
    <col min="7937" max="8187" width="12.625" style="29"/>
    <col min="8188" max="8188" width="20.625" style="29" customWidth="1"/>
    <col min="8189" max="8189" width="38.125" style="29" customWidth="1"/>
    <col min="8190" max="8190" width="17.25" style="29" customWidth="1"/>
    <col min="8191" max="8191" width="18.75" style="29" customWidth="1"/>
    <col min="8192" max="8192" width="19.625" style="29" customWidth="1"/>
    <col min="8193" max="8443" width="12.625" style="29"/>
    <col min="8444" max="8444" width="20.625" style="29" customWidth="1"/>
    <col min="8445" max="8445" width="38.125" style="29" customWidth="1"/>
    <col min="8446" max="8446" width="17.25" style="29" customWidth="1"/>
    <col min="8447" max="8447" width="18.75" style="29" customWidth="1"/>
    <col min="8448" max="8448" width="19.625" style="29" customWidth="1"/>
    <col min="8449" max="8699" width="12.625" style="29"/>
    <col min="8700" max="8700" width="20.625" style="29" customWidth="1"/>
    <col min="8701" max="8701" width="38.125" style="29" customWidth="1"/>
    <col min="8702" max="8702" width="17.25" style="29" customWidth="1"/>
    <col min="8703" max="8703" width="18.75" style="29" customWidth="1"/>
    <col min="8704" max="8704" width="19.625" style="29" customWidth="1"/>
    <col min="8705" max="8955" width="12.625" style="29"/>
    <col min="8956" max="8956" width="20.625" style="29" customWidth="1"/>
    <col min="8957" max="8957" width="38.125" style="29" customWidth="1"/>
    <col min="8958" max="8958" width="17.25" style="29" customWidth="1"/>
    <col min="8959" max="8959" width="18.75" style="29" customWidth="1"/>
    <col min="8960" max="8960" width="19.625" style="29" customWidth="1"/>
    <col min="8961" max="9211" width="12.625" style="29"/>
    <col min="9212" max="9212" width="20.625" style="29" customWidth="1"/>
    <col min="9213" max="9213" width="38.125" style="29" customWidth="1"/>
    <col min="9214" max="9214" width="17.25" style="29" customWidth="1"/>
    <col min="9215" max="9215" width="18.75" style="29" customWidth="1"/>
    <col min="9216" max="9216" width="19.625" style="29" customWidth="1"/>
    <col min="9217" max="9467" width="12.625" style="29"/>
    <col min="9468" max="9468" width="20.625" style="29" customWidth="1"/>
    <col min="9469" max="9469" width="38.125" style="29" customWidth="1"/>
    <col min="9470" max="9470" width="17.25" style="29" customWidth="1"/>
    <col min="9471" max="9471" width="18.75" style="29" customWidth="1"/>
    <col min="9472" max="9472" width="19.625" style="29" customWidth="1"/>
    <col min="9473" max="9723" width="12.625" style="29"/>
    <col min="9724" max="9724" width="20.625" style="29" customWidth="1"/>
    <col min="9725" max="9725" width="38.125" style="29" customWidth="1"/>
    <col min="9726" max="9726" width="17.25" style="29" customWidth="1"/>
    <col min="9727" max="9727" width="18.75" style="29" customWidth="1"/>
    <col min="9728" max="9728" width="19.625" style="29" customWidth="1"/>
    <col min="9729" max="9979" width="12.625" style="29"/>
    <col min="9980" max="9980" width="20.625" style="29" customWidth="1"/>
    <col min="9981" max="9981" width="38.125" style="29" customWidth="1"/>
    <col min="9982" max="9982" width="17.25" style="29" customWidth="1"/>
    <col min="9983" max="9983" width="18.75" style="29" customWidth="1"/>
    <col min="9984" max="9984" width="19.625" style="29" customWidth="1"/>
    <col min="9985" max="10235" width="12.625" style="29"/>
    <col min="10236" max="10236" width="20.625" style="29" customWidth="1"/>
    <col min="10237" max="10237" width="38.125" style="29" customWidth="1"/>
    <col min="10238" max="10238" width="17.25" style="29" customWidth="1"/>
    <col min="10239" max="10239" width="18.75" style="29" customWidth="1"/>
    <col min="10240" max="10240" width="19.625" style="29" customWidth="1"/>
    <col min="10241" max="10491" width="12.625" style="29"/>
    <col min="10492" max="10492" width="20.625" style="29" customWidth="1"/>
    <col min="10493" max="10493" width="38.125" style="29" customWidth="1"/>
    <col min="10494" max="10494" width="17.25" style="29" customWidth="1"/>
    <col min="10495" max="10495" width="18.75" style="29" customWidth="1"/>
    <col min="10496" max="10496" width="19.625" style="29" customWidth="1"/>
    <col min="10497" max="10747" width="12.625" style="29"/>
    <col min="10748" max="10748" width="20.625" style="29" customWidth="1"/>
    <col min="10749" max="10749" width="38.125" style="29" customWidth="1"/>
    <col min="10750" max="10750" width="17.25" style="29" customWidth="1"/>
    <col min="10751" max="10751" width="18.75" style="29" customWidth="1"/>
    <col min="10752" max="10752" width="19.625" style="29" customWidth="1"/>
    <col min="10753" max="11003" width="12.625" style="29"/>
    <col min="11004" max="11004" width="20.625" style="29" customWidth="1"/>
    <col min="11005" max="11005" width="38.125" style="29" customWidth="1"/>
    <col min="11006" max="11006" width="17.25" style="29" customWidth="1"/>
    <col min="11007" max="11007" width="18.75" style="29" customWidth="1"/>
    <col min="11008" max="11008" width="19.625" style="29" customWidth="1"/>
    <col min="11009" max="11259" width="12.625" style="29"/>
    <col min="11260" max="11260" width="20.625" style="29" customWidth="1"/>
    <col min="11261" max="11261" width="38.125" style="29" customWidth="1"/>
    <col min="11262" max="11262" width="17.25" style="29" customWidth="1"/>
    <col min="11263" max="11263" width="18.75" style="29" customWidth="1"/>
    <col min="11264" max="11264" width="19.625" style="29" customWidth="1"/>
    <col min="11265" max="11515" width="12.625" style="29"/>
    <col min="11516" max="11516" width="20.625" style="29" customWidth="1"/>
    <col min="11517" max="11517" width="38.125" style="29" customWidth="1"/>
    <col min="11518" max="11518" width="17.25" style="29" customWidth="1"/>
    <col min="11519" max="11519" width="18.75" style="29" customWidth="1"/>
    <col min="11520" max="11520" width="19.625" style="29" customWidth="1"/>
    <col min="11521" max="11771" width="12.625" style="29"/>
    <col min="11772" max="11772" width="20.625" style="29" customWidth="1"/>
    <col min="11773" max="11773" width="38.125" style="29" customWidth="1"/>
    <col min="11774" max="11774" width="17.25" style="29" customWidth="1"/>
    <col min="11775" max="11775" width="18.75" style="29" customWidth="1"/>
    <col min="11776" max="11776" width="19.625" style="29" customWidth="1"/>
    <col min="11777" max="12027" width="12.625" style="29"/>
    <col min="12028" max="12028" width="20.625" style="29" customWidth="1"/>
    <col min="12029" max="12029" width="38.125" style="29" customWidth="1"/>
    <col min="12030" max="12030" width="17.25" style="29" customWidth="1"/>
    <col min="12031" max="12031" width="18.75" style="29" customWidth="1"/>
    <col min="12032" max="12032" width="19.625" style="29" customWidth="1"/>
    <col min="12033" max="12283" width="12.625" style="29"/>
    <col min="12284" max="12284" width="20.625" style="29" customWidth="1"/>
    <col min="12285" max="12285" width="38.125" style="29" customWidth="1"/>
    <col min="12286" max="12286" width="17.25" style="29" customWidth="1"/>
    <col min="12287" max="12287" width="18.75" style="29" customWidth="1"/>
    <col min="12288" max="12288" width="19.625" style="29" customWidth="1"/>
    <col min="12289" max="12539" width="12.625" style="29"/>
    <col min="12540" max="12540" width="20.625" style="29" customWidth="1"/>
    <col min="12541" max="12541" width="38.125" style="29" customWidth="1"/>
    <col min="12542" max="12542" width="17.25" style="29" customWidth="1"/>
    <col min="12543" max="12543" width="18.75" style="29" customWidth="1"/>
    <col min="12544" max="12544" width="19.625" style="29" customWidth="1"/>
    <col min="12545" max="12795" width="12.625" style="29"/>
    <col min="12796" max="12796" width="20.625" style="29" customWidth="1"/>
    <col min="12797" max="12797" width="38.125" style="29" customWidth="1"/>
    <col min="12798" max="12798" width="17.25" style="29" customWidth="1"/>
    <col min="12799" max="12799" width="18.75" style="29" customWidth="1"/>
    <col min="12800" max="12800" width="19.625" style="29" customWidth="1"/>
    <col min="12801" max="13051" width="12.625" style="29"/>
    <col min="13052" max="13052" width="20.625" style="29" customWidth="1"/>
    <col min="13053" max="13053" width="38.125" style="29" customWidth="1"/>
    <col min="13054" max="13054" width="17.25" style="29" customWidth="1"/>
    <col min="13055" max="13055" width="18.75" style="29" customWidth="1"/>
    <col min="13056" max="13056" width="19.625" style="29" customWidth="1"/>
    <col min="13057" max="13307" width="12.625" style="29"/>
    <col min="13308" max="13308" width="20.625" style="29" customWidth="1"/>
    <col min="13309" max="13309" width="38.125" style="29" customWidth="1"/>
    <col min="13310" max="13310" width="17.25" style="29" customWidth="1"/>
    <col min="13311" max="13311" width="18.75" style="29" customWidth="1"/>
    <col min="13312" max="13312" width="19.625" style="29" customWidth="1"/>
    <col min="13313" max="13563" width="12.625" style="29"/>
    <col min="13564" max="13564" width="20.625" style="29" customWidth="1"/>
    <col min="13565" max="13565" width="38.125" style="29" customWidth="1"/>
    <col min="13566" max="13566" width="17.25" style="29" customWidth="1"/>
    <col min="13567" max="13567" width="18.75" style="29" customWidth="1"/>
    <col min="13568" max="13568" width="19.625" style="29" customWidth="1"/>
    <col min="13569" max="13819" width="12.625" style="29"/>
    <col min="13820" max="13820" width="20.625" style="29" customWidth="1"/>
    <col min="13821" max="13821" width="38.125" style="29" customWidth="1"/>
    <col min="13822" max="13822" width="17.25" style="29" customWidth="1"/>
    <col min="13823" max="13823" width="18.75" style="29" customWidth="1"/>
    <col min="13824" max="13824" width="19.625" style="29" customWidth="1"/>
    <col min="13825" max="14075" width="12.625" style="29"/>
    <col min="14076" max="14076" width="20.625" style="29" customWidth="1"/>
    <col min="14077" max="14077" width="38.125" style="29" customWidth="1"/>
    <col min="14078" max="14078" width="17.25" style="29" customWidth="1"/>
    <col min="14079" max="14079" width="18.75" style="29" customWidth="1"/>
    <col min="14080" max="14080" width="19.625" style="29" customWidth="1"/>
    <col min="14081" max="14331" width="12.625" style="29"/>
    <col min="14332" max="14332" width="20.625" style="29" customWidth="1"/>
    <col min="14333" max="14333" width="38.125" style="29" customWidth="1"/>
    <col min="14334" max="14334" width="17.25" style="29" customWidth="1"/>
    <col min="14335" max="14335" width="18.75" style="29" customWidth="1"/>
    <col min="14336" max="14336" width="19.625" style="29" customWidth="1"/>
    <col min="14337" max="14587" width="12.625" style="29"/>
    <col min="14588" max="14588" width="20.625" style="29" customWidth="1"/>
    <col min="14589" max="14589" width="38.125" style="29" customWidth="1"/>
    <col min="14590" max="14590" width="17.25" style="29" customWidth="1"/>
    <col min="14591" max="14591" width="18.75" style="29" customWidth="1"/>
    <col min="14592" max="14592" width="19.625" style="29" customWidth="1"/>
    <col min="14593" max="14843" width="12.625" style="29"/>
    <col min="14844" max="14844" width="20.625" style="29" customWidth="1"/>
    <col min="14845" max="14845" width="38.125" style="29" customWidth="1"/>
    <col min="14846" max="14846" width="17.25" style="29" customWidth="1"/>
    <col min="14847" max="14847" width="18.75" style="29" customWidth="1"/>
    <col min="14848" max="14848" width="19.625" style="29" customWidth="1"/>
    <col min="14849" max="15099" width="12.625" style="29"/>
    <col min="15100" max="15100" width="20.625" style="29" customWidth="1"/>
    <col min="15101" max="15101" width="38.125" style="29" customWidth="1"/>
    <col min="15102" max="15102" width="17.25" style="29" customWidth="1"/>
    <col min="15103" max="15103" width="18.75" style="29" customWidth="1"/>
    <col min="15104" max="15104" width="19.625" style="29" customWidth="1"/>
    <col min="15105" max="15355" width="12.625" style="29"/>
    <col min="15356" max="15356" width="20.625" style="29" customWidth="1"/>
    <col min="15357" max="15357" width="38.125" style="29" customWidth="1"/>
    <col min="15358" max="15358" width="17.25" style="29" customWidth="1"/>
    <col min="15359" max="15359" width="18.75" style="29" customWidth="1"/>
    <col min="15360" max="15360" width="19.625" style="29" customWidth="1"/>
    <col min="15361" max="15611" width="12.625" style="29"/>
    <col min="15612" max="15612" width="20.625" style="29" customWidth="1"/>
    <col min="15613" max="15613" width="38.125" style="29" customWidth="1"/>
    <col min="15614" max="15614" width="17.25" style="29" customWidth="1"/>
    <col min="15615" max="15615" width="18.75" style="29" customWidth="1"/>
    <col min="15616" max="15616" width="19.625" style="29" customWidth="1"/>
    <col min="15617" max="15867" width="12.625" style="29"/>
    <col min="15868" max="15868" width="20.625" style="29" customWidth="1"/>
    <col min="15869" max="15869" width="38.125" style="29" customWidth="1"/>
    <col min="15870" max="15870" width="17.25" style="29" customWidth="1"/>
    <col min="15871" max="15871" width="18.75" style="29" customWidth="1"/>
    <col min="15872" max="15872" width="19.625" style="29" customWidth="1"/>
    <col min="15873" max="16123" width="12.625" style="29"/>
    <col min="16124" max="16124" width="20.625" style="29" customWidth="1"/>
    <col min="16125" max="16125" width="38.125" style="29" customWidth="1"/>
    <col min="16126" max="16126" width="17.25" style="29" customWidth="1"/>
    <col min="16127" max="16127" width="18.75" style="29" customWidth="1"/>
    <col min="16128" max="16128" width="19.625" style="29" customWidth="1"/>
    <col min="16129" max="16384" width="12.625" style="29"/>
  </cols>
  <sheetData>
    <row r="1" spans="1:7" ht="20.100000000000001" customHeight="1">
      <c r="A1" s="27" t="s">
        <v>1047</v>
      </c>
      <c r="B1" s="27"/>
    </row>
    <row r="2" spans="1:7" ht="17.25" customHeight="1">
      <c r="C2" s="6"/>
      <c r="D2" s="58"/>
    </row>
    <row r="3" spans="1:7" ht="20.100000000000001" customHeight="1">
      <c r="A3" s="2083">
        <f>'미지급금(법인카드,자동이체)'!A3</f>
        <v>45504</v>
      </c>
      <c r="B3" s="2157"/>
      <c r="C3" s="2083"/>
      <c r="D3" s="30"/>
      <c r="E3" s="31" t="s">
        <v>0</v>
      </c>
    </row>
    <row r="4" spans="1:7" ht="20.100000000000001" customHeight="1">
      <c r="A4" s="51" t="s">
        <v>1</v>
      </c>
      <c r="B4" s="314" t="s">
        <v>182</v>
      </c>
      <c r="C4" s="51" t="s">
        <v>2</v>
      </c>
      <c r="D4" s="61" t="s">
        <v>3</v>
      </c>
      <c r="E4" s="62" t="s">
        <v>4</v>
      </c>
    </row>
    <row r="5" spans="1:7" ht="21.95" customHeight="1">
      <c r="A5" s="87"/>
      <c r="B5" s="316"/>
      <c r="C5" s="85"/>
      <c r="D5" s="64"/>
      <c r="E5" s="64"/>
    </row>
    <row r="6" spans="1:7" ht="21.95" customHeight="1">
      <c r="A6" s="87"/>
      <c r="B6" s="316"/>
      <c r="C6" s="85"/>
      <c r="D6" s="64"/>
      <c r="E6" s="64"/>
    </row>
    <row r="7" spans="1:7" ht="21.95" customHeight="1">
      <c r="A7" s="261"/>
      <c r="B7" s="1238"/>
      <c r="C7" s="85"/>
      <c r="D7" s="305"/>
      <c r="E7" s="64"/>
    </row>
    <row r="8" spans="1:7" ht="21.95" customHeight="1">
      <c r="A8" s="261"/>
      <c r="B8" s="261"/>
      <c r="C8" s="315"/>
      <c r="D8" s="305"/>
      <c r="E8" s="64"/>
      <c r="G8" s="320"/>
    </row>
    <row r="9" spans="1:7" ht="21.95" customHeight="1">
      <c r="A9" s="87"/>
      <c r="B9" s="261"/>
      <c r="C9" s="59"/>
      <c r="D9" s="64"/>
      <c r="E9" s="64"/>
    </row>
    <row r="10" spans="1:7" ht="21.95" customHeight="1">
      <c r="A10" s="261"/>
      <c r="B10" s="261"/>
      <c r="C10" s="315"/>
      <c r="D10" s="305"/>
      <c r="E10" s="64"/>
    </row>
    <row r="11" spans="1:7" ht="21.95" customHeight="1">
      <c r="A11" s="261"/>
      <c r="B11" s="261"/>
      <c r="C11" s="315"/>
      <c r="D11" s="305"/>
      <c r="E11" s="64"/>
    </row>
    <row r="12" spans="1:7" ht="21.95" customHeight="1">
      <c r="A12" s="261"/>
      <c r="B12" s="261"/>
      <c r="C12" s="315"/>
      <c r="D12" s="305"/>
      <c r="E12" s="64"/>
      <c r="G12" s="322"/>
    </row>
    <row r="13" spans="1:7" ht="21.95" customHeight="1">
      <c r="A13" s="261"/>
      <c r="B13" s="261"/>
      <c r="C13" s="315"/>
      <c r="D13" s="305"/>
      <c r="E13" s="64"/>
    </row>
    <row r="14" spans="1:7" ht="21.95" customHeight="1">
      <c r="A14" s="87"/>
      <c r="B14" s="261"/>
      <c r="C14" s="85"/>
      <c r="D14" s="64"/>
      <c r="E14" s="64"/>
    </row>
    <row r="15" spans="1:7" ht="21.95" customHeight="1">
      <c r="A15" s="261"/>
      <c r="B15" s="261"/>
      <c r="C15" s="317"/>
      <c r="D15" s="305"/>
      <c r="E15" s="64"/>
    </row>
    <row r="16" spans="1:7" ht="21.95" customHeight="1">
      <c r="A16" s="87"/>
      <c r="B16" s="261"/>
      <c r="C16" s="85"/>
      <c r="D16" s="64"/>
      <c r="E16" s="64"/>
    </row>
    <row r="17" spans="1:7" ht="21.95" customHeight="1">
      <c r="A17" s="261"/>
      <c r="B17" s="261"/>
      <c r="C17" s="317"/>
      <c r="D17" s="305"/>
      <c r="E17" s="64"/>
    </row>
    <row r="18" spans="1:7" ht="21.95" customHeight="1">
      <c r="A18" s="377"/>
      <c r="B18" s="377"/>
      <c r="C18" s="407"/>
      <c r="D18" s="372"/>
      <c r="E18" s="372"/>
    </row>
    <row r="19" spans="1:7" ht="21.95" customHeight="1">
      <c r="A19" s="377"/>
      <c r="B19" s="377"/>
      <c r="C19" s="407"/>
      <c r="D19" s="372"/>
      <c r="E19" s="372"/>
    </row>
    <row r="20" spans="1:7" ht="21.95" customHeight="1">
      <c r="A20" s="261"/>
      <c r="B20" s="261"/>
      <c r="C20" s="317"/>
      <c r="D20" s="305"/>
      <c r="E20" s="64"/>
    </row>
    <row r="21" spans="1:7" ht="21.95" customHeight="1">
      <c r="A21" s="87"/>
      <c r="B21" s="261"/>
      <c r="C21" s="59"/>
      <c r="D21" s="64"/>
      <c r="E21" s="64"/>
      <c r="G21" s="321"/>
    </row>
    <row r="22" spans="1:7" ht="20.100000000000001" customHeight="1">
      <c r="A22" s="51" t="s">
        <v>5</v>
      </c>
      <c r="B22" s="314"/>
      <c r="C22" s="72"/>
      <c r="D22" s="73">
        <f>SUM(D5:D21)</f>
        <v>0</v>
      </c>
      <c r="E22" s="60"/>
    </row>
    <row r="23" spans="1:7" ht="20.100000000000001" customHeight="1">
      <c r="A23" s="2" t="str">
        <f>'미지급금(법인카드,자동이체)'!A19</f>
        <v>김천에너지서비스㈜</v>
      </c>
      <c r="B23" s="2"/>
      <c r="G23" s="29">
        <f>SUM(G7:G21)</f>
        <v>0</v>
      </c>
    </row>
    <row r="24" spans="1:7" ht="20.100000000000001" customHeight="1">
      <c r="G24" s="29">
        <f>D22-G23</f>
        <v>0</v>
      </c>
    </row>
    <row r="25" spans="1:7" ht="20.100000000000001" hidden="1" customHeight="1"/>
    <row r="26" spans="1:7" ht="20.100000000000001" hidden="1" customHeight="1">
      <c r="E26" s="79" t="s">
        <v>184</v>
      </c>
      <c r="F26" s="79"/>
      <c r="G26" s="79"/>
    </row>
    <row r="27" spans="1:7" ht="20.100000000000001" hidden="1" customHeight="1"/>
    <row r="28" spans="1:7" ht="20.100000000000001" hidden="1" customHeight="1"/>
    <row r="29" spans="1:7" ht="20.100000000000001" hidden="1" customHeight="1"/>
  </sheetData>
  <mergeCells count="1">
    <mergeCell ref="A3:C3"/>
  </mergeCells>
  <phoneticPr fontId="2" type="noConversion"/>
  <printOptions horizontalCentered="1"/>
  <pageMargins left="0.39370078740157483" right="0.39370078740157483" top="0.45" bottom="0.43" header="0.39370078740157483" footer="0.39370078740157483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H87"/>
  <sheetViews>
    <sheetView view="pageBreakPreview" topLeftCell="A3" zoomScaleNormal="100" zoomScaleSheetLayoutView="100" workbookViewId="0">
      <selection activeCell="H11" sqref="H11"/>
    </sheetView>
  </sheetViews>
  <sheetFormatPr defaultColWidth="9" defaultRowHeight="12"/>
  <cols>
    <col min="1" max="1" width="10" style="1495" customWidth="1"/>
    <col min="2" max="2" width="14.625" style="1495" customWidth="1"/>
    <col min="3" max="3" width="16.5" style="1703" customWidth="1"/>
    <col min="4" max="4" width="16.5" style="1704" customWidth="1"/>
    <col min="5" max="5" width="16.5" style="1703" customWidth="1"/>
    <col min="6" max="6" width="16.5" style="1491" customWidth="1"/>
    <col min="7" max="7" width="42.125" style="1495" customWidth="1"/>
    <col min="8" max="8" width="20" style="1491" customWidth="1"/>
    <col min="9" max="9" width="12.375" style="1491" hidden="1" customWidth="1"/>
    <col min="10" max="13" width="12.625" style="1491" hidden="1" customWidth="1"/>
    <col min="14" max="84" width="0" style="1491" hidden="1" customWidth="1"/>
    <col min="85" max="85" width="12.875" style="1703" hidden="1" customWidth="1"/>
    <col min="86" max="86" width="14.375" style="1491" customWidth="1"/>
    <col min="87" max="16384" width="9" style="1491"/>
  </cols>
  <sheetData>
    <row r="2" spans="1:86" ht="20.100000000000001" customHeight="1">
      <c r="A2" s="2040" t="s">
        <v>1154</v>
      </c>
      <c r="B2" s="2042" t="s">
        <v>1155</v>
      </c>
      <c r="C2" s="2044" t="s">
        <v>1156</v>
      </c>
      <c r="D2" s="2045"/>
      <c r="E2" s="2046" t="s">
        <v>1157</v>
      </c>
      <c r="F2" s="2047"/>
      <c r="G2" s="2038" t="s">
        <v>1158</v>
      </c>
    </row>
    <row r="3" spans="1:86" ht="20.100000000000001" customHeight="1">
      <c r="A3" s="2041"/>
      <c r="B3" s="2043"/>
      <c r="C3" s="1822" t="s">
        <v>1159</v>
      </c>
      <c r="D3" s="1823" t="s">
        <v>1160</v>
      </c>
      <c r="E3" s="1822" t="s">
        <v>1159</v>
      </c>
      <c r="F3" s="1824" t="s">
        <v>1160</v>
      </c>
      <c r="G3" s="2039"/>
    </row>
    <row r="4" spans="1:86" ht="20.100000000000001" customHeight="1">
      <c r="A4" s="1917">
        <v>1</v>
      </c>
      <c r="B4" s="1918" t="s">
        <v>1273</v>
      </c>
      <c r="C4" s="1919" t="s">
        <v>1067</v>
      </c>
      <c r="D4" s="1920">
        <v>1115682216.5682271</v>
      </c>
      <c r="E4" s="1921" t="s">
        <v>1274</v>
      </c>
      <c r="F4" s="1922">
        <v>1115682216.5682271</v>
      </c>
      <c r="G4" s="1923" t="s">
        <v>1275</v>
      </c>
      <c r="H4" s="1789"/>
      <c r="I4" s="1789"/>
      <c r="J4" s="1789"/>
      <c r="K4" s="1789"/>
      <c r="L4" s="1789"/>
      <c r="M4" s="1789"/>
      <c r="N4" s="1789"/>
      <c r="O4" s="1789"/>
      <c r="P4" s="1789"/>
      <c r="Q4" s="1789"/>
      <c r="R4" s="1789"/>
      <c r="S4" s="1789"/>
      <c r="T4" s="1789"/>
      <c r="U4" s="1789"/>
      <c r="V4" s="1789"/>
      <c r="W4" s="1789"/>
      <c r="X4" s="1789"/>
      <c r="Y4" s="1789"/>
      <c r="Z4" s="1789"/>
      <c r="AA4" s="1789"/>
      <c r="AB4" s="1789"/>
      <c r="AC4" s="1789"/>
      <c r="AD4" s="1789"/>
      <c r="AE4" s="1789"/>
      <c r="AF4" s="1789"/>
      <c r="AG4" s="1789"/>
      <c r="AH4" s="1789"/>
      <c r="AI4" s="1789"/>
      <c r="AJ4" s="1789"/>
      <c r="AK4" s="1789"/>
      <c r="AL4" s="1789"/>
      <c r="AM4" s="1789"/>
      <c r="AN4" s="1789"/>
      <c r="AO4" s="1789"/>
      <c r="AP4" s="1789"/>
      <c r="AQ4" s="1789"/>
      <c r="AR4" s="1789"/>
      <c r="AS4" s="1789"/>
      <c r="AT4" s="1789"/>
      <c r="AU4" s="1789"/>
      <c r="AV4" s="1789"/>
      <c r="AW4" s="1789"/>
      <c r="AX4" s="1789"/>
      <c r="AY4" s="1789"/>
      <c r="AZ4" s="1789"/>
      <c r="BA4" s="1789"/>
      <c r="BB4" s="1789"/>
      <c r="BC4" s="1789"/>
      <c r="BD4" s="1789"/>
      <c r="BE4" s="1789"/>
      <c r="BF4" s="1789"/>
      <c r="BG4" s="1789"/>
      <c r="BH4" s="1789"/>
      <c r="BI4" s="1789"/>
      <c r="BJ4" s="1789"/>
      <c r="BK4" s="1789"/>
      <c r="BL4" s="1789"/>
      <c r="BM4" s="1789"/>
      <c r="BN4" s="1789"/>
      <c r="BO4" s="1789"/>
      <c r="BP4" s="1789"/>
      <c r="BQ4" s="1789"/>
      <c r="BR4" s="1789"/>
      <c r="BS4" s="1789"/>
      <c r="BT4" s="1789"/>
      <c r="BU4" s="1789"/>
      <c r="BV4" s="1789"/>
      <c r="BW4" s="1789"/>
      <c r="BX4" s="1789"/>
      <c r="BY4" s="1789"/>
      <c r="BZ4" s="1789"/>
      <c r="CA4" s="1789"/>
      <c r="CB4" s="1789"/>
      <c r="CC4" s="1789"/>
      <c r="CD4" s="1789"/>
      <c r="CE4" s="1789"/>
      <c r="CF4" s="1789"/>
      <c r="CG4" s="1789"/>
      <c r="CH4" s="1789"/>
    </row>
    <row r="5" spans="1:86" s="1492" customFormat="1" ht="20.100000000000001" customHeight="1">
      <c r="A5" s="1924">
        <v>2</v>
      </c>
      <c r="B5" s="1882" t="s">
        <v>1276</v>
      </c>
      <c r="C5" s="1878" t="s">
        <v>1164</v>
      </c>
      <c r="D5" s="1883">
        <v>42139220</v>
      </c>
      <c r="E5" s="1880" t="s">
        <v>639</v>
      </c>
      <c r="F5" s="1883">
        <v>42139220</v>
      </c>
      <c r="G5" s="1884" t="s">
        <v>1280</v>
      </c>
      <c r="H5" s="1701"/>
      <c r="K5" s="1493"/>
      <c r="CG5" s="1702"/>
    </row>
    <row r="6" spans="1:86" s="1492" customFormat="1" ht="20.100000000000001" customHeight="1">
      <c r="A6" s="1924">
        <v>3</v>
      </c>
      <c r="B6" s="1882" t="s">
        <v>1277</v>
      </c>
      <c r="C6" s="1878" t="s">
        <v>1164</v>
      </c>
      <c r="D6" s="1879">
        <v>199100000</v>
      </c>
      <c r="E6" s="1880" t="s">
        <v>639</v>
      </c>
      <c r="F6" s="1881">
        <v>199100000</v>
      </c>
      <c r="G6" s="1882" t="s">
        <v>1225</v>
      </c>
      <c r="H6" s="1701"/>
      <c r="K6" s="1493"/>
      <c r="CG6" s="1702"/>
    </row>
    <row r="7" spans="1:86" s="1492" customFormat="1" ht="20.100000000000001" customHeight="1">
      <c r="A7" s="1924">
        <v>4</v>
      </c>
      <c r="B7" s="1882" t="s">
        <v>1249</v>
      </c>
      <c r="C7" s="1878" t="s">
        <v>1164</v>
      </c>
      <c r="D7" s="1879">
        <v>199238000</v>
      </c>
      <c r="E7" s="1880" t="s">
        <v>639</v>
      </c>
      <c r="F7" s="1879">
        <v>199238000</v>
      </c>
      <c r="G7" s="1884" t="s">
        <v>1283</v>
      </c>
      <c r="H7" s="1701"/>
      <c r="K7" s="1493"/>
      <c r="CG7" s="1702"/>
    </row>
    <row r="8" spans="1:86" s="1492" customFormat="1" ht="20.100000000000001" customHeight="1">
      <c r="A8" s="1924">
        <v>5</v>
      </c>
      <c r="B8" s="1882" t="s">
        <v>1278</v>
      </c>
      <c r="C8" s="1878" t="s">
        <v>1164</v>
      </c>
      <c r="D8" s="1879">
        <v>199322000</v>
      </c>
      <c r="E8" s="1880" t="s">
        <v>639</v>
      </c>
      <c r="F8" s="1881">
        <v>199322000</v>
      </c>
      <c r="G8" s="1882" t="s">
        <v>1245</v>
      </c>
      <c r="H8" s="1701"/>
      <c r="K8" s="1493"/>
      <c r="CG8" s="1702"/>
    </row>
    <row r="9" spans="1:86" s="1492" customFormat="1" ht="20.100000000000001" customHeight="1">
      <c r="A9" s="1924">
        <v>6</v>
      </c>
      <c r="B9" s="1882" t="s">
        <v>1281</v>
      </c>
      <c r="C9" s="1878" t="s">
        <v>1164</v>
      </c>
      <c r="D9" s="1879">
        <v>197800000</v>
      </c>
      <c r="E9" s="1880" t="s">
        <v>639</v>
      </c>
      <c r="F9" s="1879">
        <v>197800000</v>
      </c>
      <c r="G9" s="1884" t="s">
        <v>1282</v>
      </c>
      <c r="CG9" s="1702"/>
    </row>
    <row r="10" spans="1:86" s="1492" customFormat="1" ht="20.100000000000001" customHeight="1">
      <c r="A10" s="1924">
        <v>7</v>
      </c>
      <c r="B10" s="1882" t="s">
        <v>1310</v>
      </c>
      <c r="C10" s="1878" t="s">
        <v>1164</v>
      </c>
      <c r="D10" s="1879">
        <v>179600000</v>
      </c>
      <c r="E10" s="1880" t="s">
        <v>639</v>
      </c>
      <c r="F10" s="1879">
        <v>179600000</v>
      </c>
      <c r="G10" s="1884" t="s">
        <v>1311</v>
      </c>
      <c r="H10" s="1702"/>
      <c r="CG10" s="1702"/>
    </row>
    <row r="11" spans="1:86" s="1492" customFormat="1" ht="20.100000000000001" customHeight="1">
      <c r="A11" s="1924">
        <v>8</v>
      </c>
      <c r="B11" s="1929"/>
      <c r="C11" s="1925"/>
      <c r="D11" s="1932"/>
      <c r="E11" s="1930"/>
      <c r="F11" s="1883"/>
      <c r="G11" s="1933"/>
      <c r="H11" s="1702"/>
      <c r="I11" s="1793"/>
      <c r="J11" s="1794"/>
      <c r="K11" s="1793"/>
      <c r="L11" s="1793"/>
      <c r="M11" s="1793"/>
      <c r="N11" s="1793"/>
      <c r="O11" s="1793"/>
      <c r="P11" s="1793"/>
      <c r="Q11" s="1793"/>
      <c r="R11" s="1793"/>
      <c r="S11" s="1793"/>
      <c r="T11" s="1793"/>
      <c r="U11" s="1793"/>
      <c r="V11" s="1793"/>
      <c r="W11" s="1793"/>
      <c r="X11" s="1793"/>
      <c r="Y11" s="1793"/>
      <c r="Z11" s="1793"/>
      <c r="AA11" s="1793"/>
      <c r="AB11" s="1793"/>
      <c r="AC11" s="1793"/>
      <c r="AD11" s="1793"/>
      <c r="AE11" s="1793"/>
      <c r="AF11" s="1793"/>
      <c r="AG11" s="1793"/>
      <c r="AH11" s="1793"/>
      <c r="AI11" s="1793"/>
      <c r="AJ11" s="1793"/>
      <c r="AK11" s="1793"/>
      <c r="AL11" s="1793"/>
      <c r="AM11" s="1793"/>
      <c r="AN11" s="1793"/>
      <c r="AO11" s="1793"/>
      <c r="AP11" s="1793"/>
      <c r="AQ11" s="1793"/>
      <c r="AR11" s="1793"/>
      <c r="AS11" s="1793"/>
      <c r="AT11" s="1793"/>
      <c r="AU11" s="1793"/>
      <c r="AV11" s="1793"/>
      <c r="AW11" s="1793"/>
      <c r="AX11" s="1793"/>
      <c r="AY11" s="1793"/>
      <c r="AZ11" s="1793"/>
      <c r="BA11" s="1793"/>
      <c r="BB11" s="1793"/>
      <c r="BC11" s="1793"/>
      <c r="BD11" s="1793"/>
      <c r="BE11" s="1793"/>
      <c r="BF11" s="1793"/>
      <c r="BG11" s="1793"/>
      <c r="BH11" s="1793"/>
      <c r="BI11" s="1793"/>
      <c r="BJ11" s="1793"/>
      <c r="BK11" s="1793"/>
      <c r="BL11" s="1793"/>
      <c r="BM11" s="1793"/>
      <c r="BN11" s="1793"/>
      <c r="BO11" s="1793"/>
      <c r="BP11" s="1793"/>
      <c r="BQ11" s="1793"/>
      <c r="BR11" s="1793"/>
      <c r="BS11" s="1793"/>
      <c r="BT11" s="1793"/>
      <c r="BU11" s="1793"/>
      <c r="BV11" s="1793"/>
      <c r="BW11" s="1793"/>
      <c r="BX11" s="1793"/>
      <c r="BY11" s="1793"/>
      <c r="BZ11" s="1793"/>
      <c r="CA11" s="1793"/>
      <c r="CB11" s="1793"/>
      <c r="CC11" s="1793"/>
      <c r="CD11" s="1793"/>
      <c r="CE11" s="1794"/>
      <c r="CF11" s="1794"/>
      <c r="CG11" s="1795"/>
    </row>
    <row r="12" spans="1:86" s="1492" customFormat="1" ht="20.100000000000001" customHeight="1">
      <c r="A12" s="1924">
        <v>9</v>
      </c>
      <c r="B12" s="1882"/>
      <c r="C12" s="1925"/>
      <c r="D12" s="1926"/>
      <c r="E12" s="1880"/>
      <c r="F12" s="1927"/>
      <c r="G12" s="1928"/>
      <c r="J12" s="1702"/>
      <c r="CG12" s="1702"/>
    </row>
    <row r="13" spans="1:86" s="1492" customFormat="1" ht="20.100000000000001" customHeight="1">
      <c r="A13" s="1924">
        <v>10</v>
      </c>
      <c r="B13" s="1882"/>
      <c r="C13" s="1925"/>
      <c r="D13" s="1926"/>
      <c r="E13" s="1880"/>
      <c r="F13" s="1927"/>
      <c r="G13" s="1928"/>
      <c r="CG13" s="1702"/>
      <c r="CH13" s="1790"/>
    </row>
    <row r="14" spans="1:86" s="1492" customFormat="1" ht="20.100000000000001" customHeight="1">
      <c r="A14" s="1924">
        <v>11</v>
      </c>
      <c r="B14" s="1882"/>
      <c r="C14" s="1925"/>
      <c r="D14" s="1926"/>
      <c r="E14" s="1880"/>
      <c r="F14" s="1927"/>
      <c r="G14" s="1931"/>
      <c r="H14" s="1825"/>
      <c r="CG14" s="1702"/>
    </row>
    <row r="15" spans="1:86" s="1492" customFormat="1" ht="20.100000000000001" customHeight="1">
      <c r="A15" s="1924">
        <v>12</v>
      </c>
      <c r="B15" s="1882"/>
      <c r="C15" s="1925"/>
      <c r="D15" s="1926"/>
      <c r="E15" s="1880"/>
      <c r="F15" s="1927"/>
      <c r="G15" s="1928"/>
      <c r="CG15" s="1702"/>
      <c r="CH15" s="1494"/>
    </row>
    <row r="16" spans="1:86" s="1492" customFormat="1" ht="20.100000000000001" customHeight="1">
      <c r="A16" s="1924">
        <v>13</v>
      </c>
      <c r="B16" s="1882"/>
      <c r="C16" s="1925"/>
      <c r="D16" s="1926"/>
      <c r="E16" s="1880"/>
      <c r="F16" s="1927"/>
      <c r="G16" s="1928"/>
      <c r="CG16" s="1702"/>
    </row>
    <row r="17" spans="1:86" s="1492" customFormat="1" ht="20.100000000000001" customHeight="1">
      <c r="A17" s="1924">
        <v>14</v>
      </c>
      <c r="B17" s="1882"/>
      <c r="C17" s="1925"/>
      <c r="D17" s="1926"/>
      <c r="E17" s="1880"/>
      <c r="F17" s="1927"/>
      <c r="G17" s="1928"/>
      <c r="I17" s="1791" t="s">
        <v>1165</v>
      </c>
      <c r="J17" s="1791"/>
      <c r="K17" s="1791"/>
      <c r="L17" s="1791"/>
      <c r="M17" s="1791"/>
      <c r="N17" s="1791"/>
      <c r="O17" s="1791"/>
      <c r="P17" s="1791"/>
      <c r="Q17" s="1791"/>
      <c r="R17" s="1791"/>
      <c r="S17" s="1791"/>
      <c r="T17" s="1791"/>
      <c r="U17" s="1791"/>
      <c r="V17" s="1791"/>
      <c r="W17" s="1791"/>
      <c r="X17" s="1791"/>
      <c r="Y17" s="1791"/>
      <c r="Z17" s="1791"/>
      <c r="AA17" s="1791"/>
      <c r="AB17" s="1791"/>
      <c r="AC17" s="1791"/>
      <c r="AD17" s="1791"/>
      <c r="AE17" s="1791"/>
      <c r="AF17" s="1791"/>
      <c r="AG17" s="1791"/>
      <c r="AH17" s="1791"/>
      <c r="AI17" s="1791"/>
      <c r="AJ17" s="1791"/>
      <c r="AK17" s="1791"/>
      <c r="AL17" s="1791"/>
      <c r="AM17" s="1791"/>
      <c r="AN17" s="1791"/>
      <c r="AO17" s="1791"/>
      <c r="AP17" s="1791"/>
      <c r="AQ17" s="1791"/>
      <c r="AR17" s="1791"/>
      <c r="AS17" s="1791"/>
      <c r="AT17" s="1791"/>
      <c r="AU17" s="1791"/>
      <c r="AV17" s="1791"/>
      <c r="AW17" s="1791"/>
      <c r="AX17" s="1791"/>
      <c r="AY17" s="1791"/>
      <c r="AZ17" s="1791"/>
      <c r="BA17" s="1791"/>
      <c r="BB17" s="1791"/>
      <c r="BC17" s="1791"/>
      <c r="BD17" s="1791"/>
      <c r="BE17" s="1791"/>
      <c r="BF17" s="1791"/>
      <c r="BG17" s="1791"/>
      <c r="BH17" s="1791"/>
      <c r="BI17" s="1791"/>
      <c r="BJ17" s="1791"/>
      <c r="BK17" s="1791"/>
      <c r="BL17" s="1791"/>
      <c r="BM17" s="1791"/>
      <c r="BN17" s="1791"/>
      <c r="BO17" s="1791"/>
      <c r="BP17" s="1791"/>
      <c r="BQ17" s="1791"/>
      <c r="BR17" s="1791"/>
      <c r="BS17" s="1791"/>
      <c r="BT17" s="1791"/>
      <c r="BU17" s="1791"/>
      <c r="BV17" s="1791"/>
      <c r="BW17" s="1791"/>
      <c r="BX17" s="1791"/>
      <c r="BY17" s="1791"/>
      <c r="BZ17" s="1791"/>
      <c r="CA17" s="1791"/>
      <c r="CB17" s="1791"/>
      <c r="CC17" s="1791"/>
      <c r="CD17" s="1791"/>
      <c r="CE17" s="1791" t="s">
        <v>1166</v>
      </c>
      <c r="CF17" s="1791" t="s">
        <v>1167</v>
      </c>
      <c r="CG17" s="1792" t="s">
        <v>1137</v>
      </c>
    </row>
    <row r="18" spans="1:86" s="1492" customFormat="1" ht="20.100000000000001" customHeight="1">
      <c r="A18" s="1934">
        <v>15</v>
      </c>
      <c r="B18" s="1935"/>
      <c r="C18" s="1936"/>
      <c r="D18" s="1937"/>
      <c r="E18" s="1938"/>
      <c r="F18" s="1939"/>
      <c r="G18" s="1940"/>
      <c r="H18" s="1702"/>
      <c r="I18" s="1793"/>
      <c r="J18" s="1794"/>
      <c r="K18" s="1793"/>
      <c r="L18" s="1793"/>
      <c r="M18" s="1793"/>
      <c r="N18" s="1793"/>
      <c r="O18" s="1793"/>
      <c r="P18" s="1793"/>
      <c r="Q18" s="1793"/>
      <c r="R18" s="1793"/>
      <c r="S18" s="1793"/>
      <c r="T18" s="1793"/>
      <c r="U18" s="1793"/>
      <c r="V18" s="1793"/>
      <c r="W18" s="1793"/>
      <c r="X18" s="1793"/>
      <c r="Y18" s="1793"/>
      <c r="Z18" s="1793"/>
      <c r="AA18" s="1793"/>
      <c r="AB18" s="1793"/>
      <c r="AC18" s="1793"/>
      <c r="AD18" s="1793"/>
      <c r="AE18" s="1793"/>
      <c r="AF18" s="1793"/>
      <c r="AG18" s="1793"/>
      <c r="AH18" s="1793"/>
      <c r="AI18" s="1793"/>
      <c r="AJ18" s="1793"/>
      <c r="AK18" s="1793"/>
      <c r="AL18" s="1793"/>
      <c r="AM18" s="1793"/>
      <c r="AN18" s="1793"/>
      <c r="AO18" s="1793"/>
      <c r="AP18" s="1793"/>
      <c r="AQ18" s="1793"/>
      <c r="AR18" s="1793"/>
      <c r="AS18" s="1793"/>
      <c r="AT18" s="1793"/>
      <c r="AU18" s="1793"/>
      <c r="AV18" s="1793"/>
      <c r="AW18" s="1793"/>
      <c r="AX18" s="1793"/>
      <c r="AY18" s="1793"/>
      <c r="AZ18" s="1793"/>
      <c r="BA18" s="1793"/>
      <c r="BB18" s="1793"/>
      <c r="BC18" s="1793"/>
      <c r="BD18" s="1793"/>
      <c r="BE18" s="1793"/>
      <c r="BF18" s="1793"/>
      <c r="BG18" s="1793"/>
      <c r="BH18" s="1793"/>
      <c r="BI18" s="1793"/>
      <c r="BJ18" s="1793"/>
      <c r="BK18" s="1793"/>
      <c r="BL18" s="1793"/>
      <c r="BM18" s="1793"/>
      <c r="BN18" s="1793"/>
      <c r="BO18" s="1793"/>
      <c r="BP18" s="1793"/>
      <c r="BQ18" s="1793"/>
      <c r="BR18" s="1793"/>
      <c r="BS18" s="1793"/>
      <c r="BT18" s="1793"/>
      <c r="BU18" s="1793"/>
      <c r="BV18" s="1793"/>
      <c r="BW18" s="1793"/>
      <c r="BX18" s="1793"/>
      <c r="BY18" s="1793"/>
      <c r="BZ18" s="1793"/>
      <c r="CA18" s="1793"/>
      <c r="CB18" s="1793"/>
      <c r="CC18" s="1793"/>
      <c r="CD18" s="1793"/>
      <c r="CE18" s="1794"/>
      <c r="CF18" s="1794"/>
      <c r="CG18" s="1795"/>
    </row>
    <row r="19" spans="1:86">
      <c r="J19" s="1496" t="s">
        <v>1003</v>
      </c>
    </row>
    <row r="20" spans="1:86" ht="14.25">
      <c r="A20" s="1495" t="s">
        <v>1168</v>
      </c>
      <c r="B20" s="1497" t="s">
        <v>1258</v>
      </c>
      <c r="C20" s="1491"/>
      <c r="D20" s="1705">
        <f>E85</f>
        <v>663823</v>
      </c>
      <c r="F20" s="1498"/>
      <c r="J20" s="1499"/>
    </row>
    <row r="21" spans="1:86" ht="14.25">
      <c r="B21" s="1499"/>
      <c r="F21" s="1498" t="s">
        <v>1259</v>
      </c>
      <c r="G21" s="1500" t="s">
        <v>1161</v>
      </c>
      <c r="H21" s="1706">
        <f>SUM(H23:H28)</f>
        <v>0</v>
      </c>
      <c r="J21" s="1501" t="s">
        <v>1004</v>
      </c>
    </row>
    <row r="22" spans="1:86" ht="14.25">
      <c r="A22" s="1495" t="s">
        <v>1169</v>
      </c>
      <c r="B22" s="1497" t="s">
        <v>1260</v>
      </c>
      <c r="D22" s="1707"/>
      <c r="H22" s="1708"/>
      <c r="J22" s="1502" t="s">
        <v>1005</v>
      </c>
    </row>
    <row r="23" spans="1:86">
      <c r="C23" s="1709" t="s">
        <v>1262</v>
      </c>
      <c r="D23" s="1703">
        <f>F77</f>
        <v>130900</v>
      </c>
      <c r="G23" s="1503" t="s">
        <v>1268</v>
      </c>
      <c r="H23" s="1708">
        <v>0</v>
      </c>
      <c r="J23" s="1499"/>
    </row>
    <row r="24" spans="1:86">
      <c r="B24" s="1491"/>
      <c r="C24" s="1709" t="s">
        <v>1263</v>
      </c>
      <c r="D24" s="1703">
        <v>0</v>
      </c>
      <c r="G24" s="1503" t="s">
        <v>1269</v>
      </c>
      <c r="H24" s="1504">
        <v>0</v>
      </c>
    </row>
    <row r="25" spans="1:86">
      <c r="B25" s="1491"/>
      <c r="G25" s="1503" t="s">
        <v>1279</v>
      </c>
      <c r="H25" s="1504">
        <v>0</v>
      </c>
      <c r="J25" s="1506" t="s">
        <v>1006</v>
      </c>
    </row>
    <row r="26" spans="1:86">
      <c r="G26" s="1505" t="s">
        <v>1170</v>
      </c>
      <c r="H26" s="1708">
        <f>D18</f>
        <v>0</v>
      </c>
      <c r="J26" s="1502" t="s">
        <v>1171</v>
      </c>
    </row>
    <row r="27" spans="1:86" ht="14.25">
      <c r="A27" s="1495" t="s">
        <v>1172</v>
      </c>
      <c r="B27" s="1497" t="s">
        <v>1261</v>
      </c>
      <c r="D27" s="1710">
        <f>D29-D30-D31-D32</f>
        <v>41388</v>
      </c>
      <c r="E27" s="1711" t="s">
        <v>1173</v>
      </c>
      <c r="G27" s="1503" t="s">
        <v>1270</v>
      </c>
      <c r="H27" s="1504">
        <v>0</v>
      </c>
    </row>
    <row r="28" spans="1:86">
      <c r="G28" s="1503" t="s">
        <v>1271</v>
      </c>
      <c r="H28" s="1504">
        <v>0</v>
      </c>
    </row>
    <row r="29" spans="1:86">
      <c r="C29" s="1503" t="s">
        <v>1264</v>
      </c>
      <c r="D29" s="1704">
        <f>D20</f>
        <v>663823</v>
      </c>
      <c r="H29" s="1708"/>
    </row>
    <row r="30" spans="1:86" ht="14.25">
      <c r="C30" s="1709" t="str">
        <f>C23</f>
        <v>'23년 이월량</v>
      </c>
      <c r="D30" s="1704">
        <f>D23</f>
        <v>130900</v>
      </c>
      <c r="F30" s="1498" t="s">
        <v>1272</v>
      </c>
      <c r="G30" s="1500" t="s">
        <v>1138</v>
      </c>
      <c r="H30" s="1507">
        <v>0</v>
      </c>
      <c r="J30" s="1509"/>
      <c r="K30" s="1509"/>
      <c r="L30" s="1509"/>
      <c r="M30" s="1510"/>
      <c r="CH30" s="1796"/>
    </row>
    <row r="31" spans="1:86">
      <c r="C31" s="1709" t="s">
        <v>1265</v>
      </c>
      <c r="D31" s="1704">
        <f>B85</f>
        <v>491535</v>
      </c>
      <c r="G31" s="1508" t="s">
        <v>1163</v>
      </c>
      <c r="H31" s="1797">
        <f>1071211360+SUMIF($C$4:$C$18,G31,$D$4:$D$18)</f>
        <v>2088410580</v>
      </c>
      <c r="J31" s="1713"/>
      <c r="K31" s="1511"/>
      <c r="L31" s="1713"/>
      <c r="M31" s="1512"/>
    </row>
    <row r="32" spans="1:86" ht="14.25">
      <c r="C32" s="1709" t="s">
        <v>1266</v>
      </c>
      <c r="D32" s="1714">
        <f>C85</f>
        <v>0</v>
      </c>
      <c r="E32" s="1711"/>
      <c r="F32" s="1495"/>
      <c r="G32" s="1500" t="s">
        <v>1162</v>
      </c>
      <c r="H32" s="1712">
        <f>F4</f>
        <v>1115682216.5682271</v>
      </c>
      <c r="J32" s="1713"/>
      <c r="K32" s="1511"/>
      <c r="L32" s="1713"/>
      <c r="M32" s="1512"/>
    </row>
    <row r="33" spans="1:13" ht="14.25">
      <c r="B33" s="1497"/>
      <c r="D33" s="1707"/>
      <c r="F33" s="1504"/>
      <c r="K33" s="1504"/>
      <c r="M33" s="1504"/>
    </row>
    <row r="34" spans="1:13">
      <c r="M34" s="1504"/>
    </row>
    <row r="35" spans="1:13" ht="16.5">
      <c r="A35" s="1826" t="s">
        <v>1174</v>
      </c>
      <c r="B35" s="1826"/>
      <c r="C35" s="1704"/>
      <c r="D35" s="1703"/>
      <c r="E35" s="1504"/>
      <c r="G35" s="1511"/>
      <c r="H35" s="1504"/>
    </row>
    <row r="36" spans="1:13">
      <c r="A36" s="1816" t="s">
        <v>1175</v>
      </c>
      <c r="B36" s="1798" t="s">
        <v>1176</v>
      </c>
      <c r="C36" s="1799"/>
      <c r="E36" s="1491"/>
      <c r="G36" s="1511"/>
      <c r="H36" s="1504"/>
    </row>
    <row r="37" spans="1:13">
      <c r="A37" s="1800" t="s">
        <v>1178</v>
      </c>
      <c r="B37" s="1801">
        <f>'[1]2019년..  (4)'!D19</f>
        <v>26686</v>
      </c>
      <c r="C37" s="1802"/>
      <c r="E37" s="1491"/>
      <c r="G37" s="1511"/>
      <c r="H37" s="1504"/>
    </row>
    <row r="38" spans="1:13">
      <c r="A38" s="1800" t="s">
        <v>1179</v>
      </c>
      <c r="B38" s="1801">
        <f>'[1]2019년..  (4)'!D20</f>
        <v>708252241.30434787</v>
      </c>
      <c r="C38" s="1802"/>
      <c r="E38" s="1504"/>
      <c r="G38" s="1511"/>
      <c r="H38" s="1504"/>
      <c r="J38" s="1713"/>
      <c r="K38" s="1708"/>
      <c r="M38" s="1504"/>
    </row>
    <row r="39" spans="1:13">
      <c r="A39" s="1800" t="s">
        <v>1141</v>
      </c>
      <c r="B39" s="1801">
        <f>B38/B37</f>
        <v>26540.217391304348</v>
      </c>
      <c r="C39" s="1799"/>
      <c r="D39" s="1491"/>
      <c r="E39" s="1504"/>
      <c r="G39" s="1511"/>
      <c r="J39" s="1713"/>
      <c r="K39" s="1708"/>
    </row>
    <row r="40" spans="1:13">
      <c r="A40" s="1513"/>
      <c r="B40" s="1713"/>
      <c r="C40" s="1715"/>
      <c r="D40" s="1708"/>
      <c r="E40" s="1504"/>
      <c r="G40" s="1511"/>
      <c r="J40" s="1713"/>
      <c r="K40" s="1708"/>
    </row>
    <row r="41" spans="1:13">
      <c r="A41" s="1513"/>
      <c r="B41" s="1713"/>
      <c r="C41" s="1715"/>
      <c r="D41" s="1708"/>
      <c r="E41" s="1504"/>
      <c r="G41" s="1511"/>
      <c r="J41" s="1713"/>
      <c r="K41" s="1708"/>
    </row>
    <row r="42" spans="1:13" ht="16.5">
      <c r="A42" s="1826" t="s">
        <v>1180</v>
      </c>
      <c r="B42" s="1514"/>
      <c r="C42" s="1704"/>
      <c r="D42" s="1703"/>
      <c r="E42" s="1504"/>
      <c r="G42" s="1511"/>
    </row>
    <row r="43" spans="1:13">
      <c r="A43" s="2034" t="s">
        <v>1175</v>
      </c>
      <c r="B43" s="2036" t="s">
        <v>1181</v>
      </c>
      <c r="C43" s="2037"/>
      <c r="D43" s="2032" t="s">
        <v>1182</v>
      </c>
      <c r="E43" s="2032" t="s">
        <v>1183</v>
      </c>
      <c r="F43" s="2032" t="s">
        <v>1184</v>
      </c>
      <c r="G43" s="1511"/>
    </row>
    <row r="44" spans="1:13">
      <c r="A44" s="2035"/>
      <c r="B44" s="1816" t="s">
        <v>1185</v>
      </c>
      <c r="C44" s="1803" t="s">
        <v>1186</v>
      </c>
      <c r="D44" s="2033"/>
      <c r="E44" s="2033"/>
      <c r="F44" s="2033"/>
    </row>
    <row r="45" spans="1:13">
      <c r="A45" s="1800" t="s">
        <v>1178</v>
      </c>
      <c r="B45" s="1804">
        <v>621825</v>
      </c>
      <c r="C45" s="1805">
        <v>70000</v>
      </c>
      <c r="D45" s="1805"/>
      <c r="E45" s="1805">
        <v>704345</v>
      </c>
      <c r="F45" s="1801">
        <v>14167</v>
      </c>
    </row>
    <row r="46" spans="1:13">
      <c r="A46" s="1800" t="s">
        <v>1179</v>
      </c>
      <c r="B46" s="1806"/>
      <c r="C46" s="1805">
        <v>2702000000</v>
      </c>
      <c r="D46" s="1805"/>
      <c r="E46" s="1805">
        <v>2155153800</v>
      </c>
      <c r="F46" s="1801">
        <f>B46+C46-D46-E46</f>
        <v>546846200</v>
      </c>
      <c r="J46" s="1713"/>
      <c r="K46" s="1708"/>
    </row>
    <row r="47" spans="1:13">
      <c r="A47" s="1800" t="s">
        <v>1187</v>
      </c>
      <c r="B47" s="1806"/>
      <c r="C47" s="1807">
        <f>C46/C45</f>
        <v>38600</v>
      </c>
      <c r="D47" s="1807"/>
      <c r="E47" s="1807">
        <f t="shared" ref="E47:F47" si="0">E46/E45</f>
        <v>3059.798536228695</v>
      </c>
      <c r="F47" s="1807">
        <f t="shared" si="0"/>
        <v>38600</v>
      </c>
      <c r="J47" s="1713"/>
      <c r="K47" s="1708"/>
    </row>
    <row r="48" spans="1:13">
      <c r="A48" s="1513"/>
      <c r="B48" s="1713"/>
      <c r="C48" s="1715"/>
      <c r="D48" s="1708"/>
      <c r="E48" s="1504"/>
      <c r="G48" s="1511"/>
      <c r="J48" s="1713"/>
      <c r="K48" s="1708"/>
    </row>
    <row r="49" spans="1:11">
      <c r="A49" s="1513"/>
      <c r="B49" s="1713"/>
      <c r="C49" s="1715"/>
      <c r="D49" s="1708"/>
      <c r="E49" s="1504"/>
      <c r="G49" s="1511"/>
      <c r="J49" s="1713"/>
      <c r="K49" s="1708"/>
    </row>
    <row r="50" spans="1:11" ht="16.5">
      <c r="A50" s="1826" t="s">
        <v>1188</v>
      </c>
      <c r="B50" s="1514"/>
      <c r="C50" s="1704"/>
      <c r="D50" s="1703"/>
      <c r="E50" s="1504"/>
    </row>
    <row r="51" spans="1:11">
      <c r="A51" s="2034" t="s">
        <v>97</v>
      </c>
      <c r="B51" s="2036" t="s">
        <v>1181</v>
      </c>
      <c r="C51" s="2037"/>
      <c r="D51" s="2032" t="s">
        <v>1142</v>
      </c>
      <c r="E51" s="2032" t="s">
        <v>1189</v>
      </c>
      <c r="F51" s="2032" t="s">
        <v>1176</v>
      </c>
    </row>
    <row r="52" spans="1:11">
      <c r="A52" s="2035"/>
      <c r="B52" s="1816" t="s">
        <v>1144</v>
      </c>
      <c r="C52" s="1803" t="s">
        <v>1186</v>
      </c>
      <c r="D52" s="2033"/>
      <c r="E52" s="2033"/>
      <c r="F52" s="2033"/>
    </row>
    <row r="53" spans="1:11">
      <c r="A53" s="1800" t="s">
        <v>1178</v>
      </c>
      <c r="B53" s="1804">
        <v>621825</v>
      </c>
      <c r="C53" s="1805">
        <v>68700</v>
      </c>
      <c r="D53" s="1805"/>
      <c r="E53" s="1805">
        <v>681254</v>
      </c>
      <c r="F53" s="1801">
        <f>F45+B53+C53-D53-E53</f>
        <v>23438</v>
      </c>
    </row>
    <row r="54" spans="1:11">
      <c r="A54" s="1800" t="s">
        <v>1190</v>
      </c>
      <c r="B54" s="1806"/>
      <c r="C54" s="1805">
        <v>1417205000</v>
      </c>
      <c r="D54" s="1805"/>
      <c r="E54" s="1805">
        <v>1546146584</v>
      </c>
      <c r="F54" s="1801">
        <f>F46+B54+C54-D54-E54</f>
        <v>417904616</v>
      </c>
      <c r="G54" s="1516"/>
      <c r="J54" s="1713"/>
      <c r="K54" s="1708"/>
    </row>
    <row r="55" spans="1:11">
      <c r="A55" s="1800" t="s">
        <v>1187</v>
      </c>
      <c r="B55" s="1806"/>
      <c r="C55" s="1807">
        <f>C54/C53</f>
        <v>20628.893740902473</v>
      </c>
      <c r="D55" s="1807"/>
      <c r="E55" s="1807">
        <f t="shared" ref="E55:F55" si="1">E54/E53</f>
        <v>2269.5596414846736</v>
      </c>
      <c r="F55" s="1807">
        <f t="shared" si="1"/>
        <v>17830.216571379809</v>
      </c>
      <c r="G55" s="1511"/>
      <c r="J55" s="1713"/>
      <c r="K55" s="1708"/>
    </row>
    <row r="56" spans="1:11">
      <c r="A56" s="1513"/>
      <c r="B56" s="1515"/>
      <c r="C56" s="1716"/>
      <c r="D56" s="1717"/>
      <c r="E56" s="1717"/>
      <c r="F56" s="1708"/>
      <c r="J56" s="1713"/>
      <c r="K56" s="1708"/>
    </row>
    <row r="57" spans="1:11">
      <c r="B57" s="1703"/>
      <c r="C57" s="1704"/>
      <c r="D57" s="1703"/>
      <c r="E57" s="1491"/>
      <c r="G57" s="1516"/>
    </row>
    <row r="58" spans="1:11" ht="16.5">
      <c r="A58" s="1826" t="s">
        <v>1146</v>
      </c>
      <c r="B58" s="1514"/>
      <c r="C58" s="1704"/>
      <c r="D58" s="1703"/>
      <c r="E58" s="1504"/>
    </row>
    <row r="59" spans="1:11">
      <c r="A59" s="2034" t="s">
        <v>97</v>
      </c>
      <c r="B59" s="2036" t="s">
        <v>1068</v>
      </c>
      <c r="C59" s="2037"/>
      <c r="D59" s="2032" t="s">
        <v>1142</v>
      </c>
      <c r="E59" s="2032" t="s">
        <v>1143</v>
      </c>
      <c r="F59" s="2032" t="s">
        <v>1139</v>
      </c>
    </row>
    <row r="60" spans="1:11">
      <c r="A60" s="2035"/>
      <c r="B60" s="1816" t="s">
        <v>1144</v>
      </c>
      <c r="C60" s="1803" t="s">
        <v>1145</v>
      </c>
      <c r="D60" s="2033"/>
      <c r="E60" s="2033"/>
      <c r="F60" s="2033"/>
    </row>
    <row r="61" spans="1:11">
      <c r="A61" s="1800" t="s">
        <v>1177</v>
      </c>
      <c r="B61" s="1804">
        <f>509868+56651</f>
        <v>566519</v>
      </c>
      <c r="C61" s="1805">
        <v>110000</v>
      </c>
      <c r="D61" s="1805">
        <v>23813</v>
      </c>
      <c r="E61" s="1805">
        <v>676144</v>
      </c>
      <c r="F61" s="1801">
        <f>F53+B61+C61-D61-E61</f>
        <v>0</v>
      </c>
    </row>
    <row r="62" spans="1:11">
      <c r="A62" s="1800" t="s">
        <v>1140</v>
      </c>
      <c r="B62" s="1806"/>
      <c r="C62" s="1805">
        <f>1200500000+840000000</f>
        <v>2040500000</v>
      </c>
      <c r="D62" s="1805">
        <v>436419019</v>
      </c>
      <c r="E62" s="1805">
        <v>2021985597</v>
      </c>
      <c r="F62" s="1801">
        <f>F54+B62+C62-D62-E62</f>
        <v>0</v>
      </c>
      <c r="J62" s="1713"/>
      <c r="K62" s="1708"/>
    </row>
    <row r="63" spans="1:11">
      <c r="A63" s="1800" t="s">
        <v>1141</v>
      </c>
      <c r="B63" s="1806"/>
      <c r="C63" s="1807">
        <f>C62/C61</f>
        <v>18550</v>
      </c>
      <c r="D63" s="1805">
        <f>D62/D61</f>
        <v>18326.923067232183</v>
      </c>
      <c r="E63" s="1805">
        <f>E62/E61</f>
        <v>2990.4659318133417</v>
      </c>
      <c r="F63" s="1807">
        <v>0</v>
      </c>
      <c r="J63" s="1713"/>
      <c r="K63" s="1708"/>
    </row>
    <row r="64" spans="1:11">
      <c r="C64" s="1718"/>
      <c r="D64" s="1719" t="s">
        <v>1191</v>
      </c>
    </row>
    <row r="65" spans="1:11">
      <c r="C65" s="1718"/>
      <c r="G65" s="1511"/>
    </row>
    <row r="66" spans="1:11" ht="16.5">
      <c r="A66" s="1826" t="s">
        <v>1074</v>
      </c>
      <c r="B66" s="1514"/>
      <c r="C66" s="1704"/>
      <c r="D66" s="1703"/>
      <c r="E66" s="1504"/>
      <c r="G66" s="1511"/>
    </row>
    <row r="67" spans="1:11">
      <c r="A67" s="2034" t="s">
        <v>97</v>
      </c>
      <c r="B67" s="2036" t="s">
        <v>1068</v>
      </c>
      <c r="C67" s="2037"/>
      <c r="D67" s="2032" t="s">
        <v>1142</v>
      </c>
      <c r="E67" s="2032" t="s">
        <v>1143</v>
      </c>
      <c r="F67" s="2032" t="s">
        <v>1139</v>
      </c>
      <c r="G67" s="1511"/>
    </row>
    <row r="68" spans="1:11">
      <c r="A68" s="2035"/>
      <c r="B68" s="1816" t="s">
        <v>1144</v>
      </c>
      <c r="C68" s="1803" t="s">
        <v>1145</v>
      </c>
      <c r="D68" s="2033"/>
      <c r="E68" s="2033"/>
      <c r="F68" s="2033"/>
    </row>
    <row r="69" spans="1:11">
      <c r="A69" s="1800" t="s">
        <v>1177</v>
      </c>
      <c r="B69" s="1804">
        <v>566519</v>
      </c>
      <c r="C69" s="1805">
        <v>110260</v>
      </c>
      <c r="D69" s="1805">
        <f>F61</f>
        <v>0</v>
      </c>
      <c r="E69" s="1805">
        <v>676779</v>
      </c>
      <c r="F69" s="1801">
        <f>F61+B69+C69-D69-E69</f>
        <v>0</v>
      </c>
    </row>
    <row r="70" spans="1:11">
      <c r="A70" s="1800" t="s">
        <v>1140</v>
      </c>
      <c r="B70" s="1806"/>
      <c r="C70" s="1805">
        <v>2503218000</v>
      </c>
      <c r="D70" s="1805">
        <v>0</v>
      </c>
      <c r="E70" s="1805">
        <f>2501288162+1929838</f>
        <v>2503218000</v>
      </c>
      <c r="F70" s="1801">
        <f>F62+B70+C70-D70-E70</f>
        <v>0</v>
      </c>
      <c r="G70" s="1499"/>
      <c r="J70" s="1713"/>
      <c r="K70" s="1708"/>
    </row>
    <row r="71" spans="1:11">
      <c r="A71" s="1800" t="s">
        <v>1141</v>
      </c>
      <c r="B71" s="1806"/>
      <c r="C71" s="1807">
        <f>C70/C69</f>
        <v>22702.865953201523</v>
      </c>
      <c r="D71" s="1808"/>
      <c r="E71" s="1808">
        <f>E70/E69</f>
        <v>3698.7229213672408</v>
      </c>
      <c r="F71" s="1807">
        <v>0</v>
      </c>
      <c r="J71" s="1713"/>
      <c r="K71" s="1708"/>
    </row>
    <row r="72" spans="1:11">
      <c r="E72" s="1703" t="s">
        <v>1425</v>
      </c>
      <c r="F72" s="2022"/>
    </row>
    <row r="74" spans="1:11" ht="16.5">
      <c r="A74" s="1826" t="s">
        <v>1147</v>
      </c>
      <c r="B74" s="1514"/>
      <c r="C74" s="1704"/>
      <c r="D74" s="1703"/>
      <c r="E74" s="1504"/>
      <c r="G74" s="1511"/>
    </row>
    <row r="75" spans="1:11">
      <c r="A75" s="2034" t="s">
        <v>97</v>
      </c>
      <c r="B75" s="2036" t="s">
        <v>1068</v>
      </c>
      <c r="C75" s="2037"/>
      <c r="D75" s="2032" t="s">
        <v>1142</v>
      </c>
      <c r="E75" s="2032" t="s">
        <v>1143</v>
      </c>
      <c r="F75" s="2032" t="s">
        <v>1139</v>
      </c>
      <c r="G75" s="1511"/>
    </row>
    <row r="76" spans="1:11" ht="16.5" customHeight="1">
      <c r="A76" s="2035"/>
      <c r="B76" s="1999" t="s">
        <v>1144</v>
      </c>
      <c r="C76" s="1803" t="s">
        <v>1145</v>
      </c>
      <c r="D76" s="2033"/>
      <c r="E76" s="2033"/>
      <c r="F76" s="2033"/>
    </row>
    <row r="77" spans="1:11">
      <c r="A77" s="1800" t="s">
        <v>1177</v>
      </c>
      <c r="B77" s="1804">
        <v>566519</v>
      </c>
      <c r="C77" s="1805">
        <v>246206</v>
      </c>
      <c r="D77" s="1805">
        <f>F69</f>
        <v>0</v>
      </c>
      <c r="E77" s="1805">
        <v>681825</v>
      </c>
      <c r="F77" s="1801">
        <f>F69+B77+C77-D77-E77</f>
        <v>130900</v>
      </c>
    </row>
    <row r="78" spans="1:11">
      <c r="A78" s="1800" t="s">
        <v>1140</v>
      </c>
      <c r="B78" s="1806"/>
      <c r="C78" s="1805">
        <v>2268107580</v>
      </c>
      <c r="D78" s="1805">
        <v>0</v>
      </c>
      <c r="E78" s="1805">
        <f>C78-F78</f>
        <v>1113351380</v>
      </c>
      <c r="F78" s="1801">
        <v>1154756200</v>
      </c>
      <c r="J78" s="1713"/>
      <c r="K78" s="1708"/>
    </row>
    <row r="79" spans="1:11">
      <c r="A79" s="1800" t="s">
        <v>1141</v>
      </c>
      <c r="B79" s="1806"/>
      <c r="C79" s="1807">
        <f>C78/C77</f>
        <v>9212.2352014166991</v>
      </c>
      <c r="D79" s="1808"/>
      <c r="E79" s="1808">
        <f>E78/E77</f>
        <v>1632.8990283430498</v>
      </c>
      <c r="F79" s="1801">
        <f>F78/F77</f>
        <v>8821.6669213139794</v>
      </c>
      <c r="J79" s="1713"/>
      <c r="K79" s="1708"/>
    </row>
    <row r="80" spans="1:11">
      <c r="F80" s="1504"/>
    </row>
    <row r="82" spans="1:11" ht="16.5">
      <c r="A82" s="1826" t="s">
        <v>1267</v>
      </c>
      <c r="B82" s="1514"/>
      <c r="C82" s="1704"/>
      <c r="D82" s="1703"/>
      <c r="E82" s="1504"/>
      <c r="G82" s="1511"/>
    </row>
    <row r="83" spans="1:11">
      <c r="A83" s="1900" t="s">
        <v>97</v>
      </c>
      <c r="B83" s="2036" t="s">
        <v>1068</v>
      </c>
      <c r="C83" s="2037"/>
      <c r="D83" s="2032" t="s">
        <v>1142</v>
      </c>
      <c r="E83" s="2032" t="s">
        <v>1143</v>
      </c>
      <c r="F83" s="2032" t="s">
        <v>1139</v>
      </c>
      <c r="G83" s="1511"/>
    </row>
    <row r="84" spans="1:11" ht="16.5" customHeight="1">
      <c r="A84" s="1901"/>
      <c r="B84" s="1999" t="s">
        <v>1144</v>
      </c>
      <c r="C84" s="1803" t="s">
        <v>1145</v>
      </c>
      <c r="D84" s="2033"/>
      <c r="E84" s="2033"/>
      <c r="F84" s="2033"/>
    </row>
    <row r="85" spans="1:11">
      <c r="A85" s="1800" t="s">
        <v>1177</v>
      </c>
      <c r="B85" s="1804">
        <v>491535</v>
      </c>
      <c r="C85" s="1805">
        <v>0</v>
      </c>
      <c r="D85" s="1805">
        <v>0</v>
      </c>
      <c r="E85" s="1805">
        <v>663823</v>
      </c>
      <c r="F85" s="1801">
        <f>F77+B85+C85-D85-E85</f>
        <v>-41388</v>
      </c>
    </row>
    <row r="86" spans="1:11">
      <c r="A86" s="1800" t="s">
        <v>1140</v>
      </c>
      <c r="B86" s="1806"/>
      <c r="C86" s="1805">
        <v>0</v>
      </c>
      <c r="D86" s="1805">
        <v>0</v>
      </c>
      <c r="E86" s="1805">
        <v>0</v>
      </c>
      <c r="F86" s="1801"/>
      <c r="J86" s="1713"/>
      <c r="K86" s="1708"/>
    </row>
    <row r="87" spans="1:11">
      <c r="A87" s="1800" t="s">
        <v>1141</v>
      </c>
      <c r="B87" s="1806"/>
      <c r="C87" s="1807">
        <v>0</v>
      </c>
      <c r="D87" s="1808"/>
      <c r="E87" s="1808">
        <f>E86/E85</f>
        <v>0</v>
      </c>
      <c r="F87" s="1801"/>
      <c r="J87" s="1713"/>
      <c r="K87" s="1708"/>
    </row>
  </sheetData>
  <mergeCells count="34">
    <mergeCell ref="B83:C83"/>
    <mergeCell ref="D83:D84"/>
    <mergeCell ref="E83:E84"/>
    <mergeCell ref="F83:F84"/>
    <mergeCell ref="A2:A3"/>
    <mergeCell ref="B2:B3"/>
    <mergeCell ref="C2:D2"/>
    <mergeCell ref="E2:F2"/>
    <mergeCell ref="A67:A68"/>
    <mergeCell ref="B67:C67"/>
    <mergeCell ref="D67:D68"/>
    <mergeCell ref="E67:E68"/>
    <mergeCell ref="F67:F68"/>
    <mergeCell ref="A59:A60"/>
    <mergeCell ref="B59:C59"/>
    <mergeCell ref="D59:D60"/>
    <mergeCell ref="G2:G3"/>
    <mergeCell ref="A51:A52"/>
    <mergeCell ref="B51:C51"/>
    <mergeCell ref="D51:D52"/>
    <mergeCell ref="E51:E52"/>
    <mergeCell ref="F51:F52"/>
    <mergeCell ref="A43:A44"/>
    <mergeCell ref="B43:C43"/>
    <mergeCell ref="D43:D44"/>
    <mergeCell ref="E43:E44"/>
    <mergeCell ref="F43:F44"/>
    <mergeCell ref="E59:E60"/>
    <mergeCell ref="F59:F60"/>
    <mergeCell ref="A75:A76"/>
    <mergeCell ref="E75:E76"/>
    <mergeCell ref="F75:F76"/>
    <mergeCell ref="B75:C75"/>
    <mergeCell ref="D75:D7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9" fitToHeight="0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GridLines="0" zoomScaleSheetLayoutView="100" workbookViewId="0">
      <selection activeCell="C11" sqref="C11"/>
    </sheetView>
  </sheetViews>
  <sheetFormatPr defaultColWidth="12.625" defaultRowHeight="20.100000000000001" customHeight="1"/>
  <cols>
    <col min="1" max="1" width="25.375" style="29" customWidth="1"/>
    <col min="2" max="2" width="41.125" style="29" customWidth="1"/>
    <col min="3" max="3" width="25.125" style="29" customWidth="1"/>
    <col min="4" max="4" width="28" style="29" customWidth="1"/>
    <col min="5" max="249" width="12.625" style="29"/>
    <col min="250" max="250" width="20.625" style="29" customWidth="1"/>
    <col min="251" max="251" width="38.125" style="29" customWidth="1"/>
    <col min="252" max="252" width="17.25" style="29" customWidth="1"/>
    <col min="253" max="253" width="18.75" style="29" customWidth="1"/>
    <col min="254" max="254" width="19.625" style="29" customWidth="1"/>
    <col min="255" max="505" width="12.625" style="29"/>
    <col min="506" max="506" width="20.625" style="29" customWidth="1"/>
    <col min="507" max="507" width="38.125" style="29" customWidth="1"/>
    <col min="508" max="508" width="17.25" style="29" customWidth="1"/>
    <col min="509" max="509" width="18.75" style="29" customWidth="1"/>
    <col min="510" max="510" width="19.625" style="29" customWidth="1"/>
    <col min="511" max="761" width="12.625" style="29"/>
    <col min="762" max="762" width="20.625" style="29" customWidth="1"/>
    <col min="763" max="763" width="38.125" style="29" customWidth="1"/>
    <col min="764" max="764" width="17.25" style="29" customWidth="1"/>
    <col min="765" max="765" width="18.75" style="29" customWidth="1"/>
    <col min="766" max="766" width="19.625" style="29" customWidth="1"/>
    <col min="767" max="1017" width="12.625" style="29"/>
    <col min="1018" max="1018" width="20.625" style="29" customWidth="1"/>
    <col min="1019" max="1019" width="38.125" style="29" customWidth="1"/>
    <col min="1020" max="1020" width="17.25" style="29" customWidth="1"/>
    <col min="1021" max="1021" width="18.75" style="29" customWidth="1"/>
    <col min="1022" max="1022" width="19.625" style="29" customWidth="1"/>
    <col min="1023" max="1273" width="12.625" style="29"/>
    <col min="1274" max="1274" width="20.625" style="29" customWidth="1"/>
    <col min="1275" max="1275" width="38.125" style="29" customWidth="1"/>
    <col min="1276" max="1276" width="17.25" style="29" customWidth="1"/>
    <col min="1277" max="1277" width="18.75" style="29" customWidth="1"/>
    <col min="1278" max="1278" width="19.625" style="29" customWidth="1"/>
    <col min="1279" max="1529" width="12.625" style="29"/>
    <col min="1530" max="1530" width="20.625" style="29" customWidth="1"/>
    <col min="1531" max="1531" width="38.125" style="29" customWidth="1"/>
    <col min="1532" max="1532" width="17.25" style="29" customWidth="1"/>
    <col min="1533" max="1533" width="18.75" style="29" customWidth="1"/>
    <col min="1534" max="1534" width="19.625" style="29" customWidth="1"/>
    <col min="1535" max="1785" width="12.625" style="29"/>
    <col min="1786" max="1786" width="20.625" style="29" customWidth="1"/>
    <col min="1787" max="1787" width="38.125" style="29" customWidth="1"/>
    <col min="1788" max="1788" width="17.25" style="29" customWidth="1"/>
    <col min="1789" max="1789" width="18.75" style="29" customWidth="1"/>
    <col min="1790" max="1790" width="19.625" style="29" customWidth="1"/>
    <col min="1791" max="2041" width="12.625" style="29"/>
    <col min="2042" max="2042" width="20.625" style="29" customWidth="1"/>
    <col min="2043" max="2043" width="38.125" style="29" customWidth="1"/>
    <col min="2044" max="2044" width="17.25" style="29" customWidth="1"/>
    <col min="2045" max="2045" width="18.75" style="29" customWidth="1"/>
    <col min="2046" max="2046" width="19.625" style="29" customWidth="1"/>
    <col min="2047" max="2297" width="12.625" style="29"/>
    <col min="2298" max="2298" width="20.625" style="29" customWidth="1"/>
    <col min="2299" max="2299" width="38.125" style="29" customWidth="1"/>
    <col min="2300" max="2300" width="17.25" style="29" customWidth="1"/>
    <col min="2301" max="2301" width="18.75" style="29" customWidth="1"/>
    <col min="2302" max="2302" width="19.625" style="29" customWidth="1"/>
    <col min="2303" max="2553" width="12.625" style="29"/>
    <col min="2554" max="2554" width="20.625" style="29" customWidth="1"/>
    <col min="2555" max="2555" width="38.125" style="29" customWidth="1"/>
    <col min="2556" max="2556" width="17.25" style="29" customWidth="1"/>
    <col min="2557" max="2557" width="18.75" style="29" customWidth="1"/>
    <col min="2558" max="2558" width="19.625" style="29" customWidth="1"/>
    <col min="2559" max="2809" width="12.625" style="29"/>
    <col min="2810" max="2810" width="20.625" style="29" customWidth="1"/>
    <col min="2811" max="2811" width="38.125" style="29" customWidth="1"/>
    <col min="2812" max="2812" width="17.25" style="29" customWidth="1"/>
    <col min="2813" max="2813" width="18.75" style="29" customWidth="1"/>
    <col min="2814" max="2814" width="19.625" style="29" customWidth="1"/>
    <col min="2815" max="3065" width="12.625" style="29"/>
    <col min="3066" max="3066" width="20.625" style="29" customWidth="1"/>
    <col min="3067" max="3067" width="38.125" style="29" customWidth="1"/>
    <col min="3068" max="3068" width="17.25" style="29" customWidth="1"/>
    <col min="3069" max="3069" width="18.75" style="29" customWidth="1"/>
    <col min="3070" max="3070" width="19.625" style="29" customWidth="1"/>
    <col min="3071" max="3321" width="12.625" style="29"/>
    <col min="3322" max="3322" width="20.625" style="29" customWidth="1"/>
    <col min="3323" max="3323" width="38.125" style="29" customWidth="1"/>
    <col min="3324" max="3324" width="17.25" style="29" customWidth="1"/>
    <col min="3325" max="3325" width="18.75" style="29" customWidth="1"/>
    <col min="3326" max="3326" width="19.625" style="29" customWidth="1"/>
    <col min="3327" max="3577" width="12.625" style="29"/>
    <col min="3578" max="3578" width="20.625" style="29" customWidth="1"/>
    <col min="3579" max="3579" width="38.125" style="29" customWidth="1"/>
    <col min="3580" max="3580" width="17.25" style="29" customWidth="1"/>
    <col min="3581" max="3581" width="18.75" style="29" customWidth="1"/>
    <col min="3582" max="3582" width="19.625" style="29" customWidth="1"/>
    <col min="3583" max="3833" width="12.625" style="29"/>
    <col min="3834" max="3834" width="20.625" style="29" customWidth="1"/>
    <col min="3835" max="3835" width="38.125" style="29" customWidth="1"/>
    <col min="3836" max="3836" width="17.25" style="29" customWidth="1"/>
    <col min="3837" max="3837" width="18.75" style="29" customWidth="1"/>
    <col min="3838" max="3838" width="19.625" style="29" customWidth="1"/>
    <col min="3839" max="4089" width="12.625" style="29"/>
    <col min="4090" max="4090" width="20.625" style="29" customWidth="1"/>
    <col min="4091" max="4091" width="38.125" style="29" customWidth="1"/>
    <col min="4092" max="4092" width="17.25" style="29" customWidth="1"/>
    <col min="4093" max="4093" width="18.75" style="29" customWidth="1"/>
    <col min="4094" max="4094" width="19.625" style="29" customWidth="1"/>
    <col min="4095" max="4345" width="12.625" style="29"/>
    <col min="4346" max="4346" width="20.625" style="29" customWidth="1"/>
    <col min="4347" max="4347" width="38.125" style="29" customWidth="1"/>
    <col min="4348" max="4348" width="17.25" style="29" customWidth="1"/>
    <col min="4349" max="4349" width="18.75" style="29" customWidth="1"/>
    <col min="4350" max="4350" width="19.625" style="29" customWidth="1"/>
    <col min="4351" max="4601" width="12.625" style="29"/>
    <col min="4602" max="4602" width="20.625" style="29" customWidth="1"/>
    <col min="4603" max="4603" width="38.125" style="29" customWidth="1"/>
    <col min="4604" max="4604" width="17.25" style="29" customWidth="1"/>
    <col min="4605" max="4605" width="18.75" style="29" customWidth="1"/>
    <col min="4606" max="4606" width="19.625" style="29" customWidth="1"/>
    <col min="4607" max="4857" width="12.625" style="29"/>
    <col min="4858" max="4858" width="20.625" style="29" customWidth="1"/>
    <col min="4859" max="4859" width="38.125" style="29" customWidth="1"/>
    <col min="4860" max="4860" width="17.25" style="29" customWidth="1"/>
    <col min="4861" max="4861" width="18.75" style="29" customWidth="1"/>
    <col min="4862" max="4862" width="19.625" style="29" customWidth="1"/>
    <col min="4863" max="5113" width="12.625" style="29"/>
    <col min="5114" max="5114" width="20.625" style="29" customWidth="1"/>
    <col min="5115" max="5115" width="38.125" style="29" customWidth="1"/>
    <col min="5116" max="5116" width="17.25" style="29" customWidth="1"/>
    <col min="5117" max="5117" width="18.75" style="29" customWidth="1"/>
    <col min="5118" max="5118" width="19.625" style="29" customWidth="1"/>
    <col min="5119" max="5369" width="12.625" style="29"/>
    <col min="5370" max="5370" width="20.625" style="29" customWidth="1"/>
    <col min="5371" max="5371" width="38.125" style="29" customWidth="1"/>
    <col min="5372" max="5372" width="17.25" style="29" customWidth="1"/>
    <col min="5373" max="5373" width="18.75" style="29" customWidth="1"/>
    <col min="5374" max="5374" width="19.625" style="29" customWidth="1"/>
    <col min="5375" max="5625" width="12.625" style="29"/>
    <col min="5626" max="5626" width="20.625" style="29" customWidth="1"/>
    <col min="5627" max="5627" width="38.125" style="29" customWidth="1"/>
    <col min="5628" max="5628" width="17.25" style="29" customWidth="1"/>
    <col min="5629" max="5629" width="18.75" style="29" customWidth="1"/>
    <col min="5630" max="5630" width="19.625" style="29" customWidth="1"/>
    <col min="5631" max="5881" width="12.625" style="29"/>
    <col min="5882" max="5882" width="20.625" style="29" customWidth="1"/>
    <col min="5883" max="5883" width="38.125" style="29" customWidth="1"/>
    <col min="5884" max="5884" width="17.25" style="29" customWidth="1"/>
    <col min="5885" max="5885" width="18.75" style="29" customWidth="1"/>
    <col min="5886" max="5886" width="19.625" style="29" customWidth="1"/>
    <col min="5887" max="6137" width="12.625" style="29"/>
    <col min="6138" max="6138" width="20.625" style="29" customWidth="1"/>
    <col min="6139" max="6139" width="38.125" style="29" customWidth="1"/>
    <col min="6140" max="6140" width="17.25" style="29" customWidth="1"/>
    <col min="6141" max="6141" width="18.75" style="29" customWidth="1"/>
    <col min="6142" max="6142" width="19.625" style="29" customWidth="1"/>
    <col min="6143" max="6393" width="12.625" style="29"/>
    <col min="6394" max="6394" width="20.625" style="29" customWidth="1"/>
    <col min="6395" max="6395" width="38.125" style="29" customWidth="1"/>
    <col min="6396" max="6396" width="17.25" style="29" customWidth="1"/>
    <col min="6397" max="6397" width="18.75" style="29" customWidth="1"/>
    <col min="6398" max="6398" width="19.625" style="29" customWidth="1"/>
    <col min="6399" max="6649" width="12.625" style="29"/>
    <col min="6650" max="6650" width="20.625" style="29" customWidth="1"/>
    <col min="6651" max="6651" width="38.125" style="29" customWidth="1"/>
    <col min="6652" max="6652" width="17.25" style="29" customWidth="1"/>
    <col min="6653" max="6653" width="18.75" style="29" customWidth="1"/>
    <col min="6654" max="6654" width="19.625" style="29" customWidth="1"/>
    <col min="6655" max="6905" width="12.625" style="29"/>
    <col min="6906" max="6906" width="20.625" style="29" customWidth="1"/>
    <col min="6907" max="6907" width="38.125" style="29" customWidth="1"/>
    <col min="6908" max="6908" width="17.25" style="29" customWidth="1"/>
    <col min="6909" max="6909" width="18.75" style="29" customWidth="1"/>
    <col min="6910" max="6910" width="19.625" style="29" customWidth="1"/>
    <col min="6911" max="7161" width="12.625" style="29"/>
    <col min="7162" max="7162" width="20.625" style="29" customWidth="1"/>
    <col min="7163" max="7163" width="38.125" style="29" customWidth="1"/>
    <col min="7164" max="7164" width="17.25" style="29" customWidth="1"/>
    <col min="7165" max="7165" width="18.75" style="29" customWidth="1"/>
    <col min="7166" max="7166" width="19.625" style="29" customWidth="1"/>
    <col min="7167" max="7417" width="12.625" style="29"/>
    <col min="7418" max="7418" width="20.625" style="29" customWidth="1"/>
    <col min="7419" max="7419" width="38.125" style="29" customWidth="1"/>
    <col min="7420" max="7420" width="17.25" style="29" customWidth="1"/>
    <col min="7421" max="7421" width="18.75" style="29" customWidth="1"/>
    <col min="7422" max="7422" width="19.625" style="29" customWidth="1"/>
    <col min="7423" max="7673" width="12.625" style="29"/>
    <col min="7674" max="7674" width="20.625" style="29" customWidth="1"/>
    <col min="7675" max="7675" width="38.125" style="29" customWidth="1"/>
    <col min="7676" max="7676" width="17.25" style="29" customWidth="1"/>
    <col min="7677" max="7677" width="18.75" style="29" customWidth="1"/>
    <col min="7678" max="7678" width="19.625" style="29" customWidth="1"/>
    <col min="7679" max="7929" width="12.625" style="29"/>
    <col min="7930" max="7930" width="20.625" style="29" customWidth="1"/>
    <col min="7931" max="7931" width="38.125" style="29" customWidth="1"/>
    <col min="7932" max="7932" width="17.25" style="29" customWidth="1"/>
    <col min="7933" max="7933" width="18.75" style="29" customWidth="1"/>
    <col min="7934" max="7934" width="19.625" style="29" customWidth="1"/>
    <col min="7935" max="8185" width="12.625" style="29"/>
    <col min="8186" max="8186" width="20.625" style="29" customWidth="1"/>
    <col min="8187" max="8187" width="38.125" style="29" customWidth="1"/>
    <col min="8188" max="8188" width="17.25" style="29" customWidth="1"/>
    <col min="8189" max="8189" width="18.75" style="29" customWidth="1"/>
    <col min="8190" max="8190" width="19.625" style="29" customWidth="1"/>
    <col min="8191" max="8441" width="12.625" style="29"/>
    <col min="8442" max="8442" width="20.625" style="29" customWidth="1"/>
    <col min="8443" max="8443" width="38.125" style="29" customWidth="1"/>
    <col min="8444" max="8444" width="17.25" style="29" customWidth="1"/>
    <col min="8445" max="8445" width="18.75" style="29" customWidth="1"/>
    <col min="8446" max="8446" width="19.625" style="29" customWidth="1"/>
    <col min="8447" max="8697" width="12.625" style="29"/>
    <col min="8698" max="8698" width="20.625" style="29" customWidth="1"/>
    <col min="8699" max="8699" width="38.125" style="29" customWidth="1"/>
    <col min="8700" max="8700" width="17.25" style="29" customWidth="1"/>
    <col min="8701" max="8701" width="18.75" style="29" customWidth="1"/>
    <col min="8702" max="8702" width="19.625" style="29" customWidth="1"/>
    <col min="8703" max="8953" width="12.625" style="29"/>
    <col min="8954" max="8954" width="20.625" style="29" customWidth="1"/>
    <col min="8955" max="8955" width="38.125" style="29" customWidth="1"/>
    <col min="8956" max="8956" width="17.25" style="29" customWidth="1"/>
    <col min="8957" max="8957" width="18.75" style="29" customWidth="1"/>
    <col min="8958" max="8958" width="19.625" style="29" customWidth="1"/>
    <col min="8959" max="9209" width="12.625" style="29"/>
    <col min="9210" max="9210" width="20.625" style="29" customWidth="1"/>
    <col min="9211" max="9211" width="38.125" style="29" customWidth="1"/>
    <col min="9212" max="9212" width="17.25" style="29" customWidth="1"/>
    <col min="9213" max="9213" width="18.75" style="29" customWidth="1"/>
    <col min="9214" max="9214" width="19.625" style="29" customWidth="1"/>
    <col min="9215" max="9465" width="12.625" style="29"/>
    <col min="9466" max="9466" width="20.625" style="29" customWidth="1"/>
    <col min="9467" max="9467" width="38.125" style="29" customWidth="1"/>
    <col min="9468" max="9468" width="17.25" style="29" customWidth="1"/>
    <col min="9469" max="9469" width="18.75" style="29" customWidth="1"/>
    <col min="9470" max="9470" width="19.625" style="29" customWidth="1"/>
    <col min="9471" max="9721" width="12.625" style="29"/>
    <col min="9722" max="9722" width="20.625" style="29" customWidth="1"/>
    <col min="9723" max="9723" width="38.125" style="29" customWidth="1"/>
    <col min="9724" max="9724" width="17.25" style="29" customWidth="1"/>
    <col min="9725" max="9725" width="18.75" style="29" customWidth="1"/>
    <col min="9726" max="9726" width="19.625" style="29" customWidth="1"/>
    <col min="9727" max="9977" width="12.625" style="29"/>
    <col min="9978" max="9978" width="20.625" style="29" customWidth="1"/>
    <col min="9979" max="9979" width="38.125" style="29" customWidth="1"/>
    <col min="9980" max="9980" width="17.25" style="29" customWidth="1"/>
    <col min="9981" max="9981" width="18.75" style="29" customWidth="1"/>
    <col min="9982" max="9982" width="19.625" style="29" customWidth="1"/>
    <col min="9983" max="10233" width="12.625" style="29"/>
    <col min="10234" max="10234" width="20.625" style="29" customWidth="1"/>
    <col min="10235" max="10235" width="38.125" style="29" customWidth="1"/>
    <col min="10236" max="10236" width="17.25" style="29" customWidth="1"/>
    <col min="10237" max="10237" width="18.75" style="29" customWidth="1"/>
    <col min="10238" max="10238" width="19.625" style="29" customWidth="1"/>
    <col min="10239" max="10489" width="12.625" style="29"/>
    <col min="10490" max="10490" width="20.625" style="29" customWidth="1"/>
    <col min="10491" max="10491" width="38.125" style="29" customWidth="1"/>
    <col min="10492" max="10492" width="17.25" style="29" customWidth="1"/>
    <col min="10493" max="10493" width="18.75" style="29" customWidth="1"/>
    <col min="10494" max="10494" width="19.625" style="29" customWidth="1"/>
    <col min="10495" max="10745" width="12.625" style="29"/>
    <col min="10746" max="10746" width="20.625" style="29" customWidth="1"/>
    <col min="10747" max="10747" width="38.125" style="29" customWidth="1"/>
    <col min="10748" max="10748" width="17.25" style="29" customWidth="1"/>
    <col min="10749" max="10749" width="18.75" style="29" customWidth="1"/>
    <col min="10750" max="10750" width="19.625" style="29" customWidth="1"/>
    <col min="10751" max="11001" width="12.625" style="29"/>
    <col min="11002" max="11002" width="20.625" style="29" customWidth="1"/>
    <col min="11003" max="11003" width="38.125" style="29" customWidth="1"/>
    <col min="11004" max="11004" width="17.25" style="29" customWidth="1"/>
    <col min="11005" max="11005" width="18.75" style="29" customWidth="1"/>
    <col min="11006" max="11006" width="19.625" style="29" customWidth="1"/>
    <col min="11007" max="11257" width="12.625" style="29"/>
    <col min="11258" max="11258" width="20.625" style="29" customWidth="1"/>
    <col min="11259" max="11259" width="38.125" style="29" customWidth="1"/>
    <col min="11260" max="11260" width="17.25" style="29" customWidth="1"/>
    <col min="11261" max="11261" width="18.75" style="29" customWidth="1"/>
    <col min="11262" max="11262" width="19.625" style="29" customWidth="1"/>
    <col min="11263" max="11513" width="12.625" style="29"/>
    <col min="11514" max="11514" width="20.625" style="29" customWidth="1"/>
    <col min="11515" max="11515" width="38.125" style="29" customWidth="1"/>
    <col min="11516" max="11516" width="17.25" style="29" customWidth="1"/>
    <col min="11517" max="11517" width="18.75" style="29" customWidth="1"/>
    <col min="11518" max="11518" width="19.625" style="29" customWidth="1"/>
    <col min="11519" max="11769" width="12.625" style="29"/>
    <col min="11770" max="11770" width="20.625" style="29" customWidth="1"/>
    <col min="11771" max="11771" width="38.125" style="29" customWidth="1"/>
    <col min="11772" max="11772" width="17.25" style="29" customWidth="1"/>
    <col min="11773" max="11773" width="18.75" style="29" customWidth="1"/>
    <col min="11774" max="11774" width="19.625" style="29" customWidth="1"/>
    <col min="11775" max="12025" width="12.625" style="29"/>
    <col min="12026" max="12026" width="20.625" style="29" customWidth="1"/>
    <col min="12027" max="12027" width="38.125" style="29" customWidth="1"/>
    <col min="12028" max="12028" width="17.25" style="29" customWidth="1"/>
    <col min="12029" max="12029" width="18.75" style="29" customWidth="1"/>
    <col min="12030" max="12030" width="19.625" style="29" customWidth="1"/>
    <col min="12031" max="12281" width="12.625" style="29"/>
    <col min="12282" max="12282" width="20.625" style="29" customWidth="1"/>
    <col min="12283" max="12283" width="38.125" style="29" customWidth="1"/>
    <col min="12284" max="12284" width="17.25" style="29" customWidth="1"/>
    <col min="12285" max="12285" width="18.75" style="29" customWidth="1"/>
    <col min="12286" max="12286" width="19.625" style="29" customWidth="1"/>
    <col min="12287" max="12537" width="12.625" style="29"/>
    <col min="12538" max="12538" width="20.625" style="29" customWidth="1"/>
    <col min="12539" max="12539" width="38.125" style="29" customWidth="1"/>
    <col min="12540" max="12540" width="17.25" style="29" customWidth="1"/>
    <col min="12541" max="12541" width="18.75" style="29" customWidth="1"/>
    <col min="12542" max="12542" width="19.625" style="29" customWidth="1"/>
    <col min="12543" max="12793" width="12.625" style="29"/>
    <col min="12794" max="12794" width="20.625" style="29" customWidth="1"/>
    <col min="12795" max="12795" width="38.125" style="29" customWidth="1"/>
    <col min="12796" max="12796" width="17.25" style="29" customWidth="1"/>
    <col min="12797" max="12797" width="18.75" style="29" customWidth="1"/>
    <col min="12798" max="12798" width="19.625" style="29" customWidth="1"/>
    <col min="12799" max="13049" width="12.625" style="29"/>
    <col min="13050" max="13050" width="20.625" style="29" customWidth="1"/>
    <col min="13051" max="13051" width="38.125" style="29" customWidth="1"/>
    <col min="13052" max="13052" width="17.25" style="29" customWidth="1"/>
    <col min="13053" max="13053" width="18.75" style="29" customWidth="1"/>
    <col min="13054" max="13054" width="19.625" style="29" customWidth="1"/>
    <col min="13055" max="13305" width="12.625" style="29"/>
    <col min="13306" max="13306" width="20.625" style="29" customWidth="1"/>
    <col min="13307" max="13307" width="38.125" style="29" customWidth="1"/>
    <col min="13308" max="13308" width="17.25" style="29" customWidth="1"/>
    <col min="13309" max="13309" width="18.75" style="29" customWidth="1"/>
    <col min="13310" max="13310" width="19.625" style="29" customWidth="1"/>
    <col min="13311" max="13561" width="12.625" style="29"/>
    <col min="13562" max="13562" width="20.625" style="29" customWidth="1"/>
    <col min="13563" max="13563" width="38.125" style="29" customWidth="1"/>
    <col min="13564" max="13564" width="17.25" style="29" customWidth="1"/>
    <col min="13565" max="13565" width="18.75" style="29" customWidth="1"/>
    <col min="13566" max="13566" width="19.625" style="29" customWidth="1"/>
    <col min="13567" max="13817" width="12.625" style="29"/>
    <col min="13818" max="13818" width="20.625" style="29" customWidth="1"/>
    <col min="13819" max="13819" width="38.125" style="29" customWidth="1"/>
    <col min="13820" max="13820" width="17.25" style="29" customWidth="1"/>
    <col min="13821" max="13821" width="18.75" style="29" customWidth="1"/>
    <col min="13822" max="13822" width="19.625" style="29" customWidth="1"/>
    <col min="13823" max="14073" width="12.625" style="29"/>
    <col min="14074" max="14074" width="20.625" style="29" customWidth="1"/>
    <col min="14075" max="14075" width="38.125" style="29" customWidth="1"/>
    <col min="14076" max="14076" width="17.25" style="29" customWidth="1"/>
    <col min="14077" max="14077" width="18.75" style="29" customWidth="1"/>
    <col min="14078" max="14078" width="19.625" style="29" customWidth="1"/>
    <col min="14079" max="14329" width="12.625" style="29"/>
    <col min="14330" max="14330" width="20.625" style="29" customWidth="1"/>
    <col min="14331" max="14331" width="38.125" style="29" customWidth="1"/>
    <col min="14332" max="14332" width="17.25" style="29" customWidth="1"/>
    <col min="14333" max="14333" width="18.75" style="29" customWidth="1"/>
    <col min="14334" max="14334" width="19.625" style="29" customWidth="1"/>
    <col min="14335" max="14585" width="12.625" style="29"/>
    <col min="14586" max="14586" width="20.625" style="29" customWidth="1"/>
    <col min="14587" max="14587" width="38.125" style="29" customWidth="1"/>
    <col min="14588" max="14588" width="17.25" style="29" customWidth="1"/>
    <col min="14589" max="14589" width="18.75" style="29" customWidth="1"/>
    <col min="14590" max="14590" width="19.625" style="29" customWidth="1"/>
    <col min="14591" max="14841" width="12.625" style="29"/>
    <col min="14842" max="14842" width="20.625" style="29" customWidth="1"/>
    <col min="14843" max="14843" width="38.125" style="29" customWidth="1"/>
    <col min="14844" max="14844" width="17.25" style="29" customWidth="1"/>
    <col min="14845" max="14845" width="18.75" style="29" customWidth="1"/>
    <col min="14846" max="14846" width="19.625" style="29" customWidth="1"/>
    <col min="14847" max="15097" width="12.625" style="29"/>
    <col min="15098" max="15098" width="20.625" style="29" customWidth="1"/>
    <col min="15099" max="15099" width="38.125" style="29" customWidth="1"/>
    <col min="15100" max="15100" width="17.25" style="29" customWidth="1"/>
    <col min="15101" max="15101" width="18.75" style="29" customWidth="1"/>
    <col min="15102" max="15102" width="19.625" style="29" customWidth="1"/>
    <col min="15103" max="15353" width="12.625" style="29"/>
    <col min="15354" max="15354" width="20.625" style="29" customWidth="1"/>
    <col min="15355" max="15355" width="38.125" style="29" customWidth="1"/>
    <col min="15356" max="15356" width="17.25" style="29" customWidth="1"/>
    <col min="15357" max="15357" width="18.75" style="29" customWidth="1"/>
    <col min="15358" max="15358" width="19.625" style="29" customWidth="1"/>
    <col min="15359" max="15609" width="12.625" style="29"/>
    <col min="15610" max="15610" width="20.625" style="29" customWidth="1"/>
    <col min="15611" max="15611" width="38.125" style="29" customWidth="1"/>
    <col min="15612" max="15612" width="17.25" style="29" customWidth="1"/>
    <col min="15613" max="15613" width="18.75" style="29" customWidth="1"/>
    <col min="15614" max="15614" width="19.625" style="29" customWidth="1"/>
    <col min="15615" max="15865" width="12.625" style="29"/>
    <col min="15866" max="15866" width="20.625" style="29" customWidth="1"/>
    <col min="15867" max="15867" width="38.125" style="29" customWidth="1"/>
    <col min="15868" max="15868" width="17.25" style="29" customWidth="1"/>
    <col min="15869" max="15869" width="18.75" style="29" customWidth="1"/>
    <col min="15870" max="15870" width="19.625" style="29" customWidth="1"/>
    <col min="15871" max="16121" width="12.625" style="29"/>
    <col min="16122" max="16122" width="20.625" style="29" customWidth="1"/>
    <col min="16123" max="16123" width="38.125" style="29" customWidth="1"/>
    <col min="16124" max="16124" width="17.25" style="29" customWidth="1"/>
    <col min="16125" max="16125" width="18.75" style="29" customWidth="1"/>
    <col min="16126" max="16126" width="19.625" style="29" customWidth="1"/>
    <col min="16127" max="16384" width="12.625" style="29"/>
  </cols>
  <sheetData>
    <row r="1" spans="1:4" ht="20.100000000000001" customHeight="1">
      <c r="A1" s="27" t="s">
        <v>181</v>
      </c>
    </row>
    <row r="2" spans="1:4" ht="17.25" customHeight="1">
      <c r="B2" s="6"/>
      <c r="C2" s="58"/>
    </row>
    <row r="3" spans="1:4" ht="20.100000000000001" customHeight="1">
      <c r="A3" s="2083" t="e">
        <f>#REF!</f>
        <v>#REF!</v>
      </c>
      <c r="B3" s="2083"/>
      <c r="C3" s="30"/>
      <c r="D3" s="31" t="s">
        <v>0</v>
      </c>
    </row>
    <row r="4" spans="1:4" ht="20.100000000000001" customHeight="1">
      <c r="A4" s="341" t="s">
        <v>1</v>
      </c>
      <c r="B4" s="342" t="s">
        <v>2</v>
      </c>
      <c r="C4" s="342" t="s">
        <v>3</v>
      </c>
      <c r="D4" s="343" t="s">
        <v>4</v>
      </c>
    </row>
    <row r="5" spans="1:4" s="30" customFormat="1" ht="21.95" customHeight="1">
      <c r="A5" s="344" t="s">
        <v>179</v>
      </c>
      <c r="B5" s="356"/>
      <c r="C5" s="351"/>
      <c r="D5" s="1319"/>
    </row>
    <row r="6" spans="1:4" ht="21.95" customHeight="1">
      <c r="A6" s="324" t="s">
        <v>178</v>
      </c>
      <c r="B6" s="353" t="s">
        <v>889</v>
      </c>
      <c r="C6" s="346"/>
      <c r="D6" s="1320" t="e">
        <f>MONTH($A$3)&amp;"월 급여"</f>
        <v>#REF!</v>
      </c>
    </row>
    <row r="7" spans="1:4" ht="21.95" hidden="1" customHeight="1">
      <c r="A7" s="1318"/>
      <c r="B7" s="353" t="s">
        <v>886</v>
      </c>
      <c r="C7" s="1317"/>
      <c r="D7" s="1320"/>
    </row>
    <row r="8" spans="1:4" ht="21.95" hidden="1" customHeight="1">
      <c r="A8" s="324" t="s">
        <v>178</v>
      </c>
      <c r="B8" s="353" t="s">
        <v>517</v>
      </c>
      <c r="C8" s="921"/>
      <c r="D8" s="1048"/>
    </row>
    <row r="9" spans="1:4" ht="21.95" customHeight="1">
      <c r="A9" s="2204" t="s">
        <v>40</v>
      </c>
      <c r="B9" s="2205"/>
      <c r="C9" s="352">
        <f>SUM(C6:C8)</f>
        <v>0</v>
      </c>
      <c r="D9" s="1321"/>
    </row>
    <row r="10" spans="1:4" s="30" customFormat="1" ht="21.95" customHeight="1">
      <c r="A10" s="344" t="s">
        <v>180</v>
      </c>
      <c r="B10" s="345"/>
      <c r="C10" s="351"/>
      <c r="D10" s="1319"/>
    </row>
    <row r="11" spans="1:4" ht="21.95" customHeight="1">
      <c r="A11" s="324" t="s">
        <v>178</v>
      </c>
      <c r="B11" s="353" t="s">
        <v>888</v>
      </c>
      <c r="C11" s="346"/>
      <c r="D11" s="1320" t="e">
        <f>MONTH($A$3)&amp;"월 급여"</f>
        <v>#REF!</v>
      </c>
    </row>
    <row r="12" spans="1:4" ht="21.95" hidden="1" customHeight="1">
      <c r="A12" s="1318"/>
      <c r="B12" s="353" t="s">
        <v>887</v>
      </c>
      <c r="C12" s="1317"/>
      <c r="D12" s="1320"/>
    </row>
    <row r="13" spans="1:4" ht="21.95" hidden="1" customHeight="1">
      <c r="A13" s="324" t="s">
        <v>178</v>
      </c>
      <c r="B13" s="353" t="s">
        <v>518</v>
      </c>
      <c r="C13" s="921"/>
      <c r="D13" s="311"/>
    </row>
    <row r="14" spans="1:4" ht="21.95" customHeight="1">
      <c r="A14" s="2204" t="s">
        <v>106</v>
      </c>
      <c r="B14" s="2205"/>
      <c r="C14" s="352">
        <f>SUM(C11:C13)</f>
        <v>0</v>
      </c>
      <c r="D14" s="350"/>
    </row>
    <row r="15" spans="1:4" ht="21.95" hidden="1" customHeight="1">
      <c r="A15" s="324"/>
      <c r="B15" s="353"/>
      <c r="C15" s="346"/>
      <c r="D15" s="329"/>
    </row>
    <row r="16" spans="1:4" ht="21.95" hidden="1" customHeight="1">
      <c r="A16" s="348"/>
      <c r="B16" s="353"/>
      <c r="C16" s="346"/>
      <c r="D16" s="329"/>
    </row>
    <row r="17" spans="1:4" ht="26.25" hidden="1" customHeight="1">
      <c r="A17" s="349"/>
      <c r="B17" s="353"/>
      <c r="C17" s="346"/>
      <c r="D17" s="329"/>
    </row>
    <row r="18" spans="1:4" ht="21.95" hidden="1" customHeight="1">
      <c r="A18" s="325"/>
      <c r="B18" s="353"/>
      <c r="C18" s="346"/>
      <c r="D18" s="329"/>
    </row>
    <row r="19" spans="1:4" ht="21.95" hidden="1" customHeight="1">
      <c r="A19" s="328"/>
      <c r="B19" s="353"/>
      <c r="C19" s="346"/>
      <c r="D19" s="329"/>
    </row>
    <row r="20" spans="1:4" ht="21.95" hidden="1" customHeight="1">
      <c r="A20" s="325"/>
      <c r="B20" s="354"/>
      <c r="C20" s="327"/>
      <c r="D20" s="326"/>
    </row>
    <row r="21" spans="1:4" ht="21.95" hidden="1" customHeight="1">
      <c r="A21" s="328"/>
      <c r="B21" s="353"/>
      <c r="C21" s="346"/>
      <c r="D21" s="329"/>
    </row>
    <row r="22" spans="1:4" ht="21.95" hidden="1" customHeight="1">
      <c r="A22" s="325"/>
      <c r="B22" s="354"/>
      <c r="C22" s="69"/>
      <c r="D22" s="41"/>
    </row>
    <row r="23" spans="1:4" ht="21.95" hidden="1" customHeight="1">
      <c r="A23" s="348"/>
      <c r="B23" s="354"/>
      <c r="C23" s="69"/>
      <c r="D23" s="41"/>
    </row>
    <row r="24" spans="1:4" ht="21.95" hidden="1" customHeight="1">
      <c r="A24" s="325"/>
      <c r="B24" s="354"/>
      <c r="C24" s="69"/>
      <c r="D24" s="41"/>
    </row>
    <row r="25" spans="1:4" ht="21.95" hidden="1" customHeight="1">
      <c r="A25" s="328"/>
      <c r="B25" s="354"/>
      <c r="C25" s="69"/>
      <c r="D25" s="41"/>
    </row>
    <row r="26" spans="1:4" ht="20.100000000000001" customHeight="1">
      <c r="A26" s="341" t="s">
        <v>5</v>
      </c>
      <c r="B26" s="355"/>
      <c r="C26" s="73">
        <f>C9+C14</f>
        <v>0</v>
      </c>
      <c r="D26" s="60"/>
    </row>
    <row r="27" spans="1:4" ht="20.100000000000001" customHeight="1">
      <c r="A27" s="2" t="e">
        <f>#REF!</f>
        <v>#REF!</v>
      </c>
    </row>
  </sheetData>
  <mergeCells count="3">
    <mergeCell ref="A3:B3"/>
    <mergeCell ref="A9:B9"/>
    <mergeCell ref="A14:B14"/>
  </mergeCells>
  <phoneticPr fontId="2" type="noConversion"/>
  <printOptions horizontalCentered="1"/>
  <pageMargins left="0.39370078740157483" right="0.39370078740157483" top="0.45" bottom="0.43" header="0.39370078740157483" footer="0.39370078740157483"/>
  <pageSetup paperSize="9" orientation="landscape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topLeftCell="A19" zoomScaleSheetLayoutView="100" workbookViewId="0">
      <selection activeCell="F42" sqref="F42"/>
    </sheetView>
  </sheetViews>
  <sheetFormatPr defaultColWidth="12.625" defaultRowHeight="20.100000000000001" customHeight="1"/>
  <cols>
    <col min="1" max="1" width="25.375" style="29" customWidth="1"/>
    <col min="2" max="2" width="41.125" style="29" customWidth="1"/>
    <col min="3" max="3" width="25.125" style="29" customWidth="1"/>
    <col min="4" max="4" width="28" style="29" customWidth="1"/>
    <col min="5" max="250" width="12.625" style="29"/>
    <col min="251" max="251" width="20.625" style="29" customWidth="1"/>
    <col min="252" max="252" width="38.125" style="29" customWidth="1"/>
    <col min="253" max="253" width="17.25" style="29" customWidth="1"/>
    <col min="254" max="254" width="18.75" style="29" customWidth="1"/>
    <col min="255" max="255" width="19.625" style="29" customWidth="1"/>
    <col min="256" max="506" width="12.625" style="29"/>
    <col min="507" max="507" width="20.625" style="29" customWidth="1"/>
    <col min="508" max="508" width="38.125" style="29" customWidth="1"/>
    <col min="509" max="509" width="17.25" style="29" customWidth="1"/>
    <col min="510" max="510" width="18.75" style="29" customWidth="1"/>
    <col min="511" max="511" width="19.625" style="29" customWidth="1"/>
    <col min="512" max="762" width="12.625" style="29"/>
    <col min="763" max="763" width="20.625" style="29" customWidth="1"/>
    <col min="764" max="764" width="38.125" style="29" customWidth="1"/>
    <col min="765" max="765" width="17.25" style="29" customWidth="1"/>
    <col min="766" max="766" width="18.75" style="29" customWidth="1"/>
    <col min="767" max="767" width="19.625" style="29" customWidth="1"/>
    <col min="768" max="1018" width="12.625" style="29"/>
    <col min="1019" max="1019" width="20.625" style="29" customWidth="1"/>
    <col min="1020" max="1020" width="38.125" style="29" customWidth="1"/>
    <col min="1021" max="1021" width="17.25" style="29" customWidth="1"/>
    <col min="1022" max="1022" width="18.75" style="29" customWidth="1"/>
    <col min="1023" max="1023" width="19.625" style="29" customWidth="1"/>
    <col min="1024" max="1274" width="12.625" style="29"/>
    <col min="1275" max="1275" width="20.625" style="29" customWidth="1"/>
    <col min="1276" max="1276" width="38.125" style="29" customWidth="1"/>
    <col min="1277" max="1277" width="17.25" style="29" customWidth="1"/>
    <col min="1278" max="1278" width="18.75" style="29" customWidth="1"/>
    <col min="1279" max="1279" width="19.625" style="29" customWidth="1"/>
    <col min="1280" max="1530" width="12.625" style="29"/>
    <col min="1531" max="1531" width="20.625" style="29" customWidth="1"/>
    <col min="1532" max="1532" width="38.125" style="29" customWidth="1"/>
    <col min="1533" max="1533" width="17.25" style="29" customWidth="1"/>
    <col min="1534" max="1534" width="18.75" style="29" customWidth="1"/>
    <col min="1535" max="1535" width="19.625" style="29" customWidth="1"/>
    <col min="1536" max="1786" width="12.625" style="29"/>
    <col min="1787" max="1787" width="20.625" style="29" customWidth="1"/>
    <col min="1788" max="1788" width="38.125" style="29" customWidth="1"/>
    <col min="1789" max="1789" width="17.25" style="29" customWidth="1"/>
    <col min="1790" max="1790" width="18.75" style="29" customWidth="1"/>
    <col min="1791" max="1791" width="19.625" style="29" customWidth="1"/>
    <col min="1792" max="2042" width="12.625" style="29"/>
    <col min="2043" max="2043" width="20.625" style="29" customWidth="1"/>
    <col min="2044" max="2044" width="38.125" style="29" customWidth="1"/>
    <col min="2045" max="2045" width="17.25" style="29" customWidth="1"/>
    <col min="2046" max="2046" width="18.75" style="29" customWidth="1"/>
    <col min="2047" max="2047" width="19.625" style="29" customWidth="1"/>
    <col min="2048" max="2298" width="12.625" style="29"/>
    <col min="2299" max="2299" width="20.625" style="29" customWidth="1"/>
    <col min="2300" max="2300" width="38.125" style="29" customWidth="1"/>
    <col min="2301" max="2301" width="17.25" style="29" customWidth="1"/>
    <col min="2302" max="2302" width="18.75" style="29" customWidth="1"/>
    <col min="2303" max="2303" width="19.625" style="29" customWidth="1"/>
    <col min="2304" max="2554" width="12.625" style="29"/>
    <col min="2555" max="2555" width="20.625" style="29" customWidth="1"/>
    <col min="2556" max="2556" width="38.125" style="29" customWidth="1"/>
    <col min="2557" max="2557" width="17.25" style="29" customWidth="1"/>
    <col min="2558" max="2558" width="18.75" style="29" customWidth="1"/>
    <col min="2559" max="2559" width="19.625" style="29" customWidth="1"/>
    <col min="2560" max="2810" width="12.625" style="29"/>
    <col min="2811" max="2811" width="20.625" style="29" customWidth="1"/>
    <col min="2812" max="2812" width="38.125" style="29" customWidth="1"/>
    <col min="2813" max="2813" width="17.25" style="29" customWidth="1"/>
    <col min="2814" max="2814" width="18.75" style="29" customWidth="1"/>
    <col min="2815" max="2815" width="19.625" style="29" customWidth="1"/>
    <col min="2816" max="3066" width="12.625" style="29"/>
    <col min="3067" max="3067" width="20.625" style="29" customWidth="1"/>
    <col min="3068" max="3068" width="38.125" style="29" customWidth="1"/>
    <col min="3069" max="3069" width="17.25" style="29" customWidth="1"/>
    <col min="3070" max="3070" width="18.75" style="29" customWidth="1"/>
    <col min="3071" max="3071" width="19.625" style="29" customWidth="1"/>
    <col min="3072" max="3322" width="12.625" style="29"/>
    <col min="3323" max="3323" width="20.625" style="29" customWidth="1"/>
    <col min="3324" max="3324" width="38.125" style="29" customWidth="1"/>
    <col min="3325" max="3325" width="17.25" style="29" customWidth="1"/>
    <col min="3326" max="3326" width="18.75" style="29" customWidth="1"/>
    <col min="3327" max="3327" width="19.625" style="29" customWidth="1"/>
    <col min="3328" max="3578" width="12.625" style="29"/>
    <col min="3579" max="3579" width="20.625" style="29" customWidth="1"/>
    <col min="3580" max="3580" width="38.125" style="29" customWidth="1"/>
    <col min="3581" max="3581" width="17.25" style="29" customWidth="1"/>
    <col min="3582" max="3582" width="18.75" style="29" customWidth="1"/>
    <col min="3583" max="3583" width="19.625" style="29" customWidth="1"/>
    <col min="3584" max="3834" width="12.625" style="29"/>
    <col min="3835" max="3835" width="20.625" style="29" customWidth="1"/>
    <col min="3836" max="3836" width="38.125" style="29" customWidth="1"/>
    <col min="3837" max="3837" width="17.25" style="29" customWidth="1"/>
    <col min="3838" max="3838" width="18.75" style="29" customWidth="1"/>
    <col min="3839" max="3839" width="19.625" style="29" customWidth="1"/>
    <col min="3840" max="4090" width="12.625" style="29"/>
    <col min="4091" max="4091" width="20.625" style="29" customWidth="1"/>
    <col min="4092" max="4092" width="38.125" style="29" customWidth="1"/>
    <col min="4093" max="4093" width="17.25" style="29" customWidth="1"/>
    <col min="4094" max="4094" width="18.75" style="29" customWidth="1"/>
    <col min="4095" max="4095" width="19.625" style="29" customWidth="1"/>
    <col min="4096" max="4346" width="12.625" style="29"/>
    <col min="4347" max="4347" width="20.625" style="29" customWidth="1"/>
    <col min="4348" max="4348" width="38.125" style="29" customWidth="1"/>
    <col min="4349" max="4349" width="17.25" style="29" customWidth="1"/>
    <col min="4350" max="4350" width="18.75" style="29" customWidth="1"/>
    <col min="4351" max="4351" width="19.625" style="29" customWidth="1"/>
    <col min="4352" max="4602" width="12.625" style="29"/>
    <col min="4603" max="4603" width="20.625" style="29" customWidth="1"/>
    <col min="4604" max="4604" width="38.125" style="29" customWidth="1"/>
    <col min="4605" max="4605" width="17.25" style="29" customWidth="1"/>
    <col min="4606" max="4606" width="18.75" style="29" customWidth="1"/>
    <col min="4607" max="4607" width="19.625" style="29" customWidth="1"/>
    <col min="4608" max="4858" width="12.625" style="29"/>
    <col min="4859" max="4859" width="20.625" style="29" customWidth="1"/>
    <col min="4860" max="4860" width="38.125" style="29" customWidth="1"/>
    <col min="4861" max="4861" width="17.25" style="29" customWidth="1"/>
    <col min="4862" max="4862" width="18.75" style="29" customWidth="1"/>
    <col min="4863" max="4863" width="19.625" style="29" customWidth="1"/>
    <col min="4864" max="5114" width="12.625" style="29"/>
    <col min="5115" max="5115" width="20.625" style="29" customWidth="1"/>
    <col min="5116" max="5116" width="38.125" style="29" customWidth="1"/>
    <col min="5117" max="5117" width="17.25" style="29" customWidth="1"/>
    <col min="5118" max="5118" width="18.75" style="29" customWidth="1"/>
    <col min="5119" max="5119" width="19.625" style="29" customWidth="1"/>
    <col min="5120" max="5370" width="12.625" style="29"/>
    <col min="5371" max="5371" width="20.625" style="29" customWidth="1"/>
    <col min="5372" max="5372" width="38.125" style="29" customWidth="1"/>
    <col min="5373" max="5373" width="17.25" style="29" customWidth="1"/>
    <col min="5374" max="5374" width="18.75" style="29" customWidth="1"/>
    <col min="5375" max="5375" width="19.625" style="29" customWidth="1"/>
    <col min="5376" max="5626" width="12.625" style="29"/>
    <col min="5627" max="5627" width="20.625" style="29" customWidth="1"/>
    <col min="5628" max="5628" width="38.125" style="29" customWidth="1"/>
    <col min="5629" max="5629" width="17.25" style="29" customWidth="1"/>
    <col min="5630" max="5630" width="18.75" style="29" customWidth="1"/>
    <col min="5631" max="5631" width="19.625" style="29" customWidth="1"/>
    <col min="5632" max="5882" width="12.625" style="29"/>
    <col min="5883" max="5883" width="20.625" style="29" customWidth="1"/>
    <col min="5884" max="5884" width="38.125" style="29" customWidth="1"/>
    <col min="5885" max="5885" width="17.25" style="29" customWidth="1"/>
    <col min="5886" max="5886" width="18.75" style="29" customWidth="1"/>
    <col min="5887" max="5887" width="19.625" style="29" customWidth="1"/>
    <col min="5888" max="6138" width="12.625" style="29"/>
    <col min="6139" max="6139" width="20.625" style="29" customWidth="1"/>
    <col min="6140" max="6140" width="38.125" style="29" customWidth="1"/>
    <col min="6141" max="6141" width="17.25" style="29" customWidth="1"/>
    <col min="6142" max="6142" width="18.75" style="29" customWidth="1"/>
    <col min="6143" max="6143" width="19.625" style="29" customWidth="1"/>
    <col min="6144" max="6394" width="12.625" style="29"/>
    <col min="6395" max="6395" width="20.625" style="29" customWidth="1"/>
    <col min="6396" max="6396" width="38.125" style="29" customWidth="1"/>
    <col min="6397" max="6397" width="17.25" style="29" customWidth="1"/>
    <col min="6398" max="6398" width="18.75" style="29" customWidth="1"/>
    <col min="6399" max="6399" width="19.625" style="29" customWidth="1"/>
    <col min="6400" max="6650" width="12.625" style="29"/>
    <col min="6651" max="6651" width="20.625" style="29" customWidth="1"/>
    <col min="6652" max="6652" width="38.125" style="29" customWidth="1"/>
    <col min="6653" max="6653" width="17.25" style="29" customWidth="1"/>
    <col min="6654" max="6654" width="18.75" style="29" customWidth="1"/>
    <col min="6655" max="6655" width="19.625" style="29" customWidth="1"/>
    <col min="6656" max="6906" width="12.625" style="29"/>
    <col min="6907" max="6907" width="20.625" style="29" customWidth="1"/>
    <col min="6908" max="6908" width="38.125" style="29" customWidth="1"/>
    <col min="6909" max="6909" width="17.25" style="29" customWidth="1"/>
    <col min="6910" max="6910" width="18.75" style="29" customWidth="1"/>
    <col min="6911" max="6911" width="19.625" style="29" customWidth="1"/>
    <col min="6912" max="7162" width="12.625" style="29"/>
    <col min="7163" max="7163" width="20.625" style="29" customWidth="1"/>
    <col min="7164" max="7164" width="38.125" style="29" customWidth="1"/>
    <col min="7165" max="7165" width="17.25" style="29" customWidth="1"/>
    <col min="7166" max="7166" width="18.75" style="29" customWidth="1"/>
    <col min="7167" max="7167" width="19.625" style="29" customWidth="1"/>
    <col min="7168" max="7418" width="12.625" style="29"/>
    <col min="7419" max="7419" width="20.625" style="29" customWidth="1"/>
    <col min="7420" max="7420" width="38.125" style="29" customWidth="1"/>
    <col min="7421" max="7421" width="17.25" style="29" customWidth="1"/>
    <col min="7422" max="7422" width="18.75" style="29" customWidth="1"/>
    <col min="7423" max="7423" width="19.625" style="29" customWidth="1"/>
    <col min="7424" max="7674" width="12.625" style="29"/>
    <col min="7675" max="7675" width="20.625" style="29" customWidth="1"/>
    <col min="7676" max="7676" width="38.125" style="29" customWidth="1"/>
    <col min="7677" max="7677" width="17.25" style="29" customWidth="1"/>
    <col min="7678" max="7678" width="18.75" style="29" customWidth="1"/>
    <col min="7679" max="7679" width="19.625" style="29" customWidth="1"/>
    <col min="7680" max="7930" width="12.625" style="29"/>
    <col min="7931" max="7931" width="20.625" style="29" customWidth="1"/>
    <col min="7932" max="7932" width="38.125" style="29" customWidth="1"/>
    <col min="7933" max="7933" width="17.25" style="29" customWidth="1"/>
    <col min="7934" max="7934" width="18.75" style="29" customWidth="1"/>
    <col min="7935" max="7935" width="19.625" style="29" customWidth="1"/>
    <col min="7936" max="8186" width="12.625" style="29"/>
    <col min="8187" max="8187" width="20.625" style="29" customWidth="1"/>
    <col min="8188" max="8188" width="38.125" style="29" customWidth="1"/>
    <col min="8189" max="8189" width="17.25" style="29" customWidth="1"/>
    <col min="8190" max="8190" width="18.75" style="29" customWidth="1"/>
    <col min="8191" max="8191" width="19.625" style="29" customWidth="1"/>
    <col min="8192" max="8442" width="12.625" style="29"/>
    <col min="8443" max="8443" width="20.625" style="29" customWidth="1"/>
    <col min="8444" max="8444" width="38.125" style="29" customWidth="1"/>
    <col min="8445" max="8445" width="17.25" style="29" customWidth="1"/>
    <col min="8446" max="8446" width="18.75" style="29" customWidth="1"/>
    <col min="8447" max="8447" width="19.625" style="29" customWidth="1"/>
    <col min="8448" max="8698" width="12.625" style="29"/>
    <col min="8699" max="8699" width="20.625" style="29" customWidth="1"/>
    <col min="8700" max="8700" width="38.125" style="29" customWidth="1"/>
    <col min="8701" max="8701" width="17.25" style="29" customWidth="1"/>
    <col min="8702" max="8702" width="18.75" style="29" customWidth="1"/>
    <col min="8703" max="8703" width="19.625" style="29" customWidth="1"/>
    <col min="8704" max="8954" width="12.625" style="29"/>
    <col min="8955" max="8955" width="20.625" style="29" customWidth="1"/>
    <col min="8956" max="8956" width="38.125" style="29" customWidth="1"/>
    <col min="8957" max="8957" width="17.25" style="29" customWidth="1"/>
    <col min="8958" max="8958" width="18.75" style="29" customWidth="1"/>
    <col min="8959" max="8959" width="19.625" style="29" customWidth="1"/>
    <col min="8960" max="9210" width="12.625" style="29"/>
    <col min="9211" max="9211" width="20.625" style="29" customWidth="1"/>
    <col min="9212" max="9212" width="38.125" style="29" customWidth="1"/>
    <col min="9213" max="9213" width="17.25" style="29" customWidth="1"/>
    <col min="9214" max="9214" width="18.75" style="29" customWidth="1"/>
    <col min="9215" max="9215" width="19.625" style="29" customWidth="1"/>
    <col min="9216" max="9466" width="12.625" style="29"/>
    <col min="9467" max="9467" width="20.625" style="29" customWidth="1"/>
    <col min="9468" max="9468" width="38.125" style="29" customWidth="1"/>
    <col min="9469" max="9469" width="17.25" style="29" customWidth="1"/>
    <col min="9470" max="9470" width="18.75" style="29" customWidth="1"/>
    <col min="9471" max="9471" width="19.625" style="29" customWidth="1"/>
    <col min="9472" max="9722" width="12.625" style="29"/>
    <col min="9723" max="9723" width="20.625" style="29" customWidth="1"/>
    <col min="9724" max="9724" width="38.125" style="29" customWidth="1"/>
    <col min="9725" max="9725" width="17.25" style="29" customWidth="1"/>
    <col min="9726" max="9726" width="18.75" style="29" customWidth="1"/>
    <col min="9727" max="9727" width="19.625" style="29" customWidth="1"/>
    <col min="9728" max="9978" width="12.625" style="29"/>
    <col min="9979" max="9979" width="20.625" style="29" customWidth="1"/>
    <col min="9980" max="9980" width="38.125" style="29" customWidth="1"/>
    <col min="9981" max="9981" width="17.25" style="29" customWidth="1"/>
    <col min="9982" max="9982" width="18.75" style="29" customWidth="1"/>
    <col min="9983" max="9983" width="19.625" style="29" customWidth="1"/>
    <col min="9984" max="10234" width="12.625" style="29"/>
    <col min="10235" max="10235" width="20.625" style="29" customWidth="1"/>
    <col min="10236" max="10236" width="38.125" style="29" customWidth="1"/>
    <col min="10237" max="10237" width="17.25" style="29" customWidth="1"/>
    <col min="10238" max="10238" width="18.75" style="29" customWidth="1"/>
    <col min="10239" max="10239" width="19.625" style="29" customWidth="1"/>
    <col min="10240" max="10490" width="12.625" style="29"/>
    <col min="10491" max="10491" width="20.625" style="29" customWidth="1"/>
    <col min="10492" max="10492" width="38.125" style="29" customWidth="1"/>
    <col min="10493" max="10493" width="17.25" style="29" customWidth="1"/>
    <col min="10494" max="10494" width="18.75" style="29" customWidth="1"/>
    <col min="10495" max="10495" width="19.625" style="29" customWidth="1"/>
    <col min="10496" max="10746" width="12.625" style="29"/>
    <col min="10747" max="10747" width="20.625" style="29" customWidth="1"/>
    <col min="10748" max="10748" width="38.125" style="29" customWidth="1"/>
    <col min="10749" max="10749" width="17.25" style="29" customWidth="1"/>
    <col min="10750" max="10750" width="18.75" style="29" customWidth="1"/>
    <col min="10751" max="10751" width="19.625" style="29" customWidth="1"/>
    <col min="10752" max="11002" width="12.625" style="29"/>
    <col min="11003" max="11003" width="20.625" style="29" customWidth="1"/>
    <col min="11004" max="11004" width="38.125" style="29" customWidth="1"/>
    <col min="11005" max="11005" width="17.25" style="29" customWidth="1"/>
    <col min="11006" max="11006" width="18.75" style="29" customWidth="1"/>
    <col min="11007" max="11007" width="19.625" style="29" customWidth="1"/>
    <col min="11008" max="11258" width="12.625" style="29"/>
    <col min="11259" max="11259" width="20.625" style="29" customWidth="1"/>
    <col min="11260" max="11260" width="38.125" style="29" customWidth="1"/>
    <col min="11261" max="11261" width="17.25" style="29" customWidth="1"/>
    <col min="11262" max="11262" width="18.75" style="29" customWidth="1"/>
    <col min="11263" max="11263" width="19.625" style="29" customWidth="1"/>
    <col min="11264" max="11514" width="12.625" style="29"/>
    <col min="11515" max="11515" width="20.625" style="29" customWidth="1"/>
    <col min="11516" max="11516" width="38.125" style="29" customWidth="1"/>
    <col min="11517" max="11517" width="17.25" style="29" customWidth="1"/>
    <col min="11518" max="11518" width="18.75" style="29" customWidth="1"/>
    <col min="11519" max="11519" width="19.625" style="29" customWidth="1"/>
    <col min="11520" max="11770" width="12.625" style="29"/>
    <col min="11771" max="11771" width="20.625" style="29" customWidth="1"/>
    <col min="11772" max="11772" width="38.125" style="29" customWidth="1"/>
    <col min="11773" max="11773" width="17.25" style="29" customWidth="1"/>
    <col min="11774" max="11774" width="18.75" style="29" customWidth="1"/>
    <col min="11775" max="11775" width="19.625" style="29" customWidth="1"/>
    <col min="11776" max="12026" width="12.625" style="29"/>
    <col min="12027" max="12027" width="20.625" style="29" customWidth="1"/>
    <col min="12028" max="12028" width="38.125" style="29" customWidth="1"/>
    <col min="12029" max="12029" width="17.25" style="29" customWidth="1"/>
    <col min="12030" max="12030" width="18.75" style="29" customWidth="1"/>
    <col min="12031" max="12031" width="19.625" style="29" customWidth="1"/>
    <col min="12032" max="12282" width="12.625" style="29"/>
    <col min="12283" max="12283" width="20.625" style="29" customWidth="1"/>
    <col min="12284" max="12284" width="38.125" style="29" customWidth="1"/>
    <col min="12285" max="12285" width="17.25" style="29" customWidth="1"/>
    <col min="12286" max="12286" width="18.75" style="29" customWidth="1"/>
    <col min="12287" max="12287" width="19.625" style="29" customWidth="1"/>
    <col min="12288" max="12538" width="12.625" style="29"/>
    <col min="12539" max="12539" width="20.625" style="29" customWidth="1"/>
    <col min="12540" max="12540" width="38.125" style="29" customWidth="1"/>
    <col min="12541" max="12541" width="17.25" style="29" customWidth="1"/>
    <col min="12542" max="12542" width="18.75" style="29" customWidth="1"/>
    <col min="12543" max="12543" width="19.625" style="29" customWidth="1"/>
    <col min="12544" max="12794" width="12.625" style="29"/>
    <col min="12795" max="12795" width="20.625" style="29" customWidth="1"/>
    <col min="12796" max="12796" width="38.125" style="29" customWidth="1"/>
    <col min="12797" max="12797" width="17.25" style="29" customWidth="1"/>
    <col min="12798" max="12798" width="18.75" style="29" customWidth="1"/>
    <col min="12799" max="12799" width="19.625" style="29" customWidth="1"/>
    <col min="12800" max="13050" width="12.625" style="29"/>
    <col min="13051" max="13051" width="20.625" style="29" customWidth="1"/>
    <col min="13052" max="13052" width="38.125" style="29" customWidth="1"/>
    <col min="13053" max="13053" width="17.25" style="29" customWidth="1"/>
    <col min="13054" max="13054" width="18.75" style="29" customWidth="1"/>
    <col min="13055" max="13055" width="19.625" style="29" customWidth="1"/>
    <col min="13056" max="13306" width="12.625" style="29"/>
    <col min="13307" max="13307" width="20.625" style="29" customWidth="1"/>
    <col min="13308" max="13308" width="38.125" style="29" customWidth="1"/>
    <col min="13309" max="13309" width="17.25" style="29" customWidth="1"/>
    <col min="13310" max="13310" width="18.75" style="29" customWidth="1"/>
    <col min="13311" max="13311" width="19.625" style="29" customWidth="1"/>
    <col min="13312" max="13562" width="12.625" style="29"/>
    <col min="13563" max="13563" width="20.625" style="29" customWidth="1"/>
    <col min="13564" max="13564" width="38.125" style="29" customWidth="1"/>
    <col min="13565" max="13565" width="17.25" style="29" customWidth="1"/>
    <col min="13566" max="13566" width="18.75" style="29" customWidth="1"/>
    <col min="13567" max="13567" width="19.625" style="29" customWidth="1"/>
    <col min="13568" max="13818" width="12.625" style="29"/>
    <col min="13819" max="13819" width="20.625" style="29" customWidth="1"/>
    <col min="13820" max="13820" width="38.125" style="29" customWidth="1"/>
    <col min="13821" max="13821" width="17.25" style="29" customWidth="1"/>
    <col min="13822" max="13822" width="18.75" style="29" customWidth="1"/>
    <col min="13823" max="13823" width="19.625" style="29" customWidth="1"/>
    <col min="13824" max="14074" width="12.625" style="29"/>
    <col min="14075" max="14075" width="20.625" style="29" customWidth="1"/>
    <col min="14076" max="14076" width="38.125" style="29" customWidth="1"/>
    <col min="14077" max="14077" width="17.25" style="29" customWidth="1"/>
    <col min="14078" max="14078" width="18.75" style="29" customWidth="1"/>
    <col min="14079" max="14079" width="19.625" style="29" customWidth="1"/>
    <col min="14080" max="14330" width="12.625" style="29"/>
    <col min="14331" max="14331" width="20.625" style="29" customWidth="1"/>
    <col min="14332" max="14332" width="38.125" style="29" customWidth="1"/>
    <col min="14333" max="14333" width="17.25" style="29" customWidth="1"/>
    <col min="14334" max="14334" width="18.75" style="29" customWidth="1"/>
    <col min="14335" max="14335" width="19.625" style="29" customWidth="1"/>
    <col min="14336" max="14586" width="12.625" style="29"/>
    <col min="14587" max="14587" width="20.625" style="29" customWidth="1"/>
    <col min="14588" max="14588" width="38.125" style="29" customWidth="1"/>
    <col min="14589" max="14589" width="17.25" style="29" customWidth="1"/>
    <col min="14590" max="14590" width="18.75" style="29" customWidth="1"/>
    <col min="14591" max="14591" width="19.625" style="29" customWidth="1"/>
    <col min="14592" max="14842" width="12.625" style="29"/>
    <col min="14843" max="14843" width="20.625" style="29" customWidth="1"/>
    <col min="14844" max="14844" width="38.125" style="29" customWidth="1"/>
    <col min="14845" max="14845" width="17.25" style="29" customWidth="1"/>
    <col min="14846" max="14846" width="18.75" style="29" customWidth="1"/>
    <col min="14847" max="14847" width="19.625" style="29" customWidth="1"/>
    <col min="14848" max="15098" width="12.625" style="29"/>
    <col min="15099" max="15099" width="20.625" style="29" customWidth="1"/>
    <col min="15100" max="15100" width="38.125" style="29" customWidth="1"/>
    <col min="15101" max="15101" width="17.25" style="29" customWidth="1"/>
    <col min="15102" max="15102" width="18.75" style="29" customWidth="1"/>
    <col min="15103" max="15103" width="19.625" style="29" customWidth="1"/>
    <col min="15104" max="15354" width="12.625" style="29"/>
    <col min="15355" max="15355" width="20.625" style="29" customWidth="1"/>
    <col min="15356" max="15356" width="38.125" style="29" customWidth="1"/>
    <col min="15357" max="15357" width="17.25" style="29" customWidth="1"/>
    <col min="15358" max="15358" width="18.75" style="29" customWidth="1"/>
    <col min="15359" max="15359" width="19.625" style="29" customWidth="1"/>
    <col min="15360" max="15610" width="12.625" style="29"/>
    <col min="15611" max="15611" width="20.625" style="29" customWidth="1"/>
    <col min="15612" max="15612" width="38.125" style="29" customWidth="1"/>
    <col min="15613" max="15613" width="17.25" style="29" customWidth="1"/>
    <col min="15614" max="15614" width="18.75" style="29" customWidth="1"/>
    <col min="15615" max="15615" width="19.625" style="29" customWidth="1"/>
    <col min="15616" max="15866" width="12.625" style="29"/>
    <col min="15867" max="15867" width="20.625" style="29" customWidth="1"/>
    <col min="15868" max="15868" width="38.125" style="29" customWidth="1"/>
    <col min="15869" max="15869" width="17.25" style="29" customWidth="1"/>
    <col min="15870" max="15870" width="18.75" style="29" customWidth="1"/>
    <col min="15871" max="15871" width="19.625" style="29" customWidth="1"/>
    <col min="15872" max="16122" width="12.625" style="29"/>
    <col min="16123" max="16123" width="20.625" style="29" customWidth="1"/>
    <col min="16124" max="16124" width="38.125" style="29" customWidth="1"/>
    <col min="16125" max="16125" width="17.25" style="29" customWidth="1"/>
    <col min="16126" max="16126" width="18.75" style="29" customWidth="1"/>
    <col min="16127" max="16127" width="19.625" style="29" customWidth="1"/>
    <col min="16128" max="16384" width="12.625" style="29"/>
  </cols>
  <sheetData>
    <row r="1" spans="1:4" ht="20.100000000000001" customHeight="1">
      <c r="A1" s="27" t="s">
        <v>175</v>
      </c>
    </row>
    <row r="2" spans="1:4" ht="17.25" customHeight="1">
      <c r="B2" s="6"/>
      <c r="C2" s="58"/>
    </row>
    <row r="3" spans="1:4" ht="20.100000000000001" customHeight="1">
      <c r="A3" s="2083" t="e">
        <f>#REF!</f>
        <v>#REF!</v>
      </c>
      <c r="B3" s="2083"/>
      <c r="C3" s="30"/>
      <c r="D3" s="31" t="s">
        <v>0</v>
      </c>
    </row>
    <row r="4" spans="1:4" ht="20.100000000000001" customHeight="1">
      <c r="A4" s="76" t="s">
        <v>1</v>
      </c>
      <c r="B4" s="76" t="s">
        <v>2</v>
      </c>
      <c r="C4" s="61" t="s">
        <v>3</v>
      </c>
      <c r="D4" s="62" t="s">
        <v>4</v>
      </c>
    </row>
    <row r="5" spans="1:4" ht="21.95" customHeight="1">
      <c r="A5" s="87" t="s">
        <v>177</v>
      </c>
      <c r="B5" s="59" t="s">
        <v>176</v>
      </c>
      <c r="C5" s="64">
        <f>71053443+12854+20794-71036313+15987</f>
        <v>66765</v>
      </c>
      <c r="D5" s="65"/>
    </row>
    <row r="6" spans="1:4" ht="21.95" customHeight="1">
      <c r="A6" s="87"/>
      <c r="B6" s="85" t="s">
        <v>251</v>
      </c>
      <c r="C6" s="64">
        <v>49000000</v>
      </c>
      <c r="D6" s="64"/>
    </row>
    <row r="7" spans="1:4" ht="21.95" customHeight="1">
      <c r="A7" s="87"/>
      <c r="B7" s="59" t="s">
        <v>270</v>
      </c>
      <c r="C7" s="64">
        <v>800000</v>
      </c>
      <c r="D7" s="88"/>
    </row>
    <row r="8" spans="1:4" ht="21.95" customHeight="1">
      <c r="A8" s="87"/>
      <c r="B8" s="59" t="s">
        <v>275</v>
      </c>
      <c r="C8" s="64">
        <v>-8800000</v>
      </c>
      <c r="D8" s="88"/>
    </row>
    <row r="9" spans="1:4" ht="21.95" customHeight="1">
      <c r="A9" s="87"/>
      <c r="B9" s="85" t="s">
        <v>324</v>
      </c>
      <c r="C9" s="64">
        <v>-1200000</v>
      </c>
      <c r="D9" s="65"/>
    </row>
    <row r="10" spans="1:4" ht="21.95" customHeight="1">
      <c r="A10" s="87"/>
      <c r="B10" s="85" t="s">
        <v>325</v>
      </c>
      <c r="C10" s="64">
        <v>-620000</v>
      </c>
      <c r="D10" s="66"/>
    </row>
    <row r="11" spans="1:4" ht="21.95" customHeight="1">
      <c r="A11" s="87"/>
      <c r="B11" s="59" t="s">
        <v>326</v>
      </c>
      <c r="C11" s="64">
        <v>-9000000</v>
      </c>
      <c r="D11" s="67"/>
    </row>
    <row r="12" spans="1:4" ht="21.95" customHeight="1">
      <c r="A12" s="87"/>
      <c r="B12" s="59" t="s">
        <v>327</v>
      </c>
      <c r="C12" s="64">
        <v>24907</v>
      </c>
      <c r="D12" s="36"/>
    </row>
    <row r="13" spans="1:4" ht="21.95" customHeight="1">
      <c r="A13" s="63"/>
      <c r="B13" s="59" t="s">
        <v>367</v>
      </c>
      <c r="C13" s="64">
        <v>6397</v>
      </c>
      <c r="D13" s="36"/>
    </row>
    <row r="14" spans="1:4" ht="26.25" customHeight="1">
      <c r="A14" s="68"/>
      <c r="B14" s="59" t="s">
        <v>366</v>
      </c>
      <c r="C14" s="64">
        <v>54000000</v>
      </c>
      <c r="D14" s="36"/>
    </row>
    <row r="15" spans="1:4" ht="21.95" customHeight="1">
      <c r="A15" s="69"/>
      <c r="B15" s="85" t="s">
        <v>415</v>
      </c>
      <c r="C15" s="64">
        <v>12656</v>
      </c>
      <c r="D15" s="36"/>
    </row>
    <row r="16" spans="1:4" ht="21.95" customHeight="1">
      <c r="A16" s="64"/>
      <c r="B16" s="59" t="s">
        <v>416</v>
      </c>
      <c r="C16" s="64">
        <v>700000</v>
      </c>
      <c r="D16" s="36"/>
    </row>
    <row r="17" spans="1:4" ht="21.95" customHeight="1">
      <c r="A17" s="70"/>
      <c r="B17" s="70" t="s">
        <v>417</v>
      </c>
      <c r="C17" s="69">
        <v>-30255685</v>
      </c>
      <c r="D17" s="71"/>
    </row>
    <row r="18" spans="1:4" ht="21.95" customHeight="1">
      <c r="A18" s="64"/>
      <c r="B18" s="70" t="s">
        <v>453</v>
      </c>
      <c r="C18" s="69">
        <v>-700000</v>
      </c>
      <c r="D18" s="41"/>
    </row>
    <row r="19" spans="1:4" ht="21.95" customHeight="1">
      <c r="A19" s="70"/>
      <c r="B19" s="70" t="s">
        <v>449</v>
      </c>
      <c r="C19" s="69">
        <v>-4000000</v>
      </c>
      <c r="D19" s="41"/>
    </row>
    <row r="20" spans="1:4" ht="21.95" customHeight="1">
      <c r="A20" s="63"/>
      <c r="B20" s="70" t="s">
        <v>450</v>
      </c>
      <c r="C20" s="69">
        <v>14144</v>
      </c>
      <c r="D20" s="41"/>
    </row>
    <row r="21" spans="1:4" ht="21.95" customHeight="1">
      <c r="A21" s="69"/>
      <c r="B21" s="70" t="s">
        <v>451</v>
      </c>
      <c r="C21" s="69">
        <v>115</v>
      </c>
      <c r="D21" s="41"/>
    </row>
    <row r="22" spans="1:4" ht="21.95" customHeight="1">
      <c r="A22" s="64"/>
      <c r="B22" s="885" t="s">
        <v>452</v>
      </c>
      <c r="C22" s="861">
        <v>-50000000</v>
      </c>
      <c r="D22" s="886"/>
    </row>
    <row r="23" spans="1:4" ht="21.95" customHeight="1">
      <c r="A23" s="64"/>
      <c r="B23" s="885" t="s">
        <v>509</v>
      </c>
      <c r="C23" s="861">
        <f>604+12</f>
        <v>616</v>
      </c>
      <c r="D23" s="886"/>
    </row>
    <row r="24" spans="1:4" ht="21.95" customHeight="1">
      <c r="A24" s="64"/>
      <c r="B24" s="885" t="s">
        <v>509</v>
      </c>
      <c r="C24" s="861">
        <f>12</f>
        <v>12</v>
      </c>
      <c r="D24" s="886"/>
    </row>
    <row r="25" spans="1:4" ht="21.95" customHeight="1">
      <c r="A25" s="64"/>
      <c r="B25" s="885" t="s">
        <v>509</v>
      </c>
      <c r="C25" s="1033">
        <v>12</v>
      </c>
      <c r="D25" s="886"/>
    </row>
    <row r="26" spans="1:4" ht="21.95" customHeight="1">
      <c r="A26" s="64"/>
      <c r="B26" s="885" t="s">
        <v>509</v>
      </c>
      <c r="C26" s="1033">
        <v>12</v>
      </c>
      <c r="D26" s="886"/>
    </row>
    <row r="27" spans="1:4" ht="21.95" customHeight="1">
      <c r="A27" s="1033"/>
      <c r="B27" s="1037" t="s">
        <v>559</v>
      </c>
      <c r="C27" s="1033">
        <v>-49836</v>
      </c>
      <c r="D27" s="1036"/>
    </row>
    <row r="28" spans="1:4" ht="21.95" customHeight="1">
      <c r="A28" s="1033"/>
      <c r="B28" s="1037" t="s">
        <v>560</v>
      </c>
      <c r="C28" s="1033">
        <v>-115</v>
      </c>
      <c r="D28" s="1036"/>
    </row>
    <row r="29" spans="1:4" ht="21.95" customHeight="1">
      <c r="A29" s="1033"/>
      <c r="B29" s="1037" t="s">
        <v>561</v>
      </c>
      <c r="C29" s="1033">
        <v>12</v>
      </c>
      <c r="D29" s="1036"/>
    </row>
    <row r="30" spans="1:4" ht="21.95" customHeight="1">
      <c r="A30" s="797"/>
      <c r="B30" s="797" t="s">
        <v>654</v>
      </c>
      <c r="C30" s="371">
        <v>-12</v>
      </c>
      <c r="D30" s="157"/>
    </row>
    <row r="31" spans="1:4" ht="20.100000000000001" customHeight="1">
      <c r="A31" s="76" t="s">
        <v>5</v>
      </c>
      <c r="B31" s="72"/>
      <c r="C31" s="73">
        <f>SUM(C5:C30)</f>
        <v>0</v>
      </c>
      <c r="D31" s="60"/>
    </row>
    <row r="32" spans="1:4" ht="20.100000000000001" customHeight="1">
      <c r="A32" s="2" t="e">
        <f>#REF!</f>
        <v>#REF!</v>
      </c>
    </row>
    <row r="35" spans="2:3" ht="20.100000000000001" hidden="1" customHeight="1"/>
    <row r="36" spans="2:3" ht="20.100000000000001" hidden="1" customHeight="1"/>
    <row r="37" spans="2:3" ht="20.100000000000001" hidden="1" customHeight="1">
      <c r="B37" s="29" t="s">
        <v>252</v>
      </c>
      <c r="C37" s="29">
        <v>-9485960</v>
      </c>
    </row>
    <row r="38" spans="2:3" ht="20.100000000000001" hidden="1" customHeight="1"/>
    <row r="39" spans="2:3" ht="20.100000000000001" hidden="1" customHeight="1">
      <c r="B39" s="29" t="s">
        <v>253</v>
      </c>
      <c r="C39" s="29">
        <f>C31+C37</f>
        <v>-9485960</v>
      </c>
    </row>
    <row r="40" spans="2:3" ht="20.100000000000001" hidden="1" customHeight="1"/>
    <row r="41" spans="2:3" ht="20.100000000000001" hidden="1" customHeight="1"/>
  </sheetData>
  <mergeCells count="1">
    <mergeCell ref="A3:B3"/>
  </mergeCells>
  <phoneticPr fontId="2" type="noConversion"/>
  <printOptions horizontalCentered="1"/>
  <pageMargins left="0.39370078740157483" right="0.39370078740157483" top="0.45" bottom="0.43" header="0.39370078740157483" footer="0.39370078740157483"/>
  <pageSetup paperSize="9"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SheetLayoutView="100" workbookViewId="0">
      <selection activeCell="N17" sqref="N17"/>
    </sheetView>
  </sheetViews>
  <sheetFormatPr defaultColWidth="12.625" defaultRowHeight="20.100000000000001" customHeight="1"/>
  <cols>
    <col min="1" max="1" width="16.125" style="29" customWidth="1"/>
    <col min="2" max="2" width="16.25" style="29" customWidth="1"/>
    <col min="3" max="3" width="30.5" style="29" customWidth="1"/>
    <col min="4" max="4" width="21.375" style="29" customWidth="1"/>
    <col min="5" max="5" width="21.75" style="29" customWidth="1"/>
    <col min="6" max="12" width="0" style="29" hidden="1" customWidth="1"/>
    <col min="13" max="251" width="12.625" style="29"/>
    <col min="252" max="252" width="20.625" style="29" customWidth="1"/>
    <col min="253" max="253" width="38.125" style="29" customWidth="1"/>
    <col min="254" max="254" width="17.25" style="29" customWidth="1"/>
    <col min="255" max="255" width="18.75" style="29" customWidth="1"/>
    <col min="256" max="256" width="19.625" style="29" customWidth="1"/>
    <col min="257" max="507" width="12.625" style="29"/>
    <col min="508" max="508" width="20.625" style="29" customWidth="1"/>
    <col min="509" max="509" width="38.125" style="29" customWidth="1"/>
    <col min="510" max="510" width="17.25" style="29" customWidth="1"/>
    <col min="511" max="511" width="18.75" style="29" customWidth="1"/>
    <col min="512" max="512" width="19.625" style="29" customWidth="1"/>
    <col min="513" max="763" width="12.625" style="29"/>
    <col min="764" max="764" width="20.625" style="29" customWidth="1"/>
    <col min="765" max="765" width="38.125" style="29" customWidth="1"/>
    <col min="766" max="766" width="17.25" style="29" customWidth="1"/>
    <col min="767" max="767" width="18.75" style="29" customWidth="1"/>
    <col min="768" max="768" width="19.625" style="29" customWidth="1"/>
    <col min="769" max="1019" width="12.625" style="29"/>
    <col min="1020" max="1020" width="20.625" style="29" customWidth="1"/>
    <col min="1021" max="1021" width="38.125" style="29" customWidth="1"/>
    <col min="1022" max="1022" width="17.25" style="29" customWidth="1"/>
    <col min="1023" max="1023" width="18.75" style="29" customWidth="1"/>
    <col min="1024" max="1024" width="19.625" style="29" customWidth="1"/>
    <col min="1025" max="1275" width="12.625" style="29"/>
    <col min="1276" max="1276" width="20.625" style="29" customWidth="1"/>
    <col min="1277" max="1277" width="38.125" style="29" customWidth="1"/>
    <col min="1278" max="1278" width="17.25" style="29" customWidth="1"/>
    <col min="1279" max="1279" width="18.75" style="29" customWidth="1"/>
    <col min="1280" max="1280" width="19.625" style="29" customWidth="1"/>
    <col min="1281" max="1531" width="12.625" style="29"/>
    <col min="1532" max="1532" width="20.625" style="29" customWidth="1"/>
    <col min="1533" max="1533" width="38.125" style="29" customWidth="1"/>
    <col min="1534" max="1534" width="17.25" style="29" customWidth="1"/>
    <col min="1535" max="1535" width="18.75" style="29" customWidth="1"/>
    <col min="1536" max="1536" width="19.625" style="29" customWidth="1"/>
    <col min="1537" max="1787" width="12.625" style="29"/>
    <col min="1788" max="1788" width="20.625" style="29" customWidth="1"/>
    <col min="1789" max="1789" width="38.125" style="29" customWidth="1"/>
    <col min="1790" max="1790" width="17.25" style="29" customWidth="1"/>
    <col min="1791" max="1791" width="18.75" style="29" customWidth="1"/>
    <col min="1792" max="1792" width="19.625" style="29" customWidth="1"/>
    <col min="1793" max="2043" width="12.625" style="29"/>
    <col min="2044" max="2044" width="20.625" style="29" customWidth="1"/>
    <col min="2045" max="2045" width="38.125" style="29" customWidth="1"/>
    <col min="2046" max="2046" width="17.25" style="29" customWidth="1"/>
    <col min="2047" max="2047" width="18.75" style="29" customWidth="1"/>
    <col min="2048" max="2048" width="19.625" style="29" customWidth="1"/>
    <col min="2049" max="2299" width="12.625" style="29"/>
    <col min="2300" max="2300" width="20.625" style="29" customWidth="1"/>
    <col min="2301" max="2301" width="38.125" style="29" customWidth="1"/>
    <col min="2302" max="2302" width="17.25" style="29" customWidth="1"/>
    <col min="2303" max="2303" width="18.75" style="29" customWidth="1"/>
    <col min="2304" max="2304" width="19.625" style="29" customWidth="1"/>
    <col min="2305" max="2555" width="12.625" style="29"/>
    <col min="2556" max="2556" width="20.625" style="29" customWidth="1"/>
    <col min="2557" max="2557" width="38.125" style="29" customWidth="1"/>
    <col min="2558" max="2558" width="17.25" style="29" customWidth="1"/>
    <col min="2559" max="2559" width="18.75" style="29" customWidth="1"/>
    <col min="2560" max="2560" width="19.625" style="29" customWidth="1"/>
    <col min="2561" max="2811" width="12.625" style="29"/>
    <col min="2812" max="2812" width="20.625" style="29" customWidth="1"/>
    <col min="2813" max="2813" width="38.125" style="29" customWidth="1"/>
    <col min="2814" max="2814" width="17.25" style="29" customWidth="1"/>
    <col min="2815" max="2815" width="18.75" style="29" customWidth="1"/>
    <col min="2816" max="2816" width="19.625" style="29" customWidth="1"/>
    <col min="2817" max="3067" width="12.625" style="29"/>
    <col min="3068" max="3068" width="20.625" style="29" customWidth="1"/>
    <col min="3069" max="3069" width="38.125" style="29" customWidth="1"/>
    <col min="3070" max="3070" width="17.25" style="29" customWidth="1"/>
    <col min="3071" max="3071" width="18.75" style="29" customWidth="1"/>
    <col min="3072" max="3072" width="19.625" style="29" customWidth="1"/>
    <col min="3073" max="3323" width="12.625" style="29"/>
    <col min="3324" max="3324" width="20.625" style="29" customWidth="1"/>
    <col min="3325" max="3325" width="38.125" style="29" customWidth="1"/>
    <col min="3326" max="3326" width="17.25" style="29" customWidth="1"/>
    <col min="3327" max="3327" width="18.75" style="29" customWidth="1"/>
    <col min="3328" max="3328" width="19.625" style="29" customWidth="1"/>
    <col min="3329" max="3579" width="12.625" style="29"/>
    <col min="3580" max="3580" width="20.625" style="29" customWidth="1"/>
    <col min="3581" max="3581" width="38.125" style="29" customWidth="1"/>
    <col min="3582" max="3582" width="17.25" style="29" customWidth="1"/>
    <col min="3583" max="3583" width="18.75" style="29" customWidth="1"/>
    <col min="3584" max="3584" width="19.625" style="29" customWidth="1"/>
    <col min="3585" max="3835" width="12.625" style="29"/>
    <col min="3836" max="3836" width="20.625" style="29" customWidth="1"/>
    <col min="3837" max="3837" width="38.125" style="29" customWidth="1"/>
    <col min="3838" max="3838" width="17.25" style="29" customWidth="1"/>
    <col min="3839" max="3839" width="18.75" style="29" customWidth="1"/>
    <col min="3840" max="3840" width="19.625" style="29" customWidth="1"/>
    <col min="3841" max="4091" width="12.625" style="29"/>
    <col min="4092" max="4092" width="20.625" style="29" customWidth="1"/>
    <col min="4093" max="4093" width="38.125" style="29" customWidth="1"/>
    <col min="4094" max="4094" width="17.25" style="29" customWidth="1"/>
    <col min="4095" max="4095" width="18.75" style="29" customWidth="1"/>
    <col min="4096" max="4096" width="19.625" style="29" customWidth="1"/>
    <col min="4097" max="4347" width="12.625" style="29"/>
    <col min="4348" max="4348" width="20.625" style="29" customWidth="1"/>
    <col min="4349" max="4349" width="38.125" style="29" customWidth="1"/>
    <col min="4350" max="4350" width="17.25" style="29" customWidth="1"/>
    <col min="4351" max="4351" width="18.75" style="29" customWidth="1"/>
    <col min="4352" max="4352" width="19.625" style="29" customWidth="1"/>
    <col min="4353" max="4603" width="12.625" style="29"/>
    <col min="4604" max="4604" width="20.625" style="29" customWidth="1"/>
    <col min="4605" max="4605" width="38.125" style="29" customWidth="1"/>
    <col min="4606" max="4606" width="17.25" style="29" customWidth="1"/>
    <col min="4607" max="4607" width="18.75" style="29" customWidth="1"/>
    <col min="4608" max="4608" width="19.625" style="29" customWidth="1"/>
    <col min="4609" max="4859" width="12.625" style="29"/>
    <col min="4860" max="4860" width="20.625" style="29" customWidth="1"/>
    <col min="4861" max="4861" width="38.125" style="29" customWidth="1"/>
    <col min="4862" max="4862" width="17.25" style="29" customWidth="1"/>
    <col min="4863" max="4863" width="18.75" style="29" customWidth="1"/>
    <col min="4864" max="4864" width="19.625" style="29" customWidth="1"/>
    <col min="4865" max="5115" width="12.625" style="29"/>
    <col min="5116" max="5116" width="20.625" style="29" customWidth="1"/>
    <col min="5117" max="5117" width="38.125" style="29" customWidth="1"/>
    <col min="5118" max="5118" width="17.25" style="29" customWidth="1"/>
    <col min="5119" max="5119" width="18.75" style="29" customWidth="1"/>
    <col min="5120" max="5120" width="19.625" style="29" customWidth="1"/>
    <col min="5121" max="5371" width="12.625" style="29"/>
    <col min="5372" max="5372" width="20.625" style="29" customWidth="1"/>
    <col min="5373" max="5373" width="38.125" style="29" customWidth="1"/>
    <col min="5374" max="5374" width="17.25" style="29" customWidth="1"/>
    <col min="5375" max="5375" width="18.75" style="29" customWidth="1"/>
    <col min="5376" max="5376" width="19.625" style="29" customWidth="1"/>
    <col min="5377" max="5627" width="12.625" style="29"/>
    <col min="5628" max="5628" width="20.625" style="29" customWidth="1"/>
    <col min="5629" max="5629" width="38.125" style="29" customWidth="1"/>
    <col min="5630" max="5630" width="17.25" style="29" customWidth="1"/>
    <col min="5631" max="5631" width="18.75" style="29" customWidth="1"/>
    <col min="5632" max="5632" width="19.625" style="29" customWidth="1"/>
    <col min="5633" max="5883" width="12.625" style="29"/>
    <col min="5884" max="5884" width="20.625" style="29" customWidth="1"/>
    <col min="5885" max="5885" width="38.125" style="29" customWidth="1"/>
    <col min="5886" max="5886" width="17.25" style="29" customWidth="1"/>
    <col min="5887" max="5887" width="18.75" style="29" customWidth="1"/>
    <col min="5888" max="5888" width="19.625" style="29" customWidth="1"/>
    <col min="5889" max="6139" width="12.625" style="29"/>
    <col min="6140" max="6140" width="20.625" style="29" customWidth="1"/>
    <col min="6141" max="6141" width="38.125" style="29" customWidth="1"/>
    <col min="6142" max="6142" width="17.25" style="29" customWidth="1"/>
    <col min="6143" max="6143" width="18.75" style="29" customWidth="1"/>
    <col min="6144" max="6144" width="19.625" style="29" customWidth="1"/>
    <col min="6145" max="6395" width="12.625" style="29"/>
    <col min="6396" max="6396" width="20.625" style="29" customWidth="1"/>
    <col min="6397" max="6397" width="38.125" style="29" customWidth="1"/>
    <col min="6398" max="6398" width="17.25" style="29" customWidth="1"/>
    <col min="6399" max="6399" width="18.75" style="29" customWidth="1"/>
    <col min="6400" max="6400" width="19.625" style="29" customWidth="1"/>
    <col min="6401" max="6651" width="12.625" style="29"/>
    <col min="6652" max="6652" width="20.625" style="29" customWidth="1"/>
    <col min="6653" max="6653" width="38.125" style="29" customWidth="1"/>
    <col min="6654" max="6654" width="17.25" style="29" customWidth="1"/>
    <col min="6655" max="6655" width="18.75" style="29" customWidth="1"/>
    <col min="6656" max="6656" width="19.625" style="29" customWidth="1"/>
    <col min="6657" max="6907" width="12.625" style="29"/>
    <col min="6908" max="6908" width="20.625" style="29" customWidth="1"/>
    <col min="6909" max="6909" width="38.125" style="29" customWidth="1"/>
    <col min="6910" max="6910" width="17.25" style="29" customWidth="1"/>
    <col min="6911" max="6911" width="18.75" style="29" customWidth="1"/>
    <col min="6912" max="6912" width="19.625" style="29" customWidth="1"/>
    <col min="6913" max="7163" width="12.625" style="29"/>
    <col min="7164" max="7164" width="20.625" style="29" customWidth="1"/>
    <col min="7165" max="7165" width="38.125" style="29" customWidth="1"/>
    <col min="7166" max="7166" width="17.25" style="29" customWidth="1"/>
    <col min="7167" max="7167" width="18.75" style="29" customWidth="1"/>
    <col min="7168" max="7168" width="19.625" style="29" customWidth="1"/>
    <col min="7169" max="7419" width="12.625" style="29"/>
    <col min="7420" max="7420" width="20.625" style="29" customWidth="1"/>
    <col min="7421" max="7421" width="38.125" style="29" customWidth="1"/>
    <col min="7422" max="7422" width="17.25" style="29" customWidth="1"/>
    <col min="7423" max="7423" width="18.75" style="29" customWidth="1"/>
    <col min="7424" max="7424" width="19.625" style="29" customWidth="1"/>
    <col min="7425" max="7675" width="12.625" style="29"/>
    <col min="7676" max="7676" width="20.625" style="29" customWidth="1"/>
    <col min="7677" max="7677" width="38.125" style="29" customWidth="1"/>
    <col min="7678" max="7678" width="17.25" style="29" customWidth="1"/>
    <col min="7679" max="7679" width="18.75" style="29" customWidth="1"/>
    <col min="7680" max="7680" width="19.625" style="29" customWidth="1"/>
    <col min="7681" max="7931" width="12.625" style="29"/>
    <col min="7932" max="7932" width="20.625" style="29" customWidth="1"/>
    <col min="7933" max="7933" width="38.125" style="29" customWidth="1"/>
    <col min="7934" max="7934" width="17.25" style="29" customWidth="1"/>
    <col min="7935" max="7935" width="18.75" style="29" customWidth="1"/>
    <col min="7936" max="7936" width="19.625" style="29" customWidth="1"/>
    <col min="7937" max="8187" width="12.625" style="29"/>
    <col min="8188" max="8188" width="20.625" style="29" customWidth="1"/>
    <col min="8189" max="8189" width="38.125" style="29" customWidth="1"/>
    <col min="8190" max="8190" width="17.25" style="29" customWidth="1"/>
    <col min="8191" max="8191" width="18.75" style="29" customWidth="1"/>
    <col min="8192" max="8192" width="19.625" style="29" customWidth="1"/>
    <col min="8193" max="8443" width="12.625" style="29"/>
    <col min="8444" max="8444" width="20.625" style="29" customWidth="1"/>
    <col min="8445" max="8445" width="38.125" style="29" customWidth="1"/>
    <col min="8446" max="8446" width="17.25" style="29" customWidth="1"/>
    <col min="8447" max="8447" width="18.75" style="29" customWidth="1"/>
    <col min="8448" max="8448" width="19.625" style="29" customWidth="1"/>
    <col min="8449" max="8699" width="12.625" style="29"/>
    <col min="8700" max="8700" width="20.625" style="29" customWidth="1"/>
    <col min="8701" max="8701" width="38.125" style="29" customWidth="1"/>
    <col min="8702" max="8702" width="17.25" style="29" customWidth="1"/>
    <col min="8703" max="8703" width="18.75" style="29" customWidth="1"/>
    <col min="8704" max="8704" width="19.625" style="29" customWidth="1"/>
    <col min="8705" max="8955" width="12.625" style="29"/>
    <col min="8956" max="8956" width="20.625" style="29" customWidth="1"/>
    <col min="8957" max="8957" width="38.125" style="29" customWidth="1"/>
    <col min="8958" max="8958" width="17.25" style="29" customWidth="1"/>
    <col min="8959" max="8959" width="18.75" style="29" customWidth="1"/>
    <col min="8960" max="8960" width="19.625" style="29" customWidth="1"/>
    <col min="8961" max="9211" width="12.625" style="29"/>
    <col min="9212" max="9212" width="20.625" style="29" customWidth="1"/>
    <col min="9213" max="9213" width="38.125" style="29" customWidth="1"/>
    <col min="9214" max="9214" width="17.25" style="29" customWidth="1"/>
    <col min="9215" max="9215" width="18.75" style="29" customWidth="1"/>
    <col min="9216" max="9216" width="19.625" style="29" customWidth="1"/>
    <col min="9217" max="9467" width="12.625" style="29"/>
    <col min="9468" max="9468" width="20.625" style="29" customWidth="1"/>
    <col min="9469" max="9469" width="38.125" style="29" customWidth="1"/>
    <col min="9470" max="9470" width="17.25" style="29" customWidth="1"/>
    <col min="9471" max="9471" width="18.75" style="29" customWidth="1"/>
    <col min="9472" max="9472" width="19.625" style="29" customWidth="1"/>
    <col min="9473" max="9723" width="12.625" style="29"/>
    <col min="9724" max="9724" width="20.625" style="29" customWidth="1"/>
    <col min="9725" max="9725" width="38.125" style="29" customWidth="1"/>
    <col min="9726" max="9726" width="17.25" style="29" customWidth="1"/>
    <col min="9727" max="9727" width="18.75" style="29" customWidth="1"/>
    <col min="9728" max="9728" width="19.625" style="29" customWidth="1"/>
    <col min="9729" max="9979" width="12.625" style="29"/>
    <col min="9980" max="9980" width="20.625" style="29" customWidth="1"/>
    <col min="9981" max="9981" width="38.125" style="29" customWidth="1"/>
    <col min="9982" max="9982" width="17.25" style="29" customWidth="1"/>
    <col min="9983" max="9983" width="18.75" style="29" customWidth="1"/>
    <col min="9984" max="9984" width="19.625" style="29" customWidth="1"/>
    <col min="9985" max="10235" width="12.625" style="29"/>
    <col min="10236" max="10236" width="20.625" style="29" customWidth="1"/>
    <col min="10237" max="10237" width="38.125" style="29" customWidth="1"/>
    <col min="10238" max="10238" width="17.25" style="29" customWidth="1"/>
    <col min="10239" max="10239" width="18.75" style="29" customWidth="1"/>
    <col min="10240" max="10240" width="19.625" style="29" customWidth="1"/>
    <col min="10241" max="10491" width="12.625" style="29"/>
    <col min="10492" max="10492" width="20.625" style="29" customWidth="1"/>
    <col min="10493" max="10493" width="38.125" style="29" customWidth="1"/>
    <col min="10494" max="10494" width="17.25" style="29" customWidth="1"/>
    <col min="10495" max="10495" width="18.75" style="29" customWidth="1"/>
    <col min="10496" max="10496" width="19.625" style="29" customWidth="1"/>
    <col min="10497" max="10747" width="12.625" style="29"/>
    <col min="10748" max="10748" width="20.625" style="29" customWidth="1"/>
    <col min="10749" max="10749" width="38.125" style="29" customWidth="1"/>
    <col min="10750" max="10750" width="17.25" style="29" customWidth="1"/>
    <col min="10751" max="10751" width="18.75" style="29" customWidth="1"/>
    <col min="10752" max="10752" width="19.625" style="29" customWidth="1"/>
    <col min="10753" max="11003" width="12.625" style="29"/>
    <col min="11004" max="11004" width="20.625" style="29" customWidth="1"/>
    <col min="11005" max="11005" width="38.125" style="29" customWidth="1"/>
    <col min="11006" max="11006" width="17.25" style="29" customWidth="1"/>
    <col min="11007" max="11007" width="18.75" style="29" customWidth="1"/>
    <col min="11008" max="11008" width="19.625" style="29" customWidth="1"/>
    <col min="11009" max="11259" width="12.625" style="29"/>
    <col min="11260" max="11260" width="20.625" style="29" customWidth="1"/>
    <col min="11261" max="11261" width="38.125" style="29" customWidth="1"/>
    <col min="11262" max="11262" width="17.25" style="29" customWidth="1"/>
    <col min="11263" max="11263" width="18.75" style="29" customWidth="1"/>
    <col min="11264" max="11264" width="19.625" style="29" customWidth="1"/>
    <col min="11265" max="11515" width="12.625" style="29"/>
    <col min="11516" max="11516" width="20.625" style="29" customWidth="1"/>
    <col min="11517" max="11517" width="38.125" style="29" customWidth="1"/>
    <col min="11518" max="11518" width="17.25" style="29" customWidth="1"/>
    <col min="11519" max="11519" width="18.75" style="29" customWidth="1"/>
    <col min="11520" max="11520" width="19.625" style="29" customWidth="1"/>
    <col min="11521" max="11771" width="12.625" style="29"/>
    <col min="11772" max="11772" width="20.625" style="29" customWidth="1"/>
    <col min="11773" max="11773" width="38.125" style="29" customWidth="1"/>
    <col min="11774" max="11774" width="17.25" style="29" customWidth="1"/>
    <col min="11775" max="11775" width="18.75" style="29" customWidth="1"/>
    <col min="11776" max="11776" width="19.625" style="29" customWidth="1"/>
    <col min="11777" max="12027" width="12.625" style="29"/>
    <col min="12028" max="12028" width="20.625" style="29" customWidth="1"/>
    <col min="12029" max="12029" width="38.125" style="29" customWidth="1"/>
    <col min="12030" max="12030" width="17.25" style="29" customWidth="1"/>
    <col min="12031" max="12031" width="18.75" style="29" customWidth="1"/>
    <col min="12032" max="12032" width="19.625" style="29" customWidth="1"/>
    <col min="12033" max="12283" width="12.625" style="29"/>
    <col min="12284" max="12284" width="20.625" style="29" customWidth="1"/>
    <col min="12285" max="12285" width="38.125" style="29" customWidth="1"/>
    <col min="12286" max="12286" width="17.25" style="29" customWidth="1"/>
    <col min="12287" max="12287" width="18.75" style="29" customWidth="1"/>
    <col min="12288" max="12288" width="19.625" style="29" customWidth="1"/>
    <col min="12289" max="12539" width="12.625" style="29"/>
    <col min="12540" max="12540" width="20.625" style="29" customWidth="1"/>
    <col min="12541" max="12541" width="38.125" style="29" customWidth="1"/>
    <col min="12542" max="12542" width="17.25" style="29" customWidth="1"/>
    <col min="12543" max="12543" width="18.75" style="29" customWidth="1"/>
    <col min="12544" max="12544" width="19.625" style="29" customWidth="1"/>
    <col min="12545" max="12795" width="12.625" style="29"/>
    <col min="12796" max="12796" width="20.625" style="29" customWidth="1"/>
    <col min="12797" max="12797" width="38.125" style="29" customWidth="1"/>
    <col min="12798" max="12798" width="17.25" style="29" customWidth="1"/>
    <col min="12799" max="12799" width="18.75" style="29" customWidth="1"/>
    <col min="12800" max="12800" width="19.625" style="29" customWidth="1"/>
    <col min="12801" max="13051" width="12.625" style="29"/>
    <col min="13052" max="13052" width="20.625" style="29" customWidth="1"/>
    <col min="13053" max="13053" width="38.125" style="29" customWidth="1"/>
    <col min="13054" max="13054" width="17.25" style="29" customWidth="1"/>
    <col min="13055" max="13055" width="18.75" style="29" customWidth="1"/>
    <col min="13056" max="13056" width="19.625" style="29" customWidth="1"/>
    <col min="13057" max="13307" width="12.625" style="29"/>
    <col min="13308" max="13308" width="20.625" style="29" customWidth="1"/>
    <col min="13309" max="13309" width="38.125" style="29" customWidth="1"/>
    <col min="13310" max="13310" width="17.25" style="29" customWidth="1"/>
    <col min="13311" max="13311" width="18.75" style="29" customWidth="1"/>
    <col min="13312" max="13312" width="19.625" style="29" customWidth="1"/>
    <col min="13313" max="13563" width="12.625" style="29"/>
    <col min="13564" max="13564" width="20.625" style="29" customWidth="1"/>
    <col min="13565" max="13565" width="38.125" style="29" customWidth="1"/>
    <col min="13566" max="13566" width="17.25" style="29" customWidth="1"/>
    <col min="13567" max="13567" width="18.75" style="29" customWidth="1"/>
    <col min="13568" max="13568" width="19.625" style="29" customWidth="1"/>
    <col min="13569" max="13819" width="12.625" style="29"/>
    <col min="13820" max="13820" width="20.625" style="29" customWidth="1"/>
    <col min="13821" max="13821" width="38.125" style="29" customWidth="1"/>
    <col min="13822" max="13822" width="17.25" style="29" customWidth="1"/>
    <col min="13823" max="13823" width="18.75" style="29" customWidth="1"/>
    <col min="13824" max="13824" width="19.625" style="29" customWidth="1"/>
    <col min="13825" max="14075" width="12.625" style="29"/>
    <col min="14076" max="14076" width="20.625" style="29" customWidth="1"/>
    <col min="14077" max="14077" width="38.125" style="29" customWidth="1"/>
    <col min="14078" max="14078" width="17.25" style="29" customWidth="1"/>
    <col min="14079" max="14079" width="18.75" style="29" customWidth="1"/>
    <col min="14080" max="14080" width="19.625" style="29" customWidth="1"/>
    <col min="14081" max="14331" width="12.625" style="29"/>
    <col min="14332" max="14332" width="20.625" style="29" customWidth="1"/>
    <col min="14333" max="14333" width="38.125" style="29" customWidth="1"/>
    <col min="14334" max="14334" width="17.25" style="29" customWidth="1"/>
    <col min="14335" max="14335" width="18.75" style="29" customWidth="1"/>
    <col min="14336" max="14336" width="19.625" style="29" customWidth="1"/>
    <col min="14337" max="14587" width="12.625" style="29"/>
    <col min="14588" max="14588" width="20.625" style="29" customWidth="1"/>
    <col min="14589" max="14589" width="38.125" style="29" customWidth="1"/>
    <col min="14590" max="14590" width="17.25" style="29" customWidth="1"/>
    <col min="14591" max="14591" width="18.75" style="29" customWidth="1"/>
    <col min="14592" max="14592" width="19.625" style="29" customWidth="1"/>
    <col min="14593" max="14843" width="12.625" style="29"/>
    <col min="14844" max="14844" width="20.625" style="29" customWidth="1"/>
    <col min="14845" max="14845" width="38.125" style="29" customWidth="1"/>
    <col min="14846" max="14846" width="17.25" style="29" customWidth="1"/>
    <col min="14847" max="14847" width="18.75" style="29" customWidth="1"/>
    <col min="14848" max="14848" width="19.625" style="29" customWidth="1"/>
    <col min="14849" max="15099" width="12.625" style="29"/>
    <col min="15100" max="15100" width="20.625" style="29" customWidth="1"/>
    <col min="15101" max="15101" width="38.125" style="29" customWidth="1"/>
    <col min="15102" max="15102" width="17.25" style="29" customWidth="1"/>
    <col min="15103" max="15103" width="18.75" style="29" customWidth="1"/>
    <col min="15104" max="15104" width="19.625" style="29" customWidth="1"/>
    <col min="15105" max="15355" width="12.625" style="29"/>
    <col min="15356" max="15356" width="20.625" style="29" customWidth="1"/>
    <col min="15357" max="15357" width="38.125" style="29" customWidth="1"/>
    <col min="15358" max="15358" width="17.25" style="29" customWidth="1"/>
    <col min="15359" max="15359" width="18.75" style="29" customWidth="1"/>
    <col min="15360" max="15360" width="19.625" style="29" customWidth="1"/>
    <col min="15361" max="15611" width="12.625" style="29"/>
    <col min="15612" max="15612" width="20.625" style="29" customWidth="1"/>
    <col min="15613" max="15613" width="38.125" style="29" customWidth="1"/>
    <col min="15614" max="15614" width="17.25" style="29" customWidth="1"/>
    <col min="15615" max="15615" width="18.75" style="29" customWidth="1"/>
    <col min="15616" max="15616" width="19.625" style="29" customWidth="1"/>
    <col min="15617" max="15867" width="12.625" style="29"/>
    <col min="15868" max="15868" width="20.625" style="29" customWidth="1"/>
    <col min="15869" max="15869" width="38.125" style="29" customWidth="1"/>
    <col min="15870" max="15870" width="17.25" style="29" customWidth="1"/>
    <col min="15871" max="15871" width="18.75" style="29" customWidth="1"/>
    <col min="15872" max="15872" width="19.625" style="29" customWidth="1"/>
    <col min="15873" max="16123" width="12.625" style="29"/>
    <col min="16124" max="16124" width="20.625" style="29" customWidth="1"/>
    <col min="16125" max="16125" width="38.125" style="29" customWidth="1"/>
    <col min="16126" max="16126" width="17.25" style="29" customWidth="1"/>
    <col min="16127" max="16127" width="18.75" style="29" customWidth="1"/>
    <col min="16128" max="16128" width="19.625" style="29" customWidth="1"/>
    <col min="16129" max="16384" width="12.625" style="29"/>
  </cols>
  <sheetData>
    <row r="1" spans="1:7" ht="20.100000000000001" customHeight="1">
      <c r="A1" s="27" t="s">
        <v>353</v>
      </c>
      <c r="B1" s="27"/>
    </row>
    <row r="2" spans="1:7" ht="17.25" customHeight="1">
      <c r="C2" s="6"/>
      <c r="D2" s="58"/>
    </row>
    <row r="3" spans="1:7" ht="20.100000000000001" customHeight="1">
      <c r="A3" s="2083" t="e">
        <f>#REF!</f>
        <v>#REF!</v>
      </c>
      <c r="B3" s="2157"/>
      <c r="C3" s="2083"/>
      <c r="D3" s="30"/>
      <c r="E3" s="31" t="s">
        <v>0</v>
      </c>
    </row>
    <row r="4" spans="1:7" ht="20.100000000000001" customHeight="1">
      <c r="A4" s="76" t="s">
        <v>1</v>
      </c>
      <c r="B4" s="314" t="s">
        <v>45</v>
      </c>
      <c r="C4" s="76" t="s">
        <v>2</v>
      </c>
      <c r="D4" s="61" t="s">
        <v>3</v>
      </c>
      <c r="E4" s="62" t="s">
        <v>4</v>
      </c>
    </row>
    <row r="5" spans="1:7" ht="21.95" customHeight="1">
      <c r="A5" s="87" t="s">
        <v>412</v>
      </c>
      <c r="B5" s="567"/>
      <c r="C5" s="85" t="s">
        <v>411</v>
      </c>
      <c r="D5" s="64"/>
      <c r="E5" s="64"/>
    </row>
    <row r="6" spans="1:7" ht="21.95" customHeight="1">
      <c r="A6" s="87" t="s">
        <v>414</v>
      </c>
      <c r="B6" s="567"/>
      <c r="C6" s="85" t="s">
        <v>413</v>
      </c>
      <c r="D6" s="64"/>
      <c r="E6" s="64"/>
    </row>
    <row r="7" spans="1:7" ht="21.95" customHeight="1">
      <c r="A7" s="261"/>
      <c r="B7" s="261"/>
      <c r="C7" s="85"/>
      <c r="D7" s="305"/>
      <c r="E7" s="64"/>
    </row>
    <row r="8" spans="1:7" ht="21.95" customHeight="1">
      <c r="A8" s="261"/>
      <c r="B8" s="261"/>
      <c r="C8" s="315"/>
      <c r="D8" s="305"/>
      <c r="E8" s="64"/>
      <c r="G8" s="320"/>
    </row>
    <row r="9" spans="1:7" ht="21.95" customHeight="1">
      <c r="A9" s="87"/>
      <c r="B9" s="261"/>
      <c r="C9" s="59"/>
      <c r="D9" s="64"/>
      <c r="E9" s="64"/>
    </row>
    <row r="10" spans="1:7" ht="21.95" customHeight="1">
      <c r="A10" s="261"/>
      <c r="B10" s="261"/>
      <c r="C10" s="315"/>
      <c r="D10" s="305"/>
      <c r="E10" s="64"/>
    </row>
    <row r="11" spans="1:7" ht="21.95" customHeight="1">
      <c r="A11" s="261"/>
      <c r="B11" s="261"/>
      <c r="C11" s="315"/>
      <c r="D11" s="305"/>
      <c r="E11" s="64"/>
    </row>
    <row r="12" spans="1:7" ht="21.95" customHeight="1">
      <c r="A12" s="261"/>
      <c r="B12" s="261"/>
      <c r="C12" s="315"/>
      <c r="D12" s="305"/>
      <c r="E12" s="64"/>
      <c r="G12" s="322"/>
    </row>
    <row r="13" spans="1:7" ht="21.95" customHeight="1">
      <c r="A13" s="261"/>
      <c r="B13" s="261"/>
      <c r="C13" s="315"/>
      <c r="D13" s="305"/>
      <c r="E13" s="64"/>
    </row>
    <row r="14" spans="1:7" ht="21.95" customHeight="1">
      <c r="A14" s="87"/>
      <c r="B14" s="261"/>
      <c r="C14" s="85"/>
      <c r="D14" s="64"/>
      <c r="E14" s="64"/>
    </row>
    <row r="15" spans="1:7" ht="21.95" customHeight="1">
      <c r="A15" s="261"/>
      <c r="B15" s="261"/>
      <c r="C15" s="317"/>
      <c r="D15" s="305"/>
      <c r="E15" s="64"/>
    </row>
    <row r="16" spans="1:7" ht="21.95" customHeight="1">
      <c r="A16" s="87"/>
      <c r="B16" s="261"/>
      <c r="C16" s="85"/>
      <c r="D16" s="64"/>
      <c r="E16" s="64"/>
    </row>
    <row r="17" spans="1:7" ht="21.95" customHeight="1">
      <c r="A17" s="261"/>
      <c r="B17" s="261"/>
      <c r="C17" s="317"/>
      <c r="D17" s="305"/>
      <c r="E17" s="64"/>
    </row>
    <row r="18" spans="1:7" ht="21.95" customHeight="1">
      <c r="A18" s="377"/>
      <c r="B18" s="377"/>
      <c r="C18" s="407"/>
      <c r="D18" s="372"/>
      <c r="E18" s="372"/>
    </row>
    <row r="19" spans="1:7" ht="21.95" customHeight="1">
      <c r="A19" s="377"/>
      <c r="B19" s="377"/>
      <c r="C19" s="407"/>
      <c r="D19" s="372"/>
      <c r="E19" s="372"/>
    </row>
    <row r="20" spans="1:7" ht="21.95" customHeight="1">
      <c r="A20" s="261"/>
      <c r="B20" s="261"/>
      <c r="C20" s="317"/>
      <c r="D20" s="305"/>
      <c r="E20" s="64"/>
    </row>
    <row r="21" spans="1:7" ht="21.95" customHeight="1">
      <c r="A21" s="87"/>
      <c r="B21" s="261"/>
      <c r="C21" s="59"/>
      <c r="D21" s="64"/>
      <c r="E21" s="64"/>
      <c r="G21" s="321"/>
    </row>
    <row r="22" spans="1:7" ht="20.100000000000001" customHeight="1">
      <c r="A22" s="76" t="s">
        <v>5</v>
      </c>
      <c r="B22" s="314"/>
      <c r="C22" s="72"/>
      <c r="D22" s="73">
        <f>SUM(D5:D21)</f>
        <v>0</v>
      </c>
      <c r="E22" s="60"/>
    </row>
    <row r="23" spans="1:7" ht="20.100000000000001" customHeight="1">
      <c r="A23" s="2" t="e">
        <f>#REF!</f>
        <v>#REF!</v>
      </c>
      <c r="B23" s="2"/>
      <c r="G23" s="29">
        <f>SUM(G7:G21)</f>
        <v>0</v>
      </c>
    </row>
    <row r="24" spans="1:7" ht="20.100000000000001" customHeight="1">
      <c r="G24" s="29">
        <f>D22-G23</f>
        <v>0</v>
      </c>
    </row>
    <row r="25" spans="1:7" ht="20.100000000000001" hidden="1" customHeight="1"/>
    <row r="26" spans="1:7" ht="20.100000000000001" hidden="1" customHeight="1">
      <c r="E26" s="79" t="s">
        <v>184</v>
      </c>
      <c r="F26" s="79"/>
      <c r="G26" s="79"/>
    </row>
    <row r="27" spans="1:7" ht="20.100000000000001" hidden="1" customHeight="1"/>
    <row r="28" spans="1:7" ht="20.100000000000001" hidden="1" customHeight="1"/>
    <row r="29" spans="1:7" ht="20.100000000000001" hidden="1" customHeight="1"/>
  </sheetData>
  <mergeCells count="1">
    <mergeCell ref="A3:C3"/>
  </mergeCells>
  <phoneticPr fontId="2" type="noConversion"/>
  <printOptions horizontalCentered="1"/>
  <pageMargins left="0.39370078740157483" right="0.39370078740157483" top="0.45" bottom="0.43" header="0.39370078740157483" footer="0.39370078740157483"/>
  <pageSetup paperSize="9"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I10" sqref="I10"/>
    </sheetView>
  </sheetViews>
  <sheetFormatPr defaultColWidth="12.625" defaultRowHeight="20.100000000000001" customHeight="1"/>
  <cols>
    <col min="1" max="1" width="20.625" style="4" customWidth="1"/>
    <col min="2" max="2" width="37.625" style="4" customWidth="1"/>
    <col min="3" max="3" width="17.25" style="5" customWidth="1"/>
    <col min="4" max="4" width="18.75" style="4" customWidth="1"/>
    <col min="5" max="5" width="33.375" style="4" customWidth="1"/>
    <col min="6" max="16384" width="12.625" style="4"/>
  </cols>
  <sheetData>
    <row r="1" spans="1:5" ht="20.100000000000001" customHeight="1">
      <c r="A1" s="3" t="s">
        <v>28</v>
      </c>
    </row>
    <row r="2" spans="1:5" ht="9.75" customHeight="1">
      <c r="B2" s="6"/>
      <c r="C2" s="7"/>
      <c r="D2" s="8"/>
    </row>
    <row r="3" spans="1:5" ht="20.100000000000001" customHeight="1">
      <c r="A3" s="2083" t="e">
        <f>#REF!</f>
        <v>#REF!</v>
      </c>
      <c r="B3" s="2083"/>
      <c r="C3" s="10"/>
      <c r="D3" s="11"/>
      <c r="E3" s="12" t="s">
        <v>0</v>
      </c>
    </row>
    <row r="4" spans="1:5" ht="20.100000000000001" customHeight="1">
      <c r="A4" s="13" t="s">
        <v>1</v>
      </c>
      <c r="B4" s="13" t="s">
        <v>2</v>
      </c>
      <c r="C4" s="13" t="s">
        <v>20</v>
      </c>
      <c r="D4" s="14" t="s">
        <v>3</v>
      </c>
      <c r="E4" s="15" t="s">
        <v>4</v>
      </c>
    </row>
    <row r="5" spans="1:5" ht="21.95" customHeight="1">
      <c r="A5" s="16"/>
      <c r="B5" s="17" t="s">
        <v>46</v>
      </c>
      <c r="C5" s="18" t="s">
        <v>49</v>
      </c>
      <c r="D5" s="19">
        <v>173893200</v>
      </c>
      <c r="E5" s="20"/>
    </row>
    <row r="6" spans="1:5" ht="21.95" customHeight="1">
      <c r="A6" s="16"/>
      <c r="B6" s="17" t="s">
        <v>47</v>
      </c>
      <c r="C6" s="18" t="s">
        <v>50</v>
      </c>
      <c r="D6" s="19">
        <v>80923500</v>
      </c>
      <c r="E6" s="20"/>
    </row>
    <row r="7" spans="1:5" ht="21.95" customHeight="1">
      <c r="A7" s="16"/>
      <c r="B7" s="17" t="s">
        <v>48</v>
      </c>
      <c r="C7" s="18" t="s">
        <v>51</v>
      </c>
      <c r="D7" s="19">
        <v>70723500</v>
      </c>
      <c r="E7" s="20"/>
    </row>
    <row r="8" spans="1:5" ht="21.95" customHeight="1">
      <c r="A8" s="16"/>
      <c r="B8" s="17"/>
      <c r="C8" s="18"/>
      <c r="D8" s="19"/>
      <c r="E8" s="20"/>
    </row>
    <row r="9" spans="1:5" ht="21.95" customHeight="1">
      <c r="A9" s="380"/>
      <c r="B9" s="381"/>
      <c r="C9" s="382"/>
      <c r="D9" s="383"/>
      <c r="E9" s="384"/>
    </row>
    <row r="10" spans="1:5" ht="21.95" customHeight="1">
      <c r="A10" s="380"/>
      <c r="B10" s="381"/>
      <c r="C10" s="382"/>
      <c r="D10" s="383"/>
      <c r="E10" s="384"/>
    </row>
    <row r="11" spans="1:5" ht="21.95" customHeight="1">
      <c r="A11" s="380"/>
      <c r="B11" s="381"/>
      <c r="C11" s="382"/>
      <c r="D11" s="383"/>
      <c r="E11" s="384"/>
    </row>
    <row r="12" spans="1:5" ht="21.95" customHeight="1">
      <c r="A12" s="380"/>
      <c r="B12" s="381"/>
      <c r="C12" s="382"/>
      <c r="D12" s="383"/>
      <c r="E12" s="384"/>
    </row>
    <row r="13" spans="1:5" ht="21.95" customHeight="1">
      <c r="A13" s="380"/>
      <c r="B13" s="381"/>
      <c r="C13" s="382"/>
      <c r="D13" s="383"/>
      <c r="E13" s="384"/>
    </row>
    <row r="14" spans="1:5" ht="21.95" customHeight="1">
      <c r="A14" s="16"/>
      <c r="B14" s="17"/>
      <c r="C14" s="18"/>
      <c r="D14" s="19"/>
      <c r="E14" s="21"/>
    </row>
    <row r="15" spans="1:5" ht="21.95" customHeight="1">
      <c r="A15" s="16"/>
      <c r="B15" s="17"/>
      <c r="C15" s="18"/>
      <c r="D15" s="19"/>
      <c r="E15" s="22"/>
    </row>
    <row r="16" spans="1:5" ht="21.95" customHeight="1">
      <c r="A16" s="16"/>
      <c r="B16" s="17"/>
      <c r="C16" s="18"/>
      <c r="D16" s="19"/>
      <c r="E16" s="22"/>
    </row>
    <row r="17" spans="1:5" ht="21.95" customHeight="1">
      <c r="A17" s="380"/>
      <c r="B17" s="381"/>
      <c r="C17" s="382"/>
      <c r="D17" s="383"/>
      <c r="E17" s="385"/>
    </row>
    <row r="18" spans="1:5" ht="21.95" customHeight="1">
      <c r="A18" s="380"/>
      <c r="B18" s="381"/>
      <c r="C18" s="382"/>
      <c r="D18" s="383"/>
      <c r="E18" s="385"/>
    </row>
    <row r="19" spans="1:5" ht="21.95" customHeight="1">
      <c r="A19" s="16"/>
      <c r="B19" s="17"/>
      <c r="C19" s="18"/>
      <c r="D19" s="19"/>
      <c r="E19" s="22"/>
    </row>
    <row r="20" spans="1:5" ht="21.95" customHeight="1">
      <c r="A20" s="16"/>
      <c r="B20" s="17"/>
      <c r="C20" s="18"/>
      <c r="D20" s="19"/>
      <c r="E20" s="20"/>
    </row>
    <row r="21" spans="1:5" ht="21.95" customHeight="1">
      <c r="A21" s="16"/>
      <c r="B21" s="17"/>
      <c r="C21" s="18"/>
      <c r="D21" s="19"/>
      <c r="E21" s="20"/>
    </row>
    <row r="22" spans="1:5" ht="21.95" customHeight="1">
      <c r="A22" s="16"/>
      <c r="B22" s="17"/>
      <c r="C22" s="18"/>
      <c r="D22" s="19"/>
      <c r="E22" s="23"/>
    </row>
    <row r="23" spans="1:5" ht="20.100000000000001" customHeight="1">
      <c r="A23" s="13" t="s">
        <v>5</v>
      </c>
      <c r="B23" s="24"/>
      <c r="C23" s="13"/>
      <c r="D23" s="25">
        <f>SUM(D5:D22)</f>
        <v>325540200</v>
      </c>
      <c r="E23" s="26"/>
    </row>
    <row r="24" spans="1:5" ht="20.100000000000001" customHeight="1">
      <c r="A24" s="2" t="s">
        <v>19</v>
      </c>
    </row>
  </sheetData>
  <mergeCells count="1">
    <mergeCell ref="A3:B3"/>
  </mergeCells>
  <phoneticPr fontId="2" type="noConversion"/>
  <printOptions horizontalCentered="1"/>
  <pageMargins left="0.39370078740157483" right="0.39370078740157483" top="0.45" bottom="0.43" header="0.39370078740157483" footer="0.39370078740157483"/>
  <pageSetup paperSize="9"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showGridLines="0" workbookViewId="0">
      <selection activeCell="I15" sqref="I15"/>
    </sheetView>
  </sheetViews>
  <sheetFormatPr defaultRowHeight="16.5"/>
  <cols>
    <col min="1" max="1" width="1.5" customWidth="1"/>
    <col min="2" max="2" width="9.25" customWidth="1"/>
    <col min="3" max="3" width="14.625" customWidth="1"/>
    <col min="4" max="4" width="7.5" customWidth="1"/>
    <col min="5" max="7" width="11.5" customWidth="1"/>
    <col min="8" max="10" width="13.25" customWidth="1"/>
    <col min="11" max="11" width="11.75" customWidth="1"/>
    <col min="13" max="13" width="13.625" style="519" bestFit="1" customWidth="1"/>
    <col min="14" max="14" width="10.875" style="519" bestFit="1" customWidth="1"/>
  </cols>
  <sheetData>
    <row r="2" spans="1:14" ht="26.25">
      <c r="A2" s="518" t="s">
        <v>329</v>
      </c>
      <c r="B2" s="518"/>
    </row>
    <row r="3" spans="1:14" ht="16.5" customHeight="1">
      <c r="A3" s="518"/>
      <c r="B3" s="518"/>
    </row>
    <row r="4" spans="1:14" ht="17.25" thickBot="1">
      <c r="K4" s="520" t="s">
        <v>330</v>
      </c>
    </row>
    <row r="5" spans="1:14" ht="20.100000000000001" customHeight="1" thickBot="1">
      <c r="B5" s="2207" t="s">
        <v>118</v>
      </c>
      <c r="C5" s="2209" t="s">
        <v>331</v>
      </c>
      <c r="D5" s="2209" t="s">
        <v>332</v>
      </c>
      <c r="E5" s="2211" t="s">
        <v>333</v>
      </c>
      <c r="F5" s="2211"/>
      <c r="G5" s="2212"/>
      <c r="H5" s="2213" t="s">
        <v>334</v>
      </c>
      <c r="I5" s="2214"/>
      <c r="J5" s="2215"/>
      <c r="K5" s="2216" t="s">
        <v>335</v>
      </c>
      <c r="M5" s="2218" t="s">
        <v>336</v>
      </c>
      <c r="N5" s="2219"/>
    </row>
    <row r="6" spans="1:14" ht="20.100000000000001" customHeight="1" thickBot="1">
      <c r="B6" s="2208"/>
      <c r="C6" s="2210"/>
      <c r="D6" s="2210"/>
      <c r="E6" s="521" t="s">
        <v>337</v>
      </c>
      <c r="F6" s="521" t="s">
        <v>338</v>
      </c>
      <c r="G6" s="522" t="s">
        <v>339</v>
      </c>
      <c r="H6" s="523" t="s">
        <v>340</v>
      </c>
      <c r="I6" s="524" t="s">
        <v>341</v>
      </c>
      <c r="J6" s="525" t="s">
        <v>342</v>
      </c>
      <c r="K6" s="2217"/>
      <c r="M6" s="526" t="s">
        <v>343</v>
      </c>
      <c r="N6" s="527" t="s">
        <v>344</v>
      </c>
    </row>
    <row r="7" spans="1:14" ht="31.5" customHeight="1">
      <c r="B7" s="528" t="s">
        <v>345</v>
      </c>
      <c r="C7" s="529">
        <f>'[6]1차'!C7</f>
        <v>160000000000</v>
      </c>
      <c r="D7" s="530">
        <f>[6]상환내역!D9</f>
        <v>6.6000000000000003E-2</v>
      </c>
      <c r="E7" s="531">
        <f>'[6]1차'!E7</f>
        <v>42018</v>
      </c>
      <c r="F7" s="531">
        <f>'[6]1차'!F7</f>
        <v>42107</v>
      </c>
      <c r="G7" s="532">
        <f>F7-E7+1</f>
        <v>90</v>
      </c>
      <c r="H7" s="533">
        <f>'[6]1차'!H7</f>
        <v>2574904100</v>
      </c>
      <c r="I7" s="534">
        <f>ROUNDDOWN(C7*D7*G7/365,-1)</f>
        <v>2603835610</v>
      </c>
      <c r="J7" s="535">
        <f>I7-H7</f>
        <v>28931510</v>
      </c>
      <c r="K7" s="2220" t="s">
        <v>346</v>
      </c>
      <c r="M7" s="536">
        <f>ROUNDDOWN(J7*14%,-1)</f>
        <v>4050410</v>
      </c>
      <c r="N7" s="537">
        <f>ROUNDDOWN(M7*10%,-1)</f>
        <v>405040</v>
      </c>
    </row>
    <row r="8" spans="1:14" ht="31.5" customHeight="1">
      <c r="B8" s="538" t="s">
        <v>347</v>
      </c>
      <c r="C8" s="539">
        <f>'[6]2차'!C7</f>
        <v>156510000000</v>
      </c>
      <c r="D8" s="540">
        <f>D7</f>
        <v>6.6000000000000003E-2</v>
      </c>
      <c r="E8" s="541">
        <f>'[6]2차'!E7</f>
        <v>42108</v>
      </c>
      <c r="F8" s="541">
        <f>'[6]2차'!F7</f>
        <v>42198</v>
      </c>
      <c r="G8" s="542">
        <f>F8-E8+1</f>
        <v>91</v>
      </c>
      <c r="H8" s="543">
        <f>'[6]2차'!H7</f>
        <v>2547039450</v>
      </c>
      <c r="I8" s="544">
        <f>ROUNDDOWN(C8*D8*G8/365,-1)</f>
        <v>2575339890</v>
      </c>
      <c r="J8" s="545">
        <f>I8-H8</f>
        <v>28300440</v>
      </c>
      <c r="K8" s="2221"/>
      <c r="M8" s="546">
        <f>ROUNDDOWN(J8*14%,-1)</f>
        <v>3962060</v>
      </c>
      <c r="N8" s="547">
        <f>ROUNDDOWN(M8*10%,-1)</f>
        <v>396200</v>
      </c>
    </row>
    <row r="9" spans="1:14" ht="31.5" customHeight="1" thickBot="1">
      <c r="B9" s="548" t="s">
        <v>348</v>
      </c>
      <c r="C9" s="549">
        <f>'[6]3차'!C7</f>
        <v>153180000000</v>
      </c>
      <c r="D9" s="550">
        <f>D8</f>
        <v>6.6000000000000003E-2</v>
      </c>
      <c r="E9" s="551">
        <f>'[6]3차'!E7</f>
        <v>42199</v>
      </c>
      <c r="F9" s="551">
        <f>'[6]3차'!F7</f>
        <v>42290</v>
      </c>
      <c r="G9" s="552">
        <f>F9-E9+1</f>
        <v>92</v>
      </c>
      <c r="H9" s="553">
        <f>'[6]3차'!H7</f>
        <v>2520545420</v>
      </c>
      <c r="I9" s="554">
        <f>ROUNDDOWN(C9*D9*G9/365,-1)</f>
        <v>2548243720</v>
      </c>
      <c r="J9" s="535">
        <f>I9-H9</f>
        <v>27698300</v>
      </c>
      <c r="K9" s="2222"/>
      <c r="M9" s="555">
        <f>ROUNDDOWN(J9*14%,-1)</f>
        <v>3877760</v>
      </c>
      <c r="N9" s="556">
        <f>ROUNDDOWN(M9*10%,-1)</f>
        <v>387770</v>
      </c>
    </row>
    <row r="10" spans="1:14" ht="31.5" customHeight="1" thickTop="1" thickBot="1">
      <c r="B10" s="2223" t="s">
        <v>349</v>
      </c>
      <c r="C10" s="2224"/>
      <c r="D10" s="2224"/>
      <c r="E10" s="2224"/>
      <c r="F10" s="2224"/>
      <c r="G10" s="2224"/>
      <c r="H10" s="557">
        <f>SUM(H7:H9)</f>
        <v>7642488970</v>
      </c>
      <c r="I10" s="558">
        <f>SUM(I7:I9)</f>
        <v>7727419220</v>
      </c>
      <c r="J10" s="559">
        <f>SUM(J7:J9)</f>
        <v>84930250</v>
      </c>
      <c r="K10" s="560"/>
      <c r="M10" s="561">
        <f>SUM(M7:M9)</f>
        <v>11890230</v>
      </c>
      <c r="N10" s="562">
        <f>SUM(N7:N9)</f>
        <v>1189010</v>
      </c>
    </row>
    <row r="11" spans="1:14">
      <c r="M11" s="2225">
        <f>SUM(M10:N10)</f>
        <v>13079240</v>
      </c>
      <c r="N11" s="2226"/>
    </row>
    <row r="12" spans="1:14">
      <c r="E12" s="563"/>
      <c r="I12" s="2206"/>
      <c r="J12" s="2206"/>
      <c r="K12" s="2227"/>
    </row>
    <row r="13" spans="1:14">
      <c r="E13" s="564"/>
      <c r="I13" s="2206"/>
      <c r="J13" s="2206"/>
      <c r="K13" s="2206"/>
    </row>
    <row r="14" spans="1:14">
      <c r="E14" s="564"/>
    </row>
    <row r="15" spans="1:14">
      <c r="E15" s="564"/>
    </row>
  </sheetData>
  <mergeCells count="12">
    <mergeCell ref="M5:N5"/>
    <mergeCell ref="K7:K9"/>
    <mergeCell ref="B10:G10"/>
    <mergeCell ref="M11:N11"/>
    <mergeCell ref="I12:K12"/>
    <mergeCell ref="I13:K13"/>
    <mergeCell ref="B5:B6"/>
    <mergeCell ref="C5:C6"/>
    <mergeCell ref="D5:D6"/>
    <mergeCell ref="E5:G5"/>
    <mergeCell ref="H5:J5"/>
    <mergeCell ref="K5:K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SheetLayoutView="100" workbookViewId="0"/>
  </sheetViews>
  <sheetFormatPr defaultColWidth="12.625" defaultRowHeight="20.100000000000001" customHeight="1"/>
  <cols>
    <col min="1" max="1" width="16.125" style="29" customWidth="1"/>
    <col min="2" max="2" width="16.25" style="29" customWidth="1"/>
    <col min="3" max="3" width="30.5" style="29" customWidth="1"/>
    <col min="4" max="4" width="21.375" style="29" customWidth="1"/>
    <col min="5" max="5" width="21.75" style="29" customWidth="1"/>
    <col min="6" max="12" width="0" style="29" hidden="1" customWidth="1"/>
    <col min="13" max="251" width="12.625" style="29"/>
    <col min="252" max="252" width="20.625" style="29" customWidth="1"/>
    <col min="253" max="253" width="38.125" style="29" customWidth="1"/>
    <col min="254" max="254" width="17.25" style="29" customWidth="1"/>
    <col min="255" max="255" width="18.75" style="29" customWidth="1"/>
    <col min="256" max="256" width="19.625" style="29" customWidth="1"/>
    <col min="257" max="507" width="12.625" style="29"/>
    <col min="508" max="508" width="20.625" style="29" customWidth="1"/>
    <col min="509" max="509" width="38.125" style="29" customWidth="1"/>
    <col min="510" max="510" width="17.25" style="29" customWidth="1"/>
    <col min="511" max="511" width="18.75" style="29" customWidth="1"/>
    <col min="512" max="512" width="19.625" style="29" customWidth="1"/>
    <col min="513" max="763" width="12.625" style="29"/>
    <col min="764" max="764" width="20.625" style="29" customWidth="1"/>
    <col min="765" max="765" width="38.125" style="29" customWidth="1"/>
    <col min="766" max="766" width="17.25" style="29" customWidth="1"/>
    <col min="767" max="767" width="18.75" style="29" customWidth="1"/>
    <col min="768" max="768" width="19.625" style="29" customWidth="1"/>
    <col min="769" max="1019" width="12.625" style="29"/>
    <col min="1020" max="1020" width="20.625" style="29" customWidth="1"/>
    <col min="1021" max="1021" width="38.125" style="29" customWidth="1"/>
    <col min="1022" max="1022" width="17.25" style="29" customWidth="1"/>
    <col min="1023" max="1023" width="18.75" style="29" customWidth="1"/>
    <col min="1024" max="1024" width="19.625" style="29" customWidth="1"/>
    <col min="1025" max="1275" width="12.625" style="29"/>
    <col min="1276" max="1276" width="20.625" style="29" customWidth="1"/>
    <col min="1277" max="1277" width="38.125" style="29" customWidth="1"/>
    <col min="1278" max="1278" width="17.25" style="29" customWidth="1"/>
    <col min="1279" max="1279" width="18.75" style="29" customWidth="1"/>
    <col min="1280" max="1280" width="19.625" style="29" customWidth="1"/>
    <col min="1281" max="1531" width="12.625" style="29"/>
    <col min="1532" max="1532" width="20.625" style="29" customWidth="1"/>
    <col min="1533" max="1533" width="38.125" style="29" customWidth="1"/>
    <col min="1534" max="1534" width="17.25" style="29" customWidth="1"/>
    <col min="1535" max="1535" width="18.75" style="29" customWidth="1"/>
    <col min="1536" max="1536" width="19.625" style="29" customWidth="1"/>
    <col min="1537" max="1787" width="12.625" style="29"/>
    <col min="1788" max="1788" width="20.625" style="29" customWidth="1"/>
    <col min="1789" max="1789" width="38.125" style="29" customWidth="1"/>
    <col min="1790" max="1790" width="17.25" style="29" customWidth="1"/>
    <col min="1791" max="1791" width="18.75" style="29" customWidth="1"/>
    <col min="1792" max="1792" width="19.625" style="29" customWidth="1"/>
    <col min="1793" max="2043" width="12.625" style="29"/>
    <col min="2044" max="2044" width="20.625" style="29" customWidth="1"/>
    <col min="2045" max="2045" width="38.125" style="29" customWidth="1"/>
    <col min="2046" max="2046" width="17.25" style="29" customWidth="1"/>
    <col min="2047" max="2047" width="18.75" style="29" customWidth="1"/>
    <col min="2048" max="2048" width="19.625" style="29" customWidth="1"/>
    <col min="2049" max="2299" width="12.625" style="29"/>
    <col min="2300" max="2300" width="20.625" style="29" customWidth="1"/>
    <col min="2301" max="2301" width="38.125" style="29" customWidth="1"/>
    <col min="2302" max="2302" width="17.25" style="29" customWidth="1"/>
    <col min="2303" max="2303" width="18.75" style="29" customWidth="1"/>
    <col min="2304" max="2304" width="19.625" style="29" customWidth="1"/>
    <col min="2305" max="2555" width="12.625" style="29"/>
    <col min="2556" max="2556" width="20.625" style="29" customWidth="1"/>
    <col min="2557" max="2557" width="38.125" style="29" customWidth="1"/>
    <col min="2558" max="2558" width="17.25" style="29" customWidth="1"/>
    <col min="2559" max="2559" width="18.75" style="29" customWidth="1"/>
    <col min="2560" max="2560" width="19.625" style="29" customWidth="1"/>
    <col min="2561" max="2811" width="12.625" style="29"/>
    <col min="2812" max="2812" width="20.625" style="29" customWidth="1"/>
    <col min="2813" max="2813" width="38.125" style="29" customWidth="1"/>
    <col min="2814" max="2814" width="17.25" style="29" customWidth="1"/>
    <col min="2815" max="2815" width="18.75" style="29" customWidth="1"/>
    <col min="2816" max="2816" width="19.625" style="29" customWidth="1"/>
    <col min="2817" max="3067" width="12.625" style="29"/>
    <col min="3068" max="3068" width="20.625" style="29" customWidth="1"/>
    <col min="3069" max="3069" width="38.125" style="29" customWidth="1"/>
    <col min="3070" max="3070" width="17.25" style="29" customWidth="1"/>
    <col min="3071" max="3071" width="18.75" style="29" customWidth="1"/>
    <col min="3072" max="3072" width="19.625" style="29" customWidth="1"/>
    <col min="3073" max="3323" width="12.625" style="29"/>
    <col min="3324" max="3324" width="20.625" style="29" customWidth="1"/>
    <col min="3325" max="3325" width="38.125" style="29" customWidth="1"/>
    <col min="3326" max="3326" width="17.25" style="29" customWidth="1"/>
    <col min="3327" max="3327" width="18.75" style="29" customWidth="1"/>
    <col min="3328" max="3328" width="19.625" style="29" customWidth="1"/>
    <col min="3329" max="3579" width="12.625" style="29"/>
    <col min="3580" max="3580" width="20.625" style="29" customWidth="1"/>
    <col min="3581" max="3581" width="38.125" style="29" customWidth="1"/>
    <col min="3582" max="3582" width="17.25" style="29" customWidth="1"/>
    <col min="3583" max="3583" width="18.75" style="29" customWidth="1"/>
    <col min="3584" max="3584" width="19.625" style="29" customWidth="1"/>
    <col min="3585" max="3835" width="12.625" style="29"/>
    <col min="3836" max="3836" width="20.625" style="29" customWidth="1"/>
    <col min="3837" max="3837" width="38.125" style="29" customWidth="1"/>
    <col min="3838" max="3838" width="17.25" style="29" customWidth="1"/>
    <col min="3839" max="3839" width="18.75" style="29" customWidth="1"/>
    <col min="3840" max="3840" width="19.625" style="29" customWidth="1"/>
    <col min="3841" max="4091" width="12.625" style="29"/>
    <col min="4092" max="4092" width="20.625" style="29" customWidth="1"/>
    <col min="4093" max="4093" width="38.125" style="29" customWidth="1"/>
    <col min="4094" max="4094" width="17.25" style="29" customWidth="1"/>
    <col min="4095" max="4095" width="18.75" style="29" customWidth="1"/>
    <col min="4096" max="4096" width="19.625" style="29" customWidth="1"/>
    <col min="4097" max="4347" width="12.625" style="29"/>
    <col min="4348" max="4348" width="20.625" style="29" customWidth="1"/>
    <col min="4349" max="4349" width="38.125" style="29" customWidth="1"/>
    <col min="4350" max="4350" width="17.25" style="29" customWidth="1"/>
    <col min="4351" max="4351" width="18.75" style="29" customWidth="1"/>
    <col min="4352" max="4352" width="19.625" style="29" customWidth="1"/>
    <col min="4353" max="4603" width="12.625" style="29"/>
    <col min="4604" max="4604" width="20.625" style="29" customWidth="1"/>
    <col min="4605" max="4605" width="38.125" style="29" customWidth="1"/>
    <col min="4606" max="4606" width="17.25" style="29" customWidth="1"/>
    <col min="4607" max="4607" width="18.75" style="29" customWidth="1"/>
    <col min="4608" max="4608" width="19.625" style="29" customWidth="1"/>
    <col min="4609" max="4859" width="12.625" style="29"/>
    <col min="4860" max="4860" width="20.625" style="29" customWidth="1"/>
    <col min="4861" max="4861" width="38.125" style="29" customWidth="1"/>
    <col min="4862" max="4862" width="17.25" style="29" customWidth="1"/>
    <col min="4863" max="4863" width="18.75" style="29" customWidth="1"/>
    <col min="4864" max="4864" width="19.625" style="29" customWidth="1"/>
    <col min="4865" max="5115" width="12.625" style="29"/>
    <col min="5116" max="5116" width="20.625" style="29" customWidth="1"/>
    <col min="5117" max="5117" width="38.125" style="29" customWidth="1"/>
    <col min="5118" max="5118" width="17.25" style="29" customWidth="1"/>
    <col min="5119" max="5119" width="18.75" style="29" customWidth="1"/>
    <col min="5120" max="5120" width="19.625" style="29" customWidth="1"/>
    <col min="5121" max="5371" width="12.625" style="29"/>
    <col min="5372" max="5372" width="20.625" style="29" customWidth="1"/>
    <col min="5373" max="5373" width="38.125" style="29" customWidth="1"/>
    <col min="5374" max="5374" width="17.25" style="29" customWidth="1"/>
    <col min="5375" max="5375" width="18.75" style="29" customWidth="1"/>
    <col min="5376" max="5376" width="19.625" style="29" customWidth="1"/>
    <col min="5377" max="5627" width="12.625" style="29"/>
    <col min="5628" max="5628" width="20.625" style="29" customWidth="1"/>
    <col min="5629" max="5629" width="38.125" style="29" customWidth="1"/>
    <col min="5630" max="5630" width="17.25" style="29" customWidth="1"/>
    <col min="5631" max="5631" width="18.75" style="29" customWidth="1"/>
    <col min="5632" max="5632" width="19.625" style="29" customWidth="1"/>
    <col min="5633" max="5883" width="12.625" style="29"/>
    <col min="5884" max="5884" width="20.625" style="29" customWidth="1"/>
    <col min="5885" max="5885" width="38.125" style="29" customWidth="1"/>
    <col min="5886" max="5886" width="17.25" style="29" customWidth="1"/>
    <col min="5887" max="5887" width="18.75" style="29" customWidth="1"/>
    <col min="5888" max="5888" width="19.625" style="29" customWidth="1"/>
    <col min="5889" max="6139" width="12.625" style="29"/>
    <col min="6140" max="6140" width="20.625" style="29" customWidth="1"/>
    <col min="6141" max="6141" width="38.125" style="29" customWidth="1"/>
    <col min="6142" max="6142" width="17.25" style="29" customWidth="1"/>
    <col min="6143" max="6143" width="18.75" style="29" customWidth="1"/>
    <col min="6144" max="6144" width="19.625" style="29" customWidth="1"/>
    <col min="6145" max="6395" width="12.625" style="29"/>
    <col min="6396" max="6396" width="20.625" style="29" customWidth="1"/>
    <col min="6397" max="6397" width="38.125" style="29" customWidth="1"/>
    <col min="6398" max="6398" width="17.25" style="29" customWidth="1"/>
    <col min="6399" max="6399" width="18.75" style="29" customWidth="1"/>
    <col min="6400" max="6400" width="19.625" style="29" customWidth="1"/>
    <col min="6401" max="6651" width="12.625" style="29"/>
    <col min="6652" max="6652" width="20.625" style="29" customWidth="1"/>
    <col min="6653" max="6653" width="38.125" style="29" customWidth="1"/>
    <col min="6654" max="6654" width="17.25" style="29" customWidth="1"/>
    <col min="6655" max="6655" width="18.75" style="29" customWidth="1"/>
    <col min="6656" max="6656" width="19.625" style="29" customWidth="1"/>
    <col min="6657" max="6907" width="12.625" style="29"/>
    <col min="6908" max="6908" width="20.625" style="29" customWidth="1"/>
    <col min="6909" max="6909" width="38.125" style="29" customWidth="1"/>
    <col min="6910" max="6910" width="17.25" style="29" customWidth="1"/>
    <col min="6911" max="6911" width="18.75" style="29" customWidth="1"/>
    <col min="6912" max="6912" width="19.625" style="29" customWidth="1"/>
    <col min="6913" max="7163" width="12.625" style="29"/>
    <col min="7164" max="7164" width="20.625" style="29" customWidth="1"/>
    <col min="7165" max="7165" width="38.125" style="29" customWidth="1"/>
    <col min="7166" max="7166" width="17.25" style="29" customWidth="1"/>
    <col min="7167" max="7167" width="18.75" style="29" customWidth="1"/>
    <col min="7168" max="7168" width="19.625" style="29" customWidth="1"/>
    <col min="7169" max="7419" width="12.625" style="29"/>
    <col min="7420" max="7420" width="20.625" style="29" customWidth="1"/>
    <col min="7421" max="7421" width="38.125" style="29" customWidth="1"/>
    <col min="7422" max="7422" width="17.25" style="29" customWidth="1"/>
    <col min="7423" max="7423" width="18.75" style="29" customWidth="1"/>
    <col min="7424" max="7424" width="19.625" style="29" customWidth="1"/>
    <col min="7425" max="7675" width="12.625" style="29"/>
    <col min="7676" max="7676" width="20.625" style="29" customWidth="1"/>
    <col min="7677" max="7677" width="38.125" style="29" customWidth="1"/>
    <col min="7678" max="7678" width="17.25" style="29" customWidth="1"/>
    <col min="7679" max="7679" width="18.75" style="29" customWidth="1"/>
    <col min="7680" max="7680" width="19.625" style="29" customWidth="1"/>
    <col min="7681" max="7931" width="12.625" style="29"/>
    <col min="7932" max="7932" width="20.625" style="29" customWidth="1"/>
    <col min="7933" max="7933" width="38.125" style="29" customWidth="1"/>
    <col min="7934" max="7934" width="17.25" style="29" customWidth="1"/>
    <col min="7935" max="7935" width="18.75" style="29" customWidth="1"/>
    <col min="7936" max="7936" width="19.625" style="29" customWidth="1"/>
    <col min="7937" max="8187" width="12.625" style="29"/>
    <col min="8188" max="8188" width="20.625" style="29" customWidth="1"/>
    <col min="8189" max="8189" width="38.125" style="29" customWidth="1"/>
    <col min="8190" max="8190" width="17.25" style="29" customWidth="1"/>
    <col min="8191" max="8191" width="18.75" style="29" customWidth="1"/>
    <col min="8192" max="8192" width="19.625" style="29" customWidth="1"/>
    <col min="8193" max="8443" width="12.625" style="29"/>
    <col min="8444" max="8444" width="20.625" style="29" customWidth="1"/>
    <col min="8445" max="8445" width="38.125" style="29" customWidth="1"/>
    <col min="8446" max="8446" width="17.25" style="29" customWidth="1"/>
    <col min="8447" max="8447" width="18.75" style="29" customWidth="1"/>
    <col min="8448" max="8448" width="19.625" style="29" customWidth="1"/>
    <col min="8449" max="8699" width="12.625" style="29"/>
    <col min="8700" max="8700" width="20.625" style="29" customWidth="1"/>
    <col min="8701" max="8701" width="38.125" style="29" customWidth="1"/>
    <col min="8702" max="8702" width="17.25" style="29" customWidth="1"/>
    <col min="8703" max="8703" width="18.75" style="29" customWidth="1"/>
    <col min="8704" max="8704" width="19.625" style="29" customWidth="1"/>
    <col min="8705" max="8955" width="12.625" style="29"/>
    <col min="8956" max="8956" width="20.625" style="29" customWidth="1"/>
    <col min="8957" max="8957" width="38.125" style="29" customWidth="1"/>
    <col min="8958" max="8958" width="17.25" style="29" customWidth="1"/>
    <col min="8959" max="8959" width="18.75" style="29" customWidth="1"/>
    <col min="8960" max="8960" width="19.625" style="29" customWidth="1"/>
    <col min="8961" max="9211" width="12.625" style="29"/>
    <col min="9212" max="9212" width="20.625" style="29" customWidth="1"/>
    <col min="9213" max="9213" width="38.125" style="29" customWidth="1"/>
    <col min="9214" max="9214" width="17.25" style="29" customWidth="1"/>
    <col min="9215" max="9215" width="18.75" style="29" customWidth="1"/>
    <col min="9216" max="9216" width="19.625" style="29" customWidth="1"/>
    <col min="9217" max="9467" width="12.625" style="29"/>
    <col min="9468" max="9468" width="20.625" style="29" customWidth="1"/>
    <col min="9469" max="9469" width="38.125" style="29" customWidth="1"/>
    <col min="9470" max="9470" width="17.25" style="29" customWidth="1"/>
    <col min="9471" max="9471" width="18.75" style="29" customWidth="1"/>
    <col min="9472" max="9472" width="19.625" style="29" customWidth="1"/>
    <col min="9473" max="9723" width="12.625" style="29"/>
    <col min="9724" max="9724" width="20.625" style="29" customWidth="1"/>
    <col min="9725" max="9725" width="38.125" style="29" customWidth="1"/>
    <col min="9726" max="9726" width="17.25" style="29" customWidth="1"/>
    <col min="9727" max="9727" width="18.75" style="29" customWidth="1"/>
    <col min="9728" max="9728" width="19.625" style="29" customWidth="1"/>
    <col min="9729" max="9979" width="12.625" style="29"/>
    <col min="9980" max="9980" width="20.625" style="29" customWidth="1"/>
    <col min="9981" max="9981" width="38.125" style="29" customWidth="1"/>
    <col min="9982" max="9982" width="17.25" style="29" customWidth="1"/>
    <col min="9983" max="9983" width="18.75" style="29" customWidth="1"/>
    <col min="9984" max="9984" width="19.625" style="29" customWidth="1"/>
    <col min="9985" max="10235" width="12.625" style="29"/>
    <col min="10236" max="10236" width="20.625" style="29" customWidth="1"/>
    <col min="10237" max="10237" width="38.125" style="29" customWidth="1"/>
    <col min="10238" max="10238" width="17.25" style="29" customWidth="1"/>
    <col min="10239" max="10239" width="18.75" style="29" customWidth="1"/>
    <col min="10240" max="10240" width="19.625" style="29" customWidth="1"/>
    <col min="10241" max="10491" width="12.625" style="29"/>
    <col min="10492" max="10492" width="20.625" style="29" customWidth="1"/>
    <col min="10493" max="10493" width="38.125" style="29" customWidth="1"/>
    <col min="10494" max="10494" width="17.25" style="29" customWidth="1"/>
    <col min="10495" max="10495" width="18.75" style="29" customWidth="1"/>
    <col min="10496" max="10496" width="19.625" style="29" customWidth="1"/>
    <col min="10497" max="10747" width="12.625" style="29"/>
    <col min="10748" max="10748" width="20.625" style="29" customWidth="1"/>
    <col min="10749" max="10749" width="38.125" style="29" customWidth="1"/>
    <col min="10750" max="10750" width="17.25" style="29" customWidth="1"/>
    <col min="10751" max="10751" width="18.75" style="29" customWidth="1"/>
    <col min="10752" max="10752" width="19.625" style="29" customWidth="1"/>
    <col min="10753" max="11003" width="12.625" style="29"/>
    <col min="11004" max="11004" width="20.625" style="29" customWidth="1"/>
    <col min="11005" max="11005" width="38.125" style="29" customWidth="1"/>
    <col min="11006" max="11006" width="17.25" style="29" customWidth="1"/>
    <col min="11007" max="11007" width="18.75" style="29" customWidth="1"/>
    <col min="11008" max="11008" width="19.625" style="29" customWidth="1"/>
    <col min="11009" max="11259" width="12.625" style="29"/>
    <col min="11260" max="11260" width="20.625" style="29" customWidth="1"/>
    <col min="11261" max="11261" width="38.125" style="29" customWidth="1"/>
    <col min="11262" max="11262" width="17.25" style="29" customWidth="1"/>
    <col min="11263" max="11263" width="18.75" style="29" customWidth="1"/>
    <col min="11264" max="11264" width="19.625" style="29" customWidth="1"/>
    <col min="11265" max="11515" width="12.625" style="29"/>
    <col min="11516" max="11516" width="20.625" style="29" customWidth="1"/>
    <col min="11517" max="11517" width="38.125" style="29" customWidth="1"/>
    <col min="11518" max="11518" width="17.25" style="29" customWidth="1"/>
    <col min="11519" max="11519" width="18.75" style="29" customWidth="1"/>
    <col min="11520" max="11520" width="19.625" style="29" customWidth="1"/>
    <col min="11521" max="11771" width="12.625" style="29"/>
    <col min="11772" max="11772" width="20.625" style="29" customWidth="1"/>
    <col min="11773" max="11773" width="38.125" style="29" customWidth="1"/>
    <col min="11774" max="11774" width="17.25" style="29" customWidth="1"/>
    <col min="11775" max="11775" width="18.75" style="29" customWidth="1"/>
    <col min="11776" max="11776" width="19.625" style="29" customWidth="1"/>
    <col min="11777" max="12027" width="12.625" style="29"/>
    <col min="12028" max="12028" width="20.625" style="29" customWidth="1"/>
    <col min="12029" max="12029" width="38.125" style="29" customWidth="1"/>
    <col min="12030" max="12030" width="17.25" style="29" customWidth="1"/>
    <col min="12031" max="12031" width="18.75" style="29" customWidth="1"/>
    <col min="12032" max="12032" width="19.625" style="29" customWidth="1"/>
    <col min="12033" max="12283" width="12.625" style="29"/>
    <col min="12284" max="12284" width="20.625" style="29" customWidth="1"/>
    <col min="12285" max="12285" width="38.125" style="29" customWidth="1"/>
    <col min="12286" max="12286" width="17.25" style="29" customWidth="1"/>
    <col min="12287" max="12287" width="18.75" style="29" customWidth="1"/>
    <col min="12288" max="12288" width="19.625" style="29" customWidth="1"/>
    <col min="12289" max="12539" width="12.625" style="29"/>
    <col min="12540" max="12540" width="20.625" style="29" customWidth="1"/>
    <col min="12541" max="12541" width="38.125" style="29" customWidth="1"/>
    <col min="12542" max="12542" width="17.25" style="29" customWidth="1"/>
    <col min="12543" max="12543" width="18.75" style="29" customWidth="1"/>
    <col min="12544" max="12544" width="19.625" style="29" customWidth="1"/>
    <col min="12545" max="12795" width="12.625" style="29"/>
    <col min="12796" max="12796" width="20.625" style="29" customWidth="1"/>
    <col min="12797" max="12797" width="38.125" style="29" customWidth="1"/>
    <col min="12798" max="12798" width="17.25" style="29" customWidth="1"/>
    <col min="12799" max="12799" width="18.75" style="29" customWidth="1"/>
    <col min="12800" max="12800" width="19.625" style="29" customWidth="1"/>
    <col min="12801" max="13051" width="12.625" style="29"/>
    <col min="13052" max="13052" width="20.625" style="29" customWidth="1"/>
    <col min="13053" max="13053" width="38.125" style="29" customWidth="1"/>
    <col min="13054" max="13054" width="17.25" style="29" customWidth="1"/>
    <col min="13055" max="13055" width="18.75" style="29" customWidth="1"/>
    <col min="13056" max="13056" width="19.625" style="29" customWidth="1"/>
    <col min="13057" max="13307" width="12.625" style="29"/>
    <col min="13308" max="13308" width="20.625" style="29" customWidth="1"/>
    <col min="13309" max="13309" width="38.125" style="29" customWidth="1"/>
    <col min="13310" max="13310" width="17.25" style="29" customWidth="1"/>
    <col min="13311" max="13311" width="18.75" style="29" customWidth="1"/>
    <col min="13312" max="13312" width="19.625" style="29" customWidth="1"/>
    <col min="13313" max="13563" width="12.625" style="29"/>
    <col min="13564" max="13564" width="20.625" style="29" customWidth="1"/>
    <col min="13565" max="13565" width="38.125" style="29" customWidth="1"/>
    <col min="13566" max="13566" width="17.25" style="29" customWidth="1"/>
    <col min="13567" max="13567" width="18.75" style="29" customWidth="1"/>
    <col min="13568" max="13568" width="19.625" style="29" customWidth="1"/>
    <col min="13569" max="13819" width="12.625" style="29"/>
    <col min="13820" max="13820" width="20.625" style="29" customWidth="1"/>
    <col min="13821" max="13821" width="38.125" style="29" customWidth="1"/>
    <col min="13822" max="13822" width="17.25" style="29" customWidth="1"/>
    <col min="13823" max="13823" width="18.75" style="29" customWidth="1"/>
    <col min="13824" max="13824" width="19.625" style="29" customWidth="1"/>
    <col min="13825" max="14075" width="12.625" style="29"/>
    <col min="14076" max="14076" width="20.625" style="29" customWidth="1"/>
    <col min="14077" max="14077" width="38.125" style="29" customWidth="1"/>
    <col min="14078" max="14078" width="17.25" style="29" customWidth="1"/>
    <col min="14079" max="14079" width="18.75" style="29" customWidth="1"/>
    <col min="14080" max="14080" width="19.625" style="29" customWidth="1"/>
    <col min="14081" max="14331" width="12.625" style="29"/>
    <col min="14332" max="14332" width="20.625" style="29" customWidth="1"/>
    <col min="14333" max="14333" width="38.125" style="29" customWidth="1"/>
    <col min="14334" max="14334" width="17.25" style="29" customWidth="1"/>
    <col min="14335" max="14335" width="18.75" style="29" customWidth="1"/>
    <col min="14336" max="14336" width="19.625" style="29" customWidth="1"/>
    <col min="14337" max="14587" width="12.625" style="29"/>
    <col min="14588" max="14588" width="20.625" style="29" customWidth="1"/>
    <col min="14589" max="14589" width="38.125" style="29" customWidth="1"/>
    <col min="14590" max="14590" width="17.25" style="29" customWidth="1"/>
    <col min="14591" max="14591" width="18.75" style="29" customWidth="1"/>
    <col min="14592" max="14592" width="19.625" style="29" customWidth="1"/>
    <col min="14593" max="14843" width="12.625" style="29"/>
    <col min="14844" max="14844" width="20.625" style="29" customWidth="1"/>
    <col min="14845" max="14845" width="38.125" style="29" customWidth="1"/>
    <col min="14846" max="14846" width="17.25" style="29" customWidth="1"/>
    <col min="14847" max="14847" width="18.75" style="29" customWidth="1"/>
    <col min="14848" max="14848" width="19.625" style="29" customWidth="1"/>
    <col min="14849" max="15099" width="12.625" style="29"/>
    <col min="15100" max="15100" width="20.625" style="29" customWidth="1"/>
    <col min="15101" max="15101" width="38.125" style="29" customWidth="1"/>
    <col min="15102" max="15102" width="17.25" style="29" customWidth="1"/>
    <col min="15103" max="15103" width="18.75" style="29" customWidth="1"/>
    <col min="15104" max="15104" width="19.625" style="29" customWidth="1"/>
    <col min="15105" max="15355" width="12.625" style="29"/>
    <col min="15356" max="15356" width="20.625" style="29" customWidth="1"/>
    <col min="15357" max="15357" width="38.125" style="29" customWidth="1"/>
    <col min="15358" max="15358" width="17.25" style="29" customWidth="1"/>
    <col min="15359" max="15359" width="18.75" style="29" customWidth="1"/>
    <col min="15360" max="15360" width="19.625" style="29" customWidth="1"/>
    <col min="15361" max="15611" width="12.625" style="29"/>
    <col min="15612" max="15612" width="20.625" style="29" customWidth="1"/>
    <col min="15613" max="15613" width="38.125" style="29" customWidth="1"/>
    <col min="15614" max="15614" width="17.25" style="29" customWidth="1"/>
    <col min="15615" max="15615" width="18.75" style="29" customWidth="1"/>
    <col min="15616" max="15616" width="19.625" style="29" customWidth="1"/>
    <col min="15617" max="15867" width="12.625" style="29"/>
    <col min="15868" max="15868" width="20.625" style="29" customWidth="1"/>
    <col min="15869" max="15869" width="38.125" style="29" customWidth="1"/>
    <col min="15870" max="15870" width="17.25" style="29" customWidth="1"/>
    <col min="15871" max="15871" width="18.75" style="29" customWidth="1"/>
    <col min="15872" max="15872" width="19.625" style="29" customWidth="1"/>
    <col min="15873" max="16123" width="12.625" style="29"/>
    <col min="16124" max="16124" width="20.625" style="29" customWidth="1"/>
    <col min="16125" max="16125" width="38.125" style="29" customWidth="1"/>
    <col min="16126" max="16126" width="17.25" style="29" customWidth="1"/>
    <col min="16127" max="16127" width="18.75" style="29" customWidth="1"/>
    <col min="16128" max="16128" width="19.625" style="29" customWidth="1"/>
    <col min="16129" max="16384" width="12.625" style="29"/>
  </cols>
  <sheetData>
    <row r="1" spans="1:7" ht="20.100000000000001" customHeight="1">
      <c r="A1" s="27" t="s">
        <v>1047</v>
      </c>
      <c r="B1" s="27"/>
    </row>
    <row r="2" spans="1:7" ht="17.25" customHeight="1">
      <c r="C2" s="6"/>
      <c r="D2" s="58"/>
    </row>
    <row r="3" spans="1:7" ht="20.100000000000001" customHeight="1">
      <c r="A3" s="2083">
        <f>'미지급금(법인카드,자동이체)'!A3</f>
        <v>45504</v>
      </c>
      <c r="B3" s="2157"/>
      <c r="C3" s="2083"/>
      <c r="D3" s="30"/>
      <c r="E3" s="31" t="s">
        <v>0</v>
      </c>
    </row>
    <row r="4" spans="1:7" ht="20.100000000000001" customHeight="1">
      <c r="A4" s="76" t="s">
        <v>1</v>
      </c>
      <c r="B4" s="314" t="s">
        <v>182</v>
      </c>
      <c r="C4" s="76" t="s">
        <v>2</v>
      </c>
      <c r="D4" s="61" t="s">
        <v>3</v>
      </c>
      <c r="E4" s="62" t="s">
        <v>4</v>
      </c>
    </row>
    <row r="5" spans="1:7" ht="21.95" customHeight="1">
      <c r="A5" s="261" t="s">
        <v>1290</v>
      </c>
      <c r="B5" s="1238" t="s">
        <v>1291</v>
      </c>
      <c r="C5" s="1776" t="s">
        <v>1292</v>
      </c>
      <c r="D5" s="305">
        <v>2889375000</v>
      </c>
      <c r="E5" s="64"/>
    </row>
    <row r="6" spans="1:7" ht="21.95" customHeight="1">
      <c r="A6" s="261"/>
      <c r="B6" s="261"/>
      <c r="C6" s="315"/>
      <c r="D6" s="305"/>
      <c r="E6" s="64"/>
    </row>
    <row r="7" spans="1:7" ht="21.95" customHeight="1">
      <c r="A7" s="261"/>
      <c r="B7" s="261"/>
      <c r="C7" s="315"/>
      <c r="D7" s="305"/>
      <c r="E7" s="64"/>
    </row>
    <row r="8" spans="1:7" ht="21.95" customHeight="1">
      <c r="A8" s="261"/>
      <c r="B8" s="261"/>
      <c r="C8" s="315"/>
      <c r="D8" s="305"/>
      <c r="E8" s="64"/>
      <c r="G8" s="320"/>
    </row>
    <row r="9" spans="1:7" ht="21.95" customHeight="1">
      <c r="A9" s="87"/>
      <c r="B9" s="261"/>
      <c r="C9" s="59"/>
      <c r="D9" s="64"/>
      <c r="E9" s="64"/>
    </row>
    <row r="10" spans="1:7" ht="21.95" customHeight="1">
      <c r="A10" s="261"/>
      <c r="B10" s="261"/>
      <c r="C10" s="315"/>
      <c r="D10" s="305"/>
      <c r="E10" s="64"/>
    </row>
    <row r="11" spans="1:7" ht="21.95" customHeight="1">
      <c r="A11" s="261"/>
      <c r="B11" s="261"/>
      <c r="C11" s="315"/>
      <c r="D11" s="305"/>
      <c r="E11" s="64"/>
    </row>
    <row r="12" spans="1:7" ht="21.95" customHeight="1">
      <c r="A12" s="261"/>
      <c r="B12" s="261"/>
      <c r="C12" s="315"/>
      <c r="D12" s="305"/>
      <c r="E12" s="64"/>
      <c r="G12" s="322"/>
    </row>
    <row r="13" spans="1:7" ht="21.95" customHeight="1">
      <c r="A13" s="261"/>
      <c r="B13" s="261"/>
      <c r="C13" s="315"/>
      <c r="D13" s="305"/>
      <c r="E13" s="64"/>
    </row>
    <row r="14" spans="1:7" ht="21.95" customHeight="1">
      <c r="A14" s="87"/>
      <c r="B14" s="261"/>
      <c r="C14" s="85"/>
      <c r="D14" s="64"/>
      <c r="E14" s="64"/>
    </row>
    <row r="15" spans="1:7" ht="21.95" customHeight="1">
      <c r="A15" s="261"/>
      <c r="B15" s="261"/>
      <c r="C15" s="317"/>
      <c r="D15" s="305"/>
      <c r="E15" s="64"/>
    </row>
    <row r="16" spans="1:7" ht="21.95" customHeight="1">
      <c r="A16" s="87"/>
      <c r="B16" s="261"/>
      <c r="C16" s="85"/>
      <c r="D16" s="64"/>
      <c r="E16" s="64"/>
    </row>
    <row r="17" spans="1:7" ht="21.95" customHeight="1">
      <c r="A17" s="261"/>
      <c r="B17" s="261"/>
      <c r="C17" s="317"/>
      <c r="D17" s="305"/>
      <c r="E17" s="64"/>
    </row>
    <row r="18" spans="1:7" ht="21.95" customHeight="1">
      <c r="A18" s="377"/>
      <c r="B18" s="377"/>
      <c r="C18" s="407"/>
      <c r="D18" s="372"/>
      <c r="E18" s="372"/>
    </row>
    <row r="19" spans="1:7" ht="21.95" customHeight="1">
      <c r="A19" s="377"/>
      <c r="B19" s="377"/>
      <c r="C19" s="407"/>
      <c r="D19" s="372"/>
      <c r="E19" s="372"/>
    </row>
    <row r="20" spans="1:7" ht="21.95" customHeight="1">
      <c r="A20" s="261"/>
      <c r="B20" s="261"/>
      <c r="C20" s="317"/>
      <c r="D20" s="305"/>
      <c r="E20" s="64"/>
    </row>
    <row r="21" spans="1:7" ht="21.95" customHeight="1">
      <c r="A21" s="87"/>
      <c r="B21" s="261"/>
      <c r="C21" s="59"/>
      <c r="D21" s="64"/>
      <c r="E21" s="64"/>
      <c r="G21" s="321"/>
    </row>
    <row r="22" spans="1:7" ht="20.100000000000001" customHeight="1">
      <c r="A22" s="76" t="s">
        <v>5</v>
      </c>
      <c r="B22" s="314"/>
      <c r="C22" s="72"/>
      <c r="D22" s="73">
        <f>SUM(D5:D21)</f>
        <v>2889375000</v>
      </c>
      <c r="E22" s="60"/>
    </row>
    <row r="23" spans="1:7" ht="20.100000000000001" customHeight="1">
      <c r="A23" s="2" t="str">
        <f>'미지급금(법인카드,자동이체)'!A19</f>
        <v>김천에너지서비스㈜</v>
      </c>
      <c r="B23" s="2"/>
      <c r="G23" s="29">
        <f>SUM(G7:G21)</f>
        <v>0</v>
      </c>
    </row>
    <row r="24" spans="1:7" ht="20.100000000000001" customHeight="1">
      <c r="G24" s="29">
        <f>D22-G23</f>
        <v>2889375000</v>
      </c>
    </row>
    <row r="25" spans="1:7" ht="20.100000000000001" hidden="1" customHeight="1"/>
    <row r="26" spans="1:7" ht="20.100000000000001" hidden="1" customHeight="1">
      <c r="E26" s="79" t="s">
        <v>184</v>
      </c>
      <c r="F26" s="79"/>
      <c r="G26" s="79"/>
    </row>
    <row r="27" spans="1:7" ht="20.100000000000001" hidden="1" customHeight="1"/>
    <row r="28" spans="1:7" ht="20.100000000000001" hidden="1" customHeight="1"/>
    <row r="29" spans="1:7" ht="20.100000000000001" hidden="1" customHeight="1"/>
  </sheetData>
  <mergeCells count="1">
    <mergeCell ref="A3:C3"/>
  </mergeCells>
  <phoneticPr fontId="2" type="noConversion"/>
  <printOptions horizontalCentered="1"/>
  <pageMargins left="0.39370078740157483" right="0.39370078740157483" top="0.45" bottom="0.43" header="0.39370078740157483" footer="0.39370078740157483"/>
  <pageSetup paperSize="9" orientation="landscape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zoomScaleSheetLayoutView="100" workbookViewId="0"/>
  </sheetViews>
  <sheetFormatPr defaultColWidth="12.625" defaultRowHeight="20.100000000000001" customHeight="1"/>
  <cols>
    <col min="1" max="1" width="17.5" style="29" customWidth="1"/>
    <col min="2" max="2" width="20.25" style="29" customWidth="1"/>
    <col min="3" max="3" width="33.875" style="143" customWidth="1"/>
    <col min="4" max="4" width="25.125" style="29" customWidth="1"/>
    <col min="5" max="5" width="28" style="29" customWidth="1"/>
    <col min="6" max="6" width="12.625" style="29"/>
    <col min="7" max="7" width="14.25" style="29" bestFit="1" customWidth="1"/>
    <col min="8" max="251" width="12.625" style="29"/>
    <col min="252" max="252" width="20.625" style="29" customWidth="1"/>
    <col min="253" max="253" width="38.125" style="29" customWidth="1"/>
    <col min="254" max="254" width="17.25" style="29" customWidth="1"/>
    <col min="255" max="255" width="18.75" style="29" customWidth="1"/>
    <col min="256" max="256" width="19.625" style="29" customWidth="1"/>
    <col min="257" max="507" width="12.625" style="29"/>
    <col min="508" max="508" width="20.625" style="29" customWidth="1"/>
    <col min="509" max="509" width="38.125" style="29" customWidth="1"/>
    <col min="510" max="510" width="17.25" style="29" customWidth="1"/>
    <col min="511" max="511" width="18.75" style="29" customWidth="1"/>
    <col min="512" max="512" width="19.625" style="29" customWidth="1"/>
    <col min="513" max="763" width="12.625" style="29"/>
    <col min="764" max="764" width="20.625" style="29" customWidth="1"/>
    <col min="765" max="765" width="38.125" style="29" customWidth="1"/>
    <col min="766" max="766" width="17.25" style="29" customWidth="1"/>
    <col min="767" max="767" width="18.75" style="29" customWidth="1"/>
    <col min="768" max="768" width="19.625" style="29" customWidth="1"/>
    <col min="769" max="1019" width="12.625" style="29"/>
    <col min="1020" max="1020" width="20.625" style="29" customWidth="1"/>
    <col min="1021" max="1021" width="38.125" style="29" customWidth="1"/>
    <col min="1022" max="1022" width="17.25" style="29" customWidth="1"/>
    <col min="1023" max="1023" width="18.75" style="29" customWidth="1"/>
    <col min="1024" max="1024" width="19.625" style="29" customWidth="1"/>
    <col min="1025" max="1275" width="12.625" style="29"/>
    <col min="1276" max="1276" width="20.625" style="29" customWidth="1"/>
    <col min="1277" max="1277" width="38.125" style="29" customWidth="1"/>
    <col min="1278" max="1278" width="17.25" style="29" customWidth="1"/>
    <col min="1279" max="1279" width="18.75" style="29" customWidth="1"/>
    <col min="1280" max="1280" width="19.625" style="29" customWidth="1"/>
    <col min="1281" max="1531" width="12.625" style="29"/>
    <col min="1532" max="1532" width="20.625" style="29" customWidth="1"/>
    <col min="1533" max="1533" width="38.125" style="29" customWidth="1"/>
    <col min="1534" max="1534" width="17.25" style="29" customWidth="1"/>
    <col min="1535" max="1535" width="18.75" style="29" customWidth="1"/>
    <col min="1536" max="1536" width="19.625" style="29" customWidth="1"/>
    <col min="1537" max="1787" width="12.625" style="29"/>
    <col min="1788" max="1788" width="20.625" style="29" customWidth="1"/>
    <col min="1789" max="1789" width="38.125" style="29" customWidth="1"/>
    <col min="1790" max="1790" width="17.25" style="29" customWidth="1"/>
    <col min="1791" max="1791" width="18.75" style="29" customWidth="1"/>
    <col min="1792" max="1792" width="19.625" style="29" customWidth="1"/>
    <col min="1793" max="2043" width="12.625" style="29"/>
    <col min="2044" max="2044" width="20.625" style="29" customWidth="1"/>
    <col min="2045" max="2045" width="38.125" style="29" customWidth="1"/>
    <col min="2046" max="2046" width="17.25" style="29" customWidth="1"/>
    <col min="2047" max="2047" width="18.75" style="29" customWidth="1"/>
    <col min="2048" max="2048" width="19.625" style="29" customWidth="1"/>
    <col min="2049" max="2299" width="12.625" style="29"/>
    <col min="2300" max="2300" width="20.625" style="29" customWidth="1"/>
    <col min="2301" max="2301" width="38.125" style="29" customWidth="1"/>
    <col min="2302" max="2302" width="17.25" style="29" customWidth="1"/>
    <col min="2303" max="2303" width="18.75" style="29" customWidth="1"/>
    <col min="2304" max="2304" width="19.625" style="29" customWidth="1"/>
    <col min="2305" max="2555" width="12.625" style="29"/>
    <col min="2556" max="2556" width="20.625" style="29" customWidth="1"/>
    <col min="2557" max="2557" width="38.125" style="29" customWidth="1"/>
    <col min="2558" max="2558" width="17.25" style="29" customWidth="1"/>
    <col min="2559" max="2559" width="18.75" style="29" customWidth="1"/>
    <col min="2560" max="2560" width="19.625" style="29" customWidth="1"/>
    <col min="2561" max="2811" width="12.625" style="29"/>
    <col min="2812" max="2812" width="20.625" style="29" customWidth="1"/>
    <col min="2813" max="2813" width="38.125" style="29" customWidth="1"/>
    <col min="2814" max="2814" width="17.25" style="29" customWidth="1"/>
    <col min="2815" max="2815" width="18.75" style="29" customWidth="1"/>
    <col min="2816" max="2816" width="19.625" style="29" customWidth="1"/>
    <col min="2817" max="3067" width="12.625" style="29"/>
    <col min="3068" max="3068" width="20.625" style="29" customWidth="1"/>
    <col min="3069" max="3069" width="38.125" style="29" customWidth="1"/>
    <col min="3070" max="3070" width="17.25" style="29" customWidth="1"/>
    <col min="3071" max="3071" width="18.75" style="29" customWidth="1"/>
    <col min="3072" max="3072" width="19.625" style="29" customWidth="1"/>
    <col min="3073" max="3323" width="12.625" style="29"/>
    <col min="3324" max="3324" width="20.625" style="29" customWidth="1"/>
    <col min="3325" max="3325" width="38.125" style="29" customWidth="1"/>
    <col min="3326" max="3326" width="17.25" style="29" customWidth="1"/>
    <col min="3327" max="3327" width="18.75" style="29" customWidth="1"/>
    <col min="3328" max="3328" width="19.625" style="29" customWidth="1"/>
    <col min="3329" max="3579" width="12.625" style="29"/>
    <col min="3580" max="3580" width="20.625" style="29" customWidth="1"/>
    <col min="3581" max="3581" width="38.125" style="29" customWidth="1"/>
    <col min="3582" max="3582" width="17.25" style="29" customWidth="1"/>
    <col min="3583" max="3583" width="18.75" style="29" customWidth="1"/>
    <col min="3584" max="3584" width="19.625" style="29" customWidth="1"/>
    <col min="3585" max="3835" width="12.625" style="29"/>
    <col min="3836" max="3836" width="20.625" style="29" customWidth="1"/>
    <col min="3837" max="3837" width="38.125" style="29" customWidth="1"/>
    <col min="3838" max="3838" width="17.25" style="29" customWidth="1"/>
    <col min="3839" max="3839" width="18.75" style="29" customWidth="1"/>
    <col min="3840" max="3840" width="19.625" style="29" customWidth="1"/>
    <col min="3841" max="4091" width="12.625" style="29"/>
    <col min="4092" max="4092" width="20.625" style="29" customWidth="1"/>
    <col min="4093" max="4093" width="38.125" style="29" customWidth="1"/>
    <col min="4094" max="4094" width="17.25" style="29" customWidth="1"/>
    <col min="4095" max="4095" width="18.75" style="29" customWidth="1"/>
    <col min="4096" max="4096" width="19.625" style="29" customWidth="1"/>
    <col min="4097" max="4347" width="12.625" style="29"/>
    <col min="4348" max="4348" width="20.625" style="29" customWidth="1"/>
    <col min="4349" max="4349" width="38.125" style="29" customWidth="1"/>
    <col min="4350" max="4350" width="17.25" style="29" customWidth="1"/>
    <col min="4351" max="4351" width="18.75" style="29" customWidth="1"/>
    <col min="4352" max="4352" width="19.625" style="29" customWidth="1"/>
    <col min="4353" max="4603" width="12.625" style="29"/>
    <col min="4604" max="4604" width="20.625" style="29" customWidth="1"/>
    <col min="4605" max="4605" width="38.125" style="29" customWidth="1"/>
    <col min="4606" max="4606" width="17.25" style="29" customWidth="1"/>
    <col min="4607" max="4607" width="18.75" style="29" customWidth="1"/>
    <col min="4608" max="4608" width="19.625" style="29" customWidth="1"/>
    <col min="4609" max="4859" width="12.625" style="29"/>
    <col min="4860" max="4860" width="20.625" style="29" customWidth="1"/>
    <col min="4861" max="4861" width="38.125" style="29" customWidth="1"/>
    <col min="4862" max="4862" width="17.25" style="29" customWidth="1"/>
    <col min="4863" max="4863" width="18.75" style="29" customWidth="1"/>
    <col min="4864" max="4864" width="19.625" style="29" customWidth="1"/>
    <col min="4865" max="5115" width="12.625" style="29"/>
    <col min="5116" max="5116" width="20.625" style="29" customWidth="1"/>
    <col min="5117" max="5117" width="38.125" style="29" customWidth="1"/>
    <col min="5118" max="5118" width="17.25" style="29" customWidth="1"/>
    <col min="5119" max="5119" width="18.75" style="29" customWidth="1"/>
    <col min="5120" max="5120" width="19.625" style="29" customWidth="1"/>
    <col min="5121" max="5371" width="12.625" style="29"/>
    <col min="5372" max="5372" width="20.625" style="29" customWidth="1"/>
    <col min="5373" max="5373" width="38.125" style="29" customWidth="1"/>
    <col min="5374" max="5374" width="17.25" style="29" customWidth="1"/>
    <col min="5375" max="5375" width="18.75" style="29" customWidth="1"/>
    <col min="5376" max="5376" width="19.625" style="29" customWidth="1"/>
    <col min="5377" max="5627" width="12.625" style="29"/>
    <col min="5628" max="5628" width="20.625" style="29" customWidth="1"/>
    <col min="5629" max="5629" width="38.125" style="29" customWidth="1"/>
    <col min="5630" max="5630" width="17.25" style="29" customWidth="1"/>
    <col min="5631" max="5631" width="18.75" style="29" customWidth="1"/>
    <col min="5632" max="5632" width="19.625" style="29" customWidth="1"/>
    <col min="5633" max="5883" width="12.625" style="29"/>
    <col min="5884" max="5884" width="20.625" style="29" customWidth="1"/>
    <col min="5885" max="5885" width="38.125" style="29" customWidth="1"/>
    <col min="5886" max="5886" width="17.25" style="29" customWidth="1"/>
    <col min="5887" max="5887" width="18.75" style="29" customWidth="1"/>
    <col min="5888" max="5888" width="19.625" style="29" customWidth="1"/>
    <col min="5889" max="6139" width="12.625" style="29"/>
    <col min="6140" max="6140" width="20.625" style="29" customWidth="1"/>
    <col min="6141" max="6141" width="38.125" style="29" customWidth="1"/>
    <col min="6142" max="6142" width="17.25" style="29" customWidth="1"/>
    <col min="6143" max="6143" width="18.75" style="29" customWidth="1"/>
    <col min="6144" max="6144" width="19.625" style="29" customWidth="1"/>
    <col min="6145" max="6395" width="12.625" style="29"/>
    <col min="6396" max="6396" width="20.625" style="29" customWidth="1"/>
    <col min="6397" max="6397" width="38.125" style="29" customWidth="1"/>
    <col min="6398" max="6398" width="17.25" style="29" customWidth="1"/>
    <col min="6399" max="6399" width="18.75" style="29" customWidth="1"/>
    <col min="6400" max="6400" width="19.625" style="29" customWidth="1"/>
    <col min="6401" max="6651" width="12.625" style="29"/>
    <col min="6652" max="6652" width="20.625" style="29" customWidth="1"/>
    <col min="6653" max="6653" width="38.125" style="29" customWidth="1"/>
    <col min="6654" max="6654" width="17.25" style="29" customWidth="1"/>
    <col min="6655" max="6655" width="18.75" style="29" customWidth="1"/>
    <col min="6656" max="6656" width="19.625" style="29" customWidth="1"/>
    <col min="6657" max="6907" width="12.625" style="29"/>
    <col min="6908" max="6908" width="20.625" style="29" customWidth="1"/>
    <col min="6909" max="6909" width="38.125" style="29" customWidth="1"/>
    <col min="6910" max="6910" width="17.25" style="29" customWidth="1"/>
    <col min="6911" max="6911" width="18.75" style="29" customWidth="1"/>
    <col min="6912" max="6912" width="19.625" style="29" customWidth="1"/>
    <col min="6913" max="7163" width="12.625" style="29"/>
    <col min="7164" max="7164" width="20.625" style="29" customWidth="1"/>
    <col min="7165" max="7165" width="38.125" style="29" customWidth="1"/>
    <col min="7166" max="7166" width="17.25" style="29" customWidth="1"/>
    <col min="7167" max="7167" width="18.75" style="29" customWidth="1"/>
    <col min="7168" max="7168" width="19.625" style="29" customWidth="1"/>
    <col min="7169" max="7419" width="12.625" style="29"/>
    <col min="7420" max="7420" width="20.625" style="29" customWidth="1"/>
    <col min="7421" max="7421" width="38.125" style="29" customWidth="1"/>
    <col min="7422" max="7422" width="17.25" style="29" customWidth="1"/>
    <col min="7423" max="7423" width="18.75" style="29" customWidth="1"/>
    <col min="7424" max="7424" width="19.625" style="29" customWidth="1"/>
    <col min="7425" max="7675" width="12.625" style="29"/>
    <col min="7676" max="7676" width="20.625" style="29" customWidth="1"/>
    <col min="7677" max="7677" width="38.125" style="29" customWidth="1"/>
    <col min="7678" max="7678" width="17.25" style="29" customWidth="1"/>
    <col min="7679" max="7679" width="18.75" style="29" customWidth="1"/>
    <col min="7680" max="7680" width="19.625" style="29" customWidth="1"/>
    <col min="7681" max="7931" width="12.625" style="29"/>
    <col min="7932" max="7932" width="20.625" style="29" customWidth="1"/>
    <col min="7933" max="7933" width="38.125" style="29" customWidth="1"/>
    <col min="7934" max="7934" width="17.25" style="29" customWidth="1"/>
    <col min="7935" max="7935" width="18.75" style="29" customWidth="1"/>
    <col min="7936" max="7936" width="19.625" style="29" customWidth="1"/>
    <col min="7937" max="8187" width="12.625" style="29"/>
    <col min="8188" max="8188" width="20.625" style="29" customWidth="1"/>
    <col min="8189" max="8189" width="38.125" style="29" customWidth="1"/>
    <col min="8190" max="8190" width="17.25" style="29" customWidth="1"/>
    <col min="8191" max="8191" width="18.75" style="29" customWidth="1"/>
    <col min="8192" max="8192" width="19.625" style="29" customWidth="1"/>
    <col min="8193" max="8443" width="12.625" style="29"/>
    <col min="8444" max="8444" width="20.625" style="29" customWidth="1"/>
    <col min="8445" max="8445" width="38.125" style="29" customWidth="1"/>
    <col min="8446" max="8446" width="17.25" style="29" customWidth="1"/>
    <col min="8447" max="8447" width="18.75" style="29" customWidth="1"/>
    <col min="8448" max="8448" width="19.625" style="29" customWidth="1"/>
    <col min="8449" max="8699" width="12.625" style="29"/>
    <col min="8700" max="8700" width="20.625" style="29" customWidth="1"/>
    <col min="8701" max="8701" width="38.125" style="29" customWidth="1"/>
    <col min="8702" max="8702" width="17.25" style="29" customWidth="1"/>
    <col min="8703" max="8703" width="18.75" style="29" customWidth="1"/>
    <col min="8704" max="8704" width="19.625" style="29" customWidth="1"/>
    <col min="8705" max="8955" width="12.625" style="29"/>
    <col min="8956" max="8956" width="20.625" style="29" customWidth="1"/>
    <col min="8957" max="8957" width="38.125" style="29" customWidth="1"/>
    <col min="8958" max="8958" width="17.25" style="29" customWidth="1"/>
    <col min="8959" max="8959" width="18.75" style="29" customWidth="1"/>
    <col min="8960" max="8960" width="19.625" style="29" customWidth="1"/>
    <col min="8961" max="9211" width="12.625" style="29"/>
    <col min="9212" max="9212" width="20.625" style="29" customWidth="1"/>
    <col min="9213" max="9213" width="38.125" style="29" customWidth="1"/>
    <col min="9214" max="9214" width="17.25" style="29" customWidth="1"/>
    <col min="9215" max="9215" width="18.75" style="29" customWidth="1"/>
    <col min="9216" max="9216" width="19.625" style="29" customWidth="1"/>
    <col min="9217" max="9467" width="12.625" style="29"/>
    <col min="9468" max="9468" width="20.625" style="29" customWidth="1"/>
    <col min="9469" max="9469" width="38.125" style="29" customWidth="1"/>
    <col min="9470" max="9470" width="17.25" style="29" customWidth="1"/>
    <col min="9471" max="9471" width="18.75" style="29" customWidth="1"/>
    <col min="9472" max="9472" width="19.625" style="29" customWidth="1"/>
    <col min="9473" max="9723" width="12.625" style="29"/>
    <col min="9724" max="9724" width="20.625" style="29" customWidth="1"/>
    <col min="9725" max="9725" width="38.125" style="29" customWidth="1"/>
    <col min="9726" max="9726" width="17.25" style="29" customWidth="1"/>
    <col min="9727" max="9727" width="18.75" style="29" customWidth="1"/>
    <col min="9728" max="9728" width="19.625" style="29" customWidth="1"/>
    <col min="9729" max="9979" width="12.625" style="29"/>
    <col min="9980" max="9980" width="20.625" style="29" customWidth="1"/>
    <col min="9981" max="9981" width="38.125" style="29" customWidth="1"/>
    <col min="9982" max="9982" width="17.25" style="29" customWidth="1"/>
    <col min="9983" max="9983" width="18.75" style="29" customWidth="1"/>
    <col min="9984" max="9984" width="19.625" style="29" customWidth="1"/>
    <col min="9985" max="10235" width="12.625" style="29"/>
    <col min="10236" max="10236" width="20.625" style="29" customWidth="1"/>
    <col min="10237" max="10237" width="38.125" style="29" customWidth="1"/>
    <col min="10238" max="10238" width="17.25" style="29" customWidth="1"/>
    <col min="10239" max="10239" width="18.75" style="29" customWidth="1"/>
    <col min="10240" max="10240" width="19.625" style="29" customWidth="1"/>
    <col min="10241" max="10491" width="12.625" style="29"/>
    <col min="10492" max="10492" width="20.625" style="29" customWidth="1"/>
    <col min="10493" max="10493" width="38.125" style="29" customWidth="1"/>
    <col min="10494" max="10494" width="17.25" style="29" customWidth="1"/>
    <col min="10495" max="10495" width="18.75" style="29" customWidth="1"/>
    <col min="10496" max="10496" width="19.625" style="29" customWidth="1"/>
    <col min="10497" max="10747" width="12.625" style="29"/>
    <col min="10748" max="10748" width="20.625" style="29" customWidth="1"/>
    <col min="10749" max="10749" width="38.125" style="29" customWidth="1"/>
    <col min="10750" max="10750" width="17.25" style="29" customWidth="1"/>
    <col min="10751" max="10751" width="18.75" style="29" customWidth="1"/>
    <col min="10752" max="10752" width="19.625" style="29" customWidth="1"/>
    <col min="10753" max="11003" width="12.625" style="29"/>
    <col min="11004" max="11004" width="20.625" style="29" customWidth="1"/>
    <col min="11005" max="11005" width="38.125" style="29" customWidth="1"/>
    <col min="11006" max="11006" width="17.25" style="29" customWidth="1"/>
    <col min="11007" max="11007" width="18.75" style="29" customWidth="1"/>
    <col min="11008" max="11008" width="19.625" style="29" customWidth="1"/>
    <col min="11009" max="11259" width="12.625" style="29"/>
    <col min="11260" max="11260" width="20.625" style="29" customWidth="1"/>
    <col min="11261" max="11261" width="38.125" style="29" customWidth="1"/>
    <col min="11262" max="11262" width="17.25" style="29" customWidth="1"/>
    <col min="11263" max="11263" width="18.75" style="29" customWidth="1"/>
    <col min="11264" max="11264" width="19.625" style="29" customWidth="1"/>
    <col min="11265" max="11515" width="12.625" style="29"/>
    <col min="11516" max="11516" width="20.625" style="29" customWidth="1"/>
    <col min="11517" max="11517" width="38.125" style="29" customWidth="1"/>
    <col min="11518" max="11518" width="17.25" style="29" customWidth="1"/>
    <col min="11519" max="11519" width="18.75" style="29" customWidth="1"/>
    <col min="11520" max="11520" width="19.625" style="29" customWidth="1"/>
    <col min="11521" max="11771" width="12.625" style="29"/>
    <col min="11772" max="11772" width="20.625" style="29" customWidth="1"/>
    <col min="11773" max="11773" width="38.125" style="29" customWidth="1"/>
    <col min="11774" max="11774" width="17.25" style="29" customWidth="1"/>
    <col min="11775" max="11775" width="18.75" style="29" customWidth="1"/>
    <col min="11776" max="11776" width="19.625" style="29" customWidth="1"/>
    <col min="11777" max="12027" width="12.625" style="29"/>
    <col min="12028" max="12028" width="20.625" style="29" customWidth="1"/>
    <col min="12029" max="12029" width="38.125" style="29" customWidth="1"/>
    <col min="12030" max="12030" width="17.25" style="29" customWidth="1"/>
    <col min="12031" max="12031" width="18.75" style="29" customWidth="1"/>
    <col min="12032" max="12032" width="19.625" style="29" customWidth="1"/>
    <col min="12033" max="12283" width="12.625" style="29"/>
    <col min="12284" max="12284" width="20.625" style="29" customWidth="1"/>
    <col min="12285" max="12285" width="38.125" style="29" customWidth="1"/>
    <col min="12286" max="12286" width="17.25" style="29" customWidth="1"/>
    <col min="12287" max="12287" width="18.75" style="29" customWidth="1"/>
    <col min="12288" max="12288" width="19.625" style="29" customWidth="1"/>
    <col min="12289" max="12539" width="12.625" style="29"/>
    <col min="12540" max="12540" width="20.625" style="29" customWidth="1"/>
    <col min="12541" max="12541" width="38.125" style="29" customWidth="1"/>
    <col min="12542" max="12542" width="17.25" style="29" customWidth="1"/>
    <col min="12543" max="12543" width="18.75" style="29" customWidth="1"/>
    <col min="12544" max="12544" width="19.625" style="29" customWidth="1"/>
    <col min="12545" max="12795" width="12.625" style="29"/>
    <col min="12796" max="12796" width="20.625" style="29" customWidth="1"/>
    <col min="12797" max="12797" width="38.125" style="29" customWidth="1"/>
    <col min="12798" max="12798" width="17.25" style="29" customWidth="1"/>
    <col min="12799" max="12799" width="18.75" style="29" customWidth="1"/>
    <col min="12800" max="12800" width="19.625" style="29" customWidth="1"/>
    <col min="12801" max="13051" width="12.625" style="29"/>
    <col min="13052" max="13052" width="20.625" style="29" customWidth="1"/>
    <col min="13053" max="13053" width="38.125" style="29" customWidth="1"/>
    <col min="13054" max="13054" width="17.25" style="29" customWidth="1"/>
    <col min="13055" max="13055" width="18.75" style="29" customWidth="1"/>
    <col min="13056" max="13056" width="19.625" style="29" customWidth="1"/>
    <col min="13057" max="13307" width="12.625" style="29"/>
    <col min="13308" max="13308" width="20.625" style="29" customWidth="1"/>
    <col min="13309" max="13309" width="38.125" style="29" customWidth="1"/>
    <col min="13310" max="13310" width="17.25" style="29" customWidth="1"/>
    <col min="13311" max="13311" width="18.75" style="29" customWidth="1"/>
    <col min="13312" max="13312" width="19.625" style="29" customWidth="1"/>
    <col min="13313" max="13563" width="12.625" style="29"/>
    <col min="13564" max="13564" width="20.625" style="29" customWidth="1"/>
    <col min="13565" max="13565" width="38.125" style="29" customWidth="1"/>
    <col min="13566" max="13566" width="17.25" style="29" customWidth="1"/>
    <col min="13567" max="13567" width="18.75" style="29" customWidth="1"/>
    <col min="13568" max="13568" width="19.625" style="29" customWidth="1"/>
    <col min="13569" max="13819" width="12.625" style="29"/>
    <col min="13820" max="13820" width="20.625" style="29" customWidth="1"/>
    <col min="13821" max="13821" width="38.125" style="29" customWidth="1"/>
    <col min="13822" max="13822" width="17.25" style="29" customWidth="1"/>
    <col min="13823" max="13823" width="18.75" style="29" customWidth="1"/>
    <col min="13824" max="13824" width="19.625" style="29" customWidth="1"/>
    <col min="13825" max="14075" width="12.625" style="29"/>
    <col min="14076" max="14076" width="20.625" style="29" customWidth="1"/>
    <col min="14077" max="14077" width="38.125" style="29" customWidth="1"/>
    <col min="14078" max="14078" width="17.25" style="29" customWidth="1"/>
    <col min="14079" max="14079" width="18.75" style="29" customWidth="1"/>
    <col min="14080" max="14080" width="19.625" style="29" customWidth="1"/>
    <col min="14081" max="14331" width="12.625" style="29"/>
    <col min="14332" max="14332" width="20.625" style="29" customWidth="1"/>
    <col min="14333" max="14333" width="38.125" style="29" customWidth="1"/>
    <col min="14334" max="14334" width="17.25" style="29" customWidth="1"/>
    <col min="14335" max="14335" width="18.75" style="29" customWidth="1"/>
    <col min="14336" max="14336" width="19.625" style="29" customWidth="1"/>
    <col min="14337" max="14587" width="12.625" style="29"/>
    <col min="14588" max="14588" width="20.625" style="29" customWidth="1"/>
    <col min="14589" max="14589" width="38.125" style="29" customWidth="1"/>
    <col min="14590" max="14590" width="17.25" style="29" customWidth="1"/>
    <col min="14591" max="14591" width="18.75" style="29" customWidth="1"/>
    <col min="14592" max="14592" width="19.625" style="29" customWidth="1"/>
    <col min="14593" max="14843" width="12.625" style="29"/>
    <col min="14844" max="14844" width="20.625" style="29" customWidth="1"/>
    <col min="14845" max="14845" width="38.125" style="29" customWidth="1"/>
    <col min="14846" max="14846" width="17.25" style="29" customWidth="1"/>
    <col min="14847" max="14847" width="18.75" style="29" customWidth="1"/>
    <col min="14848" max="14848" width="19.625" style="29" customWidth="1"/>
    <col min="14849" max="15099" width="12.625" style="29"/>
    <col min="15100" max="15100" width="20.625" style="29" customWidth="1"/>
    <col min="15101" max="15101" width="38.125" style="29" customWidth="1"/>
    <col min="15102" max="15102" width="17.25" style="29" customWidth="1"/>
    <col min="15103" max="15103" width="18.75" style="29" customWidth="1"/>
    <col min="15104" max="15104" width="19.625" style="29" customWidth="1"/>
    <col min="15105" max="15355" width="12.625" style="29"/>
    <col min="15356" max="15356" width="20.625" style="29" customWidth="1"/>
    <col min="15357" max="15357" width="38.125" style="29" customWidth="1"/>
    <col min="15358" max="15358" width="17.25" style="29" customWidth="1"/>
    <col min="15359" max="15359" width="18.75" style="29" customWidth="1"/>
    <col min="15360" max="15360" width="19.625" style="29" customWidth="1"/>
    <col min="15361" max="15611" width="12.625" style="29"/>
    <col min="15612" max="15612" width="20.625" style="29" customWidth="1"/>
    <col min="15613" max="15613" width="38.125" style="29" customWidth="1"/>
    <col min="15614" max="15614" width="17.25" style="29" customWidth="1"/>
    <col min="15615" max="15615" width="18.75" style="29" customWidth="1"/>
    <col min="15616" max="15616" width="19.625" style="29" customWidth="1"/>
    <col min="15617" max="15867" width="12.625" style="29"/>
    <col min="15868" max="15868" width="20.625" style="29" customWidth="1"/>
    <col min="15869" max="15869" width="38.125" style="29" customWidth="1"/>
    <col min="15870" max="15870" width="17.25" style="29" customWidth="1"/>
    <col min="15871" max="15871" width="18.75" style="29" customWidth="1"/>
    <col min="15872" max="15872" width="19.625" style="29" customWidth="1"/>
    <col min="15873" max="16123" width="12.625" style="29"/>
    <col min="16124" max="16124" width="20.625" style="29" customWidth="1"/>
    <col min="16125" max="16125" width="38.125" style="29" customWidth="1"/>
    <col min="16126" max="16126" width="17.25" style="29" customWidth="1"/>
    <col min="16127" max="16127" width="18.75" style="29" customWidth="1"/>
    <col min="16128" max="16128" width="19.625" style="29" customWidth="1"/>
    <col min="16129" max="16384" width="12.625" style="29"/>
  </cols>
  <sheetData>
    <row r="1" spans="1:7" ht="20.100000000000001" customHeight="1">
      <c r="A1" s="27" t="s">
        <v>27</v>
      </c>
      <c r="B1" s="27"/>
    </row>
    <row r="2" spans="1:7" ht="17.25" customHeight="1">
      <c r="C2" s="7"/>
      <c r="D2" s="58"/>
    </row>
    <row r="3" spans="1:7" ht="20.100000000000001" customHeight="1">
      <c r="A3" s="2157">
        <f>장기선수수익!A3</f>
        <v>45504</v>
      </c>
      <c r="B3" s="2188"/>
      <c r="C3" s="2188"/>
      <c r="D3" s="30"/>
      <c r="E3" s="31" t="s">
        <v>0</v>
      </c>
    </row>
    <row r="4" spans="1:7" ht="21.95" customHeight="1">
      <c r="A4" s="1628" t="s">
        <v>876</v>
      </c>
      <c r="B4" s="1628" t="s">
        <v>31</v>
      </c>
      <c r="C4" s="1628" t="s">
        <v>877</v>
      </c>
      <c r="D4" s="1641" t="s">
        <v>3</v>
      </c>
      <c r="E4" s="1631" t="s">
        <v>4</v>
      </c>
    </row>
    <row r="5" spans="1:7" ht="21.95" customHeight="1">
      <c r="A5" s="2196" t="s">
        <v>1324</v>
      </c>
      <c r="B5" s="2230" t="s">
        <v>1048</v>
      </c>
      <c r="C5" s="1892" t="s">
        <v>1322</v>
      </c>
      <c r="D5" s="1865">
        <v>97196720</v>
      </c>
      <c r="E5" s="1894" t="s">
        <v>1327</v>
      </c>
    </row>
    <row r="6" spans="1:7" ht="21.95" customHeight="1">
      <c r="A6" s="2190"/>
      <c r="B6" s="2228"/>
      <c r="C6" s="1862"/>
      <c r="D6" s="1861"/>
      <c r="E6" s="1893"/>
    </row>
    <row r="7" spans="1:7" ht="21.95" customHeight="1">
      <c r="A7" s="2229"/>
      <c r="B7" s="2231"/>
      <c r="C7" s="1862"/>
      <c r="D7" s="1866"/>
      <c r="E7" s="1893"/>
    </row>
    <row r="8" spans="1:7" ht="21.95" customHeight="1">
      <c r="A8" s="2190" t="s">
        <v>1323</v>
      </c>
      <c r="B8" s="2228" t="s">
        <v>1049</v>
      </c>
      <c r="C8" s="1862" t="s">
        <v>1325</v>
      </c>
      <c r="D8" s="1863">
        <f>23455143+23492415+18742415+18742415+18742415+18742415+18742415</f>
        <v>140659633</v>
      </c>
      <c r="E8" s="1864"/>
    </row>
    <row r="9" spans="1:7" ht="21.95" customHeight="1">
      <c r="A9" s="2190"/>
      <c r="B9" s="2228"/>
      <c r="C9" s="1645" t="s">
        <v>1326</v>
      </c>
      <c r="D9" s="1654">
        <f>2284858+2288481+2288481+2288481+2288481+2288481+2288481</f>
        <v>16015744</v>
      </c>
      <c r="E9" s="1609"/>
      <c r="G9" s="1947"/>
    </row>
    <row r="10" spans="1:7" ht="21.95" customHeight="1">
      <c r="A10" s="1656"/>
      <c r="B10" s="1652"/>
      <c r="C10" s="1654"/>
      <c r="D10" s="1654"/>
      <c r="E10" s="1609"/>
    </row>
    <row r="11" spans="1:7" ht="21.95" customHeight="1">
      <c r="A11" s="1656"/>
      <c r="B11" s="1652"/>
      <c r="C11" s="1654"/>
      <c r="D11" s="1654"/>
      <c r="E11" s="1609"/>
    </row>
    <row r="12" spans="1:7" ht="21.95" customHeight="1">
      <c r="A12" s="1656"/>
      <c r="B12" s="1652"/>
      <c r="C12" s="1654"/>
      <c r="D12" s="1654"/>
      <c r="E12" s="1609"/>
    </row>
    <row r="13" spans="1:7" ht="21.95" customHeight="1">
      <c r="A13" s="1656"/>
      <c r="B13" s="1652"/>
      <c r="C13" s="1654"/>
      <c r="D13" s="1654"/>
      <c r="E13" s="1662"/>
    </row>
    <row r="14" spans="1:7" ht="21.95" customHeight="1">
      <c r="A14" s="1663"/>
      <c r="B14" s="1664"/>
      <c r="C14" s="1665"/>
      <c r="D14" s="1665"/>
      <c r="E14" s="1666"/>
    </row>
    <row r="15" spans="1:7" ht="21.95" customHeight="1">
      <c r="A15" s="1644"/>
      <c r="B15" s="1635"/>
      <c r="C15" s="1635"/>
      <c r="D15" s="1636"/>
      <c r="E15" s="1637"/>
    </row>
    <row r="16" spans="1:7" ht="20.100000000000001" customHeight="1">
      <c r="A16" s="1647"/>
      <c r="B16" s="1638"/>
      <c r="C16" s="1638"/>
      <c r="D16" s="1639"/>
      <c r="E16" s="1640"/>
    </row>
    <row r="17" spans="1:5" ht="20.100000000000001" customHeight="1">
      <c r="A17" s="1628" t="s">
        <v>5</v>
      </c>
      <c r="B17" s="1628"/>
      <c r="C17" s="1628"/>
      <c r="D17" s="1642">
        <f>SUM(D5:D16)</f>
        <v>253872097</v>
      </c>
      <c r="E17" s="1643"/>
    </row>
    <row r="18" spans="1:5" ht="20.100000000000001" customHeight="1">
      <c r="A18" s="2" t="str">
        <f>사외적립자산!A19</f>
        <v>김천에너지서비스㈜</v>
      </c>
      <c r="B18" s="2"/>
    </row>
  </sheetData>
  <mergeCells count="5">
    <mergeCell ref="A3:C3"/>
    <mergeCell ref="B8:B9"/>
    <mergeCell ref="A8:A9"/>
    <mergeCell ref="A5:A7"/>
    <mergeCell ref="B5:B7"/>
  </mergeCells>
  <phoneticPr fontId="2" type="noConversion"/>
  <printOptions horizontalCentered="1"/>
  <pageMargins left="0.39370078740157483" right="0.39370078740157483" top="0.45" bottom="0.43" header="0.39370078740157483" footer="0.39370078740157483"/>
  <pageSetup paperSize="9" orientation="landscape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zoomScaleSheetLayoutView="100" workbookViewId="0"/>
  </sheetViews>
  <sheetFormatPr defaultColWidth="12.625" defaultRowHeight="20.100000000000001" customHeight="1"/>
  <cols>
    <col min="1" max="1" width="17.5" style="29" customWidth="1"/>
    <col min="2" max="2" width="20.25" style="29" customWidth="1"/>
    <col min="3" max="3" width="33.875" style="143" customWidth="1"/>
    <col min="4" max="4" width="25.125" style="29" customWidth="1"/>
    <col min="5" max="5" width="28" style="29" customWidth="1"/>
    <col min="6" max="251" width="12.625" style="29"/>
    <col min="252" max="252" width="20.625" style="29" customWidth="1"/>
    <col min="253" max="253" width="38.125" style="29" customWidth="1"/>
    <col min="254" max="254" width="17.25" style="29" customWidth="1"/>
    <col min="255" max="255" width="18.75" style="29" customWidth="1"/>
    <col min="256" max="256" width="19.625" style="29" customWidth="1"/>
    <col min="257" max="507" width="12.625" style="29"/>
    <col min="508" max="508" width="20.625" style="29" customWidth="1"/>
    <col min="509" max="509" width="38.125" style="29" customWidth="1"/>
    <col min="510" max="510" width="17.25" style="29" customWidth="1"/>
    <col min="511" max="511" width="18.75" style="29" customWidth="1"/>
    <col min="512" max="512" width="19.625" style="29" customWidth="1"/>
    <col min="513" max="763" width="12.625" style="29"/>
    <col min="764" max="764" width="20.625" style="29" customWidth="1"/>
    <col min="765" max="765" width="38.125" style="29" customWidth="1"/>
    <col min="766" max="766" width="17.25" style="29" customWidth="1"/>
    <col min="767" max="767" width="18.75" style="29" customWidth="1"/>
    <col min="768" max="768" width="19.625" style="29" customWidth="1"/>
    <col min="769" max="1019" width="12.625" style="29"/>
    <col min="1020" max="1020" width="20.625" style="29" customWidth="1"/>
    <col min="1021" max="1021" width="38.125" style="29" customWidth="1"/>
    <col min="1022" max="1022" width="17.25" style="29" customWidth="1"/>
    <col min="1023" max="1023" width="18.75" style="29" customWidth="1"/>
    <col min="1024" max="1024" width="19.625" style="29" customWidth="1"/>
    <col min="1025" max="1275" width="12.625" style="29"/>
    <col min="1276" max="1276" width="20.625" style="29" customWidth="1"/>
    <col min="1277" max="1277" width="38.125" style="29" customWidth="1"/>
    <col min="1278" max="1278" width="17.25" style="29" customWidth="1"/>
    <col min="1279" max="1279" width="18.75" style="29" customWidth="1"/>
    <col min="1280" max="1280" width="19.625" style="29" customWidth="1"/>
    <col min="1281" max="1531" width="12.625" style="29"/>
    <col min="1532" max="1532" width="20.625" style="29" customWidth="1"/>
    <col min="1533" max="1533" width="38.125" style="29" customWidth="1"/>
    <col min="1534" max="1534" width="17.25" style="29" customWidth="1"/>
    <col min="1535" max="1535" width="18.75" style="29" customWidth="1"/>
    <col min="1536" max="1536" width="19.625" style="29" customWidth="1"/>
    <col min="1537" max="1787" width="12.625" style="29"/>
    <col min="1788" max="1788" width="20.625" style="29" customWidth="1"/>
    <col min="1789" max="1789" width="38.125" style="29" customWidth="1"/>
    <col min="1790" max="1790" width="17.25" style="29" customWidth="1"/>
    <col min="1791" max="1791" width="18.75" style="29" customWidth="1"/>
    <col min="1792" max="1792" width="19.625" style="29" customWidth="1"/>
    <col min="1793" max="2043" width="12.625" style="29"/>
    <col min="2044" max="2044" width="20.625" style="29" customWidth="1"/>
    <col min="2045" max="2045" width="38.125" style="29" customWidth="1"/>
    <col min="2046" max="2046" width="17.25" style="29" customWidth="1"/>
    <col min="2047" max="2047" width="18.75" style="29" customWidth="1"/>
    <col min="2048" max="2048" width="19.625" style="29" customWidth="1"/>
    <col min="2049" max="2299" width="12.625" style="29"/>
    <col min="2300" max="2300" width="20.625" style="29" customWidth="1"/>
    <col min="2301" max="2301" width="38.125" style="29" customWidth="1"/>
    <col min="2302" max="2302" width="17.25" style="29" customWidth="1"/>
    <col min="2303" max="2303" width="18.75" style="29" customWidth="1"/>
    <col min="2304" max="2304" width="19.625" style="29" customWidth="1"/>
    <col min="2305" max="2555" width="12.625" style="29"/>
    <col min="2556" max="2556" width="20.625" style="29" customWidth="1"/>
    <col min="2557" max="2557" width="38.125" style="29" customWidth="1"/>
    <col min="2558" max="2558" width="17.25" style="29" customWidth="1"/>
    <col min="2559" max="2559" width="18.75" style="29" customWidth="1"/>
    <col min="2560" max="2560" width="19.625" style="29" customWidth="1"/>
    <col min="2561" max="2811" width="12.625" style="29"/>
    <col min="2812" max="2812" width="20.625" style="29" customWidth="1"/>
    <col min="2813" max="2813" width="38.125" style="29" customWidth="1"/>
    <col min="2814" max="2814" width="17.25" style="29" customWidth="1"/>
    <col min="2815" max="2815" width="18.75" style="29" customWidth="1"/>
    <col min="2816" max="2816" width="19.625" style="29" customWidth="1"/>
    <col min="2817" max="3067" width="12.625" style="29"/>
    <col min="3068" max="3068" width="20.625" style="29" customWidth="1"/>
    <col min="3069" max="3069" width="38.125" style="29" customWidth="1"/>
    <col min="3070" max="3070" width="17.25" style="29" customWidth="1"/>
    <col min="3071" max="3071" width="18.75" style="29" customWidth="1"/>
    <col min="3072" max="3072" width="19.625" style="29" customWidth="1"/>
    <col min="3073" max="3323" width="12.625" style="29"/>
    <col min="3324" max="3324" width="20.625" style="29" customWidth="1"/>
    <col min="3325" max="3325" width="38.125" style="29" customWidth="1"/>
    <col min="3326" max="3326" width="17.25" style="29" customWidth="1"/>
    <col min="3327" max="3327" width="18.75" style="29" customWidth="1"/>
    <col min="3328" max="3328" width="19.625" style="29" customWidth="1"/>
    <col min="3329" max="3579" width="12.625" style="29"/>
    <col min="3580" max="3580" width="20.625" style="29" customWidth="1"/>
    <col min="3581" max="3581" width="38.125" style="29" customWidth="1"/>
    <col min="3582" max="3582" width="17.25" style="29" customWidth="1"/>
    <col min="3583" max="3583" width="18.75" style="29" customWidth="1"/>
    <col min="3584" max="3584" width="19.625" style="29" customWidth="1"/>
    <col min="3585" max="3835" width="12.625" style="29"/>
    <col min="3836" max="3836" width="20.625" style="29" customWidth="1"/>
    <col min="3837" max="3837" width="38.125" style="29" customWidth="1"/>
    <col min="3838" max="3838" width="17.25" style="29" customWidth="1"/>
    <col min="3839" max="3839" width="18.75" style="29" customWidth="1"/>
    <col min="3840" max="3840" width="19.625" style="29" customWidth="1"/>
    <col min="3841" max="4091" width="12.625" style="29"/>
    <col min="4092" max="4092" width="20.625" style="29" customWidth="1"/>
    <col min="4093" max="4093" width="38.125" style="29" customWidth="1"/>
    <col min="4094" max="4094" width="17.25" style="29" customWidth="1"/>
    <col min="4095" max="4095" width="18.75" style="29" customWidth="1"/>
    <col min="4096" max="4096" width="19.625" style="29" customWidth="1"/>
    <col min="4097" max="4347" width="12.625" style="29"/>
    <col min="4348" max="4348" width="20.625" style="29" customWidth="1"/>
    <col min="4349" max="4349" width="38.125" style="29" customWidth="1"/>
    <col min="4350" max="4350" width="17.25" style="29" customWidth="1"/>
    <col min="4351" max="4351" width="18.75" style="29" customWidth="1"/>
    <col min="4352" max="4352" width="19.625" style="29" customWidth="1"/>
    <col min="4353" max="4603" width="12.625" style="29"/>
    <col min="4604" max="4604" width="20.625" style="29" customWidth="1"/>
    <col min="4605" max="4605" width="38.125" style="29" customWidth="1"/>
    <col min="4606" max="4606" width="17.25" style="29" customWidth="1"/>
    <col min="4607" max="4607" width="18.75" style="29" customWidth="1"/>
    <col min="4608" max="4608" width="19.625" style="29" customWidth="1"/>
    <col min="4609" max="4859" width="12.625" style="29"/>
    <col min="4860" max="4860" width="20.625" style="29" customWidth="1"/>
    <col min="4861" max="4861" width="38.125" style="29" customWidth="1"/>
    <col min="4862" max="4862" width="17.25" style="29" customWidth="1"/>
    <col min="4863" max="4863" width="18.75" style="29" customWidth="1"/>
    <col min="4864" max="4864" width="19.625" style="29" customWidth="1"/>
    <col min="4865" max="5115" width="12.625" style="29"/>
    <col min="5116" max="5116" width="20.625" style="29" customWidth="1"/>
    <col min="5117" max="5117" width="38.125" style="29" customWidth="1"/>
    <col min="5118" max="5118" width="17.25" style="29" customWidth="1"/>
    <col min="5119" max="5119" width="18.75" style="29" customWidth="1"/>
    <col min="5120" max="5120" width="19.625" style="29" customWidth="1"/>
    <col min="5121" max="5371" width="12.625" style="29"/>
    <col min="5372" max="5372" width="20.625" style="29" customWidth="1"/>
    <col min="5373" max="5373" width="38.125" style="29" customWidth="1"/>
    <col min="5374" max="5374" width="17.25" style="29" customWidth="1"/>
    <col min="5375" max="5375" width="18.75" style="29" customWidth="1"/>
    <col min="5376" max="5376" width="19.625" style="29" customWidth="1"/>
    <col min="5377" max="5627" width="12.625" style="29"/>
    <col min="5628" max="5628" width="20.625" style="29" customWidth="1"/>
    <col min="5629" max="5629" width="38.125" style="29" customWidth="1"/>
    <col min="5630" max="5630" width="17.25" style="29" customWidth="1"/>
    <col min="5631" max="5631" width="18.75" style="29" customWidth="1"/>
    <col min="5632" max="5632" width="19.625" style="29" customWidth="1"/>
    <col min="5633" max="5883" width="12.625" style="29"/>
    <col min="5884" max="5884" width="20.625" style="29" customWidth="1"/>
    <col min="5885" max="5885" width="38.125" style="29" customWidth="1"/>
    <col min="5886" max="5886" width="17.25" style="29" customWidth="1"/>
    <col min="5887" max="5887" width="18.75" style="29" customWidth="1"/>
    <col min="5888" max="5888" width="19.625" style="29" customWidth="1"/>
    <col min="5889" max="6139" width="12.625" style="29"/>
    <col min="6140" max="6140" width="20.625" style="29" customWidth="1"/>
    <col min="6141" max="6141" width="38.125" style="29" customWidth="1"/>
    <col min="6142" max="6142" width="17.25" style="29" customWidth="1"/>
    <col min="6143" max="6143" width="18.75" style="29" customWidth="1"/>
    <col min="6144" max="6144" width="19.625" style="29" customWidth="1"/>
    <col min="6145" max="6395" width="12.625" style="29"/>
    <col min="6396" max="6396" width="20.625" style="29" customWidth="1"/>
    <col min="6397" max="6397" width="38.125" style="29" customWidth="1"/>
    <col min="6398" max="6398" width="17.25" style="29" customWidth="1"/>
    <col min="6399" max="6399" width="18.75" style="29" customWidth="1"/>
    <col min="6400" max="6400" width="19.625" style="29" customWidth="1"/>
    <col min="6401" max="6651" width="12.625" style="29"/>
    <col min="6652" max="6652" width="20.625" style="29" customWidth="1"/>
    <col min="6653" max="6653" width="38.125" style="29" customWidth="1"/>
    <col min="6654" max="6654" width="17.25" style="29" customWidth="1"/>
    <col min="6655" max="6655" width="18.75" style="29" customWidth="1"/>
    <col min="6656" max="6656" width="19.625" style="29" customWidth="1"/>
    <col min="6657" max="6907" width="12.625" style="29"/>
    <col min="6908" max="6908" width="20.625" style="29" customWidth="1"/>
    <col min="6909" max="6909" width="38.125" style="29" customWidth="1"/>
    <col min="6910" max="6910" width="17.25" style="29" customWidth="1"/>
    <col min="6911" max="6911" width="18.75" style="29" customWidth="1"/>
    <col min="6912" max="6912" width="19.625" style="29" customWidth="1"/>
    <col min="6913" max="7163" width="12.625" style="29"/>
    <col min="7164" max="7164" width="20.625" style="29" customWidth="1"/>
    <col min="7165" max="7165" width="38.125" style="29" customWidth="1"/>
    <col min="7166" max="7166" width="17.25" style="29" customWidth="1"/>
    <col min="7167" max="7167" width="18.75" style="29" customWidth="1"/>
    <col min="7168" max="7168" width="19.625" style="29" customWidth="1"/>
    <col min="7169" max="7419" width="12.625" style="29"/>
    <col min="7420" max="7420" width="20.625" style="29" customWidth="1"/>
    <col min="7421" max="7421" width="38.125" style="29" customWidth="1"/>
    <col min="7422" max="7422" width="17.25" style="29" customWidth="1"/>
    <col min="7423" max="7423" width="18.75" style="29" customWidth="1"/>
    <col min="7424" max="7424" width="19.625" style="29" customWidth="1"/>
    <col min="7425" max="7675" width="12.625" style="29"/>
    <col min="7676" max="7676" width="20.625" style="29" customWidth="1"/>
    <col min="7677" max="7677" width="38.125" style="29" customWidth="1"/>
    <col min="7678" max="7678" width="17.25" style="29" customWidth="1"/>
    <col min="7679" max="7679" width="18.75" style="29" customWidth="1"/>
    <col min="7680" max="7680" width="19.625" style="29" customWidth="1"/>
    <col min="7681" max="7931" width="12.625" style="29"/>
    <col min="7932" max="7932" width="20.625" style="29" customWidth="1"/>
    <col min="7933" max="7933" width="38.125" style="29" customWidth="1"/>
    <col min="7934" max="7934" width="17.25" style="29" customWidth="1"/>
    <col min="7935" max="7935" width="18.75" style="29" customWidth="1"/>
    <col min="7936" max="7936" width="19.625" style="29" customWidth="1"/>
    <col min="7937" max="8187" width="12.625" style="29"/>
    <col min="8188" max="8188" width="20.625" style="29" customWidth="1"/>
    <col min="8189" max="8189" width="38.125" style="29" customWidth="1"/>
    <col min="8190" max="8190" width="17.25" style="29" customWidth="1"/>
    <col min="8191" max="8191" width="18.75" style="29" customWidth="1"/>
    <col min="8192" max="8192" width="19.625" style="29" customWidth="1"/>
    <col min="8193" max="8443" width="12.625" style="29"/>
    <col min="8444" max="8444" width="20.625" style="29" customWidth="1"/>
    <col min="8445" max="8445" width="38.125" style="29" customWidth="1"/>
    <col min="8446" max="8446" width="17.25" style="29" customWidth="1"/>
    <col min="8447" max="8447" width="18.75" style="29" customWidth="1"/>
    <col min="8448" max="8448" width="19.625" style="29" customWidth="1"/>
    <col min="8449" max="8699" width="12.625" style="29"/>
    <col min="8700" max="8700" width="20.625" style="29" customWidth="1"/>
    <col min="8701" max="8701" width="38.125" style="29" customWidth="1"/>
    <col min="8702" max="8702" width="17.25" style="29" customWidth="1"/>
    <col min="8703" max="8703" width="18.75" style="29" customWidth="1"/>
    <col min="8704" max="8704" width="19.625" style="29" customWidth="1"/>
    <col min="8705" max="8955" width="12.625" style="29"/>
    <col min="8956" max="8956" width="20.625" style="29" customWidth="1"/>
    <col min="8957" max="8957" width="38.125" style="29" customWidth="1"/>
    <col min="8958" max="8958" width="17.25" style="29" customWidth="1"/>
    <col min="8959" max="8959" width="18.75" style="29" customWidth="1"/>
    <col min="8960" max="8960" width="19.625" style="29" customWidth="1"/>
    <col min="8961" max="9211" width="12.625" style="29"/>
    <col min="9212" max="9212" width="20.625" style="29" customWidth="1"/>
    <col min="9213" max="9213" width="38.125" style="29" customWidth="1"/>
    <col min="9214" max="9214" width="17.25" style="29" customWidth="1"/>
    <col min="9215" max="9215" width="18.75" style="29" customWidth="1"/>
    <col min="9216" max="9216" width="19.625" style="29" customWidth="1"/>
    <col min="9217" max="9467" width="12.625" style="29"/>
    <col min="9468" max="9468" width="20.625" style="29" customWidth="1"/>
    <col min="9469" max="9469" width="38.125" style="29" customWidth="1"/>
    <col min="9470" max="9470" width="17.25" style="29" customWidth="1"/>
    <col min="9471" max="9471" width="18.75" style="29" customWidth="1"/>
    <col min="9472" max="9472" width="19.625" style="29" customWidth="1"/>
    <col min="9473" max="9723" width="12.625" style="29"/>
    <col min="9724" max="9724" width="20.625" style="29" customWidth="1"/>
    <col min="9725" max="9725" width="38.125" style="29" customWidth="1"/>
    <col min="9726" max="9726" width="17.25" style="29" customWidth="1"/>
    <col min="9727" max="9727" width="18.75" style="29" customWidth="1"/>
    <col min="9728" max="9728" width="19.625" style="29" customWidth="1"/>
    <col min="9729" max="9979" width="12.625" style="29"/>
    <col min="9980" max="9980" width="20.625" style="29" customWidth="1"/>
    <col min="9981" max="9981" width="38.125" style="29" customWidth="1"/>
    <col min="9982" max="9982" width="17.25" style="29" customWidth="1"/>
    <col min="9983" max="9983" width="18.75" style="29" customWidth="1"/>
    <col min="9984" max="9984" width="19.625" style="29" customWidth="1"/>
    <col min="9985" max="10235" width="12.625" style="29"/>
    <col min="10236" max="10236" width="20.625" style="29" customWidth="1"/>
    <col min="10237" max="10237" width="38.125" style="29" customWidth="1"/>
    <col min="10238" max="10238" width="17.25" style="29" customWidth="1"/>
    <col min="10239" max="10239" width="18.75" style="29" customWidth="1"/>
    <col min="10240" max="10240" width="19.625" style="29" customWidth="1"/>
    <col min="10241" max="10491" width="12.625" style="29"/>
    <col min="10492" max="10492" width="20.625" style="29" customWidth="1"/>
    <col min="10493" max="10493" width="38.125" style="29" customWidth="1"/>
    <col min="10494" max="10494" width="17.25" style="29" customWidth="1"/>
    <col min="10495" max="10495" width="18.75" style="29" customWidth="1"/>
    <col min="10496" max="10496" width="19.625" style="29" customWidth="1"/>
    <col min="10497" max="10747" width="12.625" style="29"/>
    <col min="10748" max="10748" width="20.625" style="29" customWidth="1"/>
    <col min="10749" max="10749" width="38.125" style="29" customWidth="1"/>
    <col min="10750" max="10750" width="17.25" style="29" customWidth="1"/>
    <col min="10751" max="10751" width="18.75" style="29" customWidth="1"/>
    <col min="10752" max="10752" width="19.625" style="29" customWidth="1"/>
    <col min="10753" max="11003" width="12.625" style="29"/>
    <col min="11004" max="11004" width="20.625" style="29" customWidth="1"/>
    <col min="11005" max="11005" width="38.125" style="29" customWidth="1"/>
    <col min="11006" max="11006" width="17.25" style="29" customWidth="1"/>
    <col min="11007" max="11007" width="18.75" style="29" customWidth="1"/>
    <col min="11008" max="11008" width="19.625" style="29" customWidth="1"/>
    <col min="11009" max="11259" width="12.625" style="29"/>
    <col min="11260" max="11260" width="20.625" style="29" customWidth="1"/>
    <col min="11261" max="11261" width="38.125" style="29" customWidth="1"/>
    <col min="11262" max="11262" width="17.25" style="29" customWidth="1"/>
    <col min="11263" max="11263" width="18.75" style="29" customWidth="1"/>
    <col min="11264" max="11264" width="19.625" style="29" customWidth="1"/>
    <col min="11265" max="11515" width="12.625" style="29"/>
    <col min="11516" max="11516" width="20.625" style="29" customWidth="1"/>
    <col min="11517" max="11517" width="38.125" style="29" customWidth="1"/>
    <col min="11518" max="11518" width="17.25" style="29" customWidth="1"/>
    <col min="11519" max="11519" width="18.75" style="29" customWidth="1"/>
    <col min="11520" max="11520" width="19.625" style="29" customWidth="1"/>
    <col min="11521" max="11771" width="12.625" style="29"/>
    <col min="11772" max="11772" width="20.625" style="29" customWidth="1"/>
    <col min="11773" max="11773" width="38.125" style="29" customWidth="1"/>
    <col min="11774" max="11774" width="17.25" style="29" customWidth="1"/>
    <col min="11775" max="11775" width="18.75" style="29" customWidth="1"/>
    <col min="11776" max="11776" width="19.625" style="29" customWidth="1"/>
    <col min="11777" max="12027" width="12.625" style="29"/>
    <col min="12028" max="12028" width="20.625" style="29" customWidth="1"/>
    <col min="12029" max="12029" width="38.125" style="29" customWidth="1"/>
    <col min="12030" max="12030" width="17.25" style="29" customWidth="1"/>
    <col min="12031" max="12031" width="18.75" style="29" customWidth="1"/>
    <col min="12032" max="12032" width="19.625" style="29" customWidth="1"/>
    <col min="12033" max="12283" width="12.625" style="29"/>
    <col min="12284" max="12284" width="20.625" style="29" customWidth="1"/>
    <col min="12285" max="12285" width="38.125" style="29" customWidth="1"/>
    <col min="12286" max="12286" width="17.25" style="29" customWidth="1"/>
    <col min="12287" max="12287" width="18.75" style="29" customWidth="1"/>
    <col min="12288" max="12288" width="19.625" style="29" customWidth="1"/>
    <col min="12289" max="12539" width="12.625" style="29"/>
    <col min="12540" max="12540" width="20.625" style="29" customWidth="1"/>
    <col min="12541" max="12541" width="38.125" style="29" customWidth="1"/>
    <col min="12542" max="12542" width="17.25" style="29" customWidth="1"/>
    <col min="12543" max="12543" width="18.75" style="29" customWidth="1"/>
    <col min="12544" max="12544" width="19.625" style="29" customWidth="1"/>
    <col min="12545" max="12795" width="12.625" style="29"/>
    <col min="12796" max="12796" width="20.625" style="29" customWidth="1"/>
    <col min="12797" max="12797" width="38.125" style="29" customWidth="1"/>
    <col min="12798" max="12798" width="17.25" style="29" customWidth="1"/>
    <col min="12799" max="12799" width="18.75" style="29" customWidth="1"/>
    <col min="12800" max="12800" width="19.625" style="29" customWidth="1"/>
    <col min="12801" max="13051" width="12.625" style="29"/>
    <col min="13052" max="13052" width="20.625" style="29" customWidth="1"/>
    <col min="13053" max="13053" width="38.125" style="29" customWidth="1"/>
    <col min="13054" max="13054" width="17.25" style="29" customWidth="1"/>
    <col min="13055" max="13055" width="18.75" style="29" customWidth="1"/>
    <col min="13056" max="13056" width="19.625" style="29" customWidth="1"/>
    <col min="13057" max="13307" width="12.625" style="29"/>
    <col min="13308" max="13308" width="20.625" style="29" customWidth="1"/>
    <col min="13309" max="13309" width="38.125" style="29" customWidth="1"/>
    <col min="13310" max="13310" width="17.25" style="29" customWidth="1"/>
    <col min="13311" max="13311" width="18.75" style="29" customWidth="1"/>
    <col min="13312" max="13312" width="19.625" style="29" customWidth="1"/>
    <col min="13313" max="13563" width="12.625" style="29"/>
    <col min="13564" max="13564" width="20.625" style="29" customWidth="1"/>
    <col min="13565" max="13565" width="38.125" style="29" customWidth="1"/>
    <col min="13566" max="13566" width="17.25" style="29" customWidth="1"/>
    <col min="13567" max="13567" width="18.75" style="29" customWidth="1"/>
    <col min="13568" max="13568" width="19.625" style="29" customWidth="1"/>
    <col min="13569" max="13819" width="12.625" style="29"/>
    <col min="13820" max="13820" width="20.625" style="29" customWidth="1"/>
    <col min="13821" max="13821" width="38.125" style="29" customWidth="1"/>
    <col min="13822" max="13822" width="17.25" style="29" customWidth="1"/>
    <col min="13823" max="13823" width="18.75" style="29" customWidth="1"/>
    <col min="13824" max="13824" width="19.625" style="29" customWidth="1"/>
    <col min="13825" max="14075" width="12.625" style="29"/>
    <col min="14076" max="14076" width="20.625" style="29" customWidth="1"/>
    <col min="14077" max="14077" width="38.125" style="29" customWidth="1"/>
    <col min="14078" max="14078" width="17.25" style="29" customWidth="1"/>
    <col min="14079" max="14079" width="18.75" style="29" customWidth="1"/>
    <col min="14080" max="14080" width="19.625" style="29" customWidth="1"/>
    <col min="14081" max="14331" width="12.625" style="29"/>
    <col min="14332" max="14332" width="20.625" style="29" customWidth="1"/>
    <col min="14333" max="14333" width="38.125" style="29" customWidth="1"/>
    <col min="14334" max="14334" width="17.25" style="29" customWidth="1"/>
    <col min="14335" max="14335" width="18.75" style="29" customWidth="1"/>
    <col min="14336" max="14336" width="19.625" style="29" customWidth="1"/>
    <col min="14337" max="14587" width="12.625" style="29"/>
    <col min="14588" max="14588" width="20.625" style="29" customWidth="1"/>
    <col min="14589" max="14589" width="38.125" style="29" customWidth="1"/>
    <col min="14590" max="14590" width="17.25" style="29" customWidth="1"/>
    <col min="14591" max="14591" width="18.75" style="29" customWidth="1"/>
    <col min="14592" max="14592" width="19.625" style="29" customWidth="1"/>
    <col min="14593" max="14843" width="12.625" style="29"/>
    <col min="14844" max="14844" width="20.625" style="29" customWidth="1"/>
    <col min="14845" max="14845" width="38.125" style="29" customWidth="1"/>
    <col min="14846" max="14846" width="17.25" style="29" customWidth="1"/>
    <col min="14847" max="14847" width="18.75" style="29" customWidth="1"/>
    <col min="14848" max="14848" width="19.625" style="29" customWidth="1"/>
    <col min="14849" max="15099" width="12.625" style="29"/>
    <col min="15100" max="15100" width="20.625" style="29" customWidth="1"/>
    <col min="15101" max="15101" width="38.125" style="29" customWidth="1"/>
    <col min="15102" max="15102" width="17.25" style="29" customWidth="1"/>
    <col min="15103" max="15103" width="18.75" style="29" customWidth="1"/>
    <col min="15104" max="15104" width="19.625" style="29" customWidth="1"/>
    <col min="15105" max="15355" width="12.625" style="29"/>
    <col min="15356" max="15356" width="20.625" style="29" customWidth="1"/>
    <col min="15357" max="15357" width="38.125" style="29" customWidth="1"/>
    <col min="15358" max="15358" width="17.25" style="29" customWidth="1"/>
    <col min="15359" max="15359" width="18.75" style="29" customWidth="1"/>
    <col min="15360" max="15360" width="19.625" style="29" customWidth="1"/>
    <col min="15361" max="15611" width="12.625" style="29"/>
    <col min="15612" max="15612" width="20.625" style="29" customWidth="1"/>
    <col min="15613" max="15613" width="38.125" style="29" customWidth="1"/>
    <col min="15614" max="15614" width="17.25" style="29" customWidth="1"/>
    <col min="15615" max="15615" width="18.75" style="29" customWidth="1"/>
    <col min="15616" max="15616" width="19.625" style="29" customWidth="1"/>
    <col min="15617" max="15867" width="12.625" style="29"/>
    <col min="15868" max="15868" width="20.625" style="29" customWidth="1"/>
    <col min="15869" max="15869" width="38.125" style="29" customWidth="1"/>
    <col min="15870" max="15870" width="17.25" style="29" customWidth="1"/>
    <col min="15871" max="15871" width="18.75" style="29" customWidth="1"/>
    <col min="15872" max="15872" width="19.625" style="29" customWidth="1"/>
    <col min="15873" max="16123" width="12.625" style="29"/>
    <col min="16124" max="16124" width="20.625" style="29" customWidth="1"/>
    <col min="16125" max="16125" width="38.125" style="29" customWidth="1"/>
    <col min="16126" max="16126" width="17.25" style="29" customWidth="1"/>
    <col min="16127" max="16127" width="18.75" style="29" customWidth="1"/>
    <col min="16128" max="16128" width="19.625" style="29" customWidth="1"/>
    <col min="16129" max="16384" width="12.625" style="29"/>
  </cols>
  <sheetData>
    <row r="1" spans="1:5" ht="20.100000000000001" customHeight="1">
      <c r="A1" s="27" t="s">
        <v>1069</v>
      </c>
      <c r="B1" s="27"/>
    </row>
    <row r="2" spans="1:5" ht="17.25" customHeight="1">
      <c r="C2" s="7"/>
      <c r="D2" s="58"/>
    </row>
    <row r="3" spans="1:5" ht="20.100000000000001" customHeight="1">
      <c r="A3" s="2157">
        <f>장기선수수익!A3</f>
        <v>45504</v>
      </c>
      <c r="B3" s="2188"/>
      <c r="C3" s="2188"/>
      <c r="D3" s="30"/>
      <c r="E3" s="31" t="s">
        <v>0</v>
      </c>
    </row>
    <row r="4" spans="1:5" ht="21.95" customHeight="1">
      <c r="A4" s="1628" t="s">
        <v>876</v>
      </c>
      <c r="B4" s="1628" t="s">
        <v>31</v>
      </c>
      <c r="C4" s="1628" t="s">
        <v>877</v>
      </c>
      <c r="D4" s="1641" t="s">
        <v>3</v>
      </c>
      <c r="E4" s="1631" t="s">
        <v>4</v>
      </c>
    </row>
    <row r="5" spans="1:5" ht="21.95" customHeight="1">
      <c r="A5" s="1646"/>
      <c r="B5" s="1635"/>
      <c r="C5" s="1645"/>
      <c r="D5" s="1636"/>
      <c r="E5" s="1661"/>
    </row>
    <row r="6" spans="1:5" ht="21.95" customHeight="1">
      <c r="A6" s="1669"/>
      <c r="B6" s="1668"/>
      <c r="C6" s="1670"/>
      <c r="D6" s="1668"/>
      <c r="E6" s="1671"/>
    </row>
    <row r="7" spans="1:5" ht="21.95" customHeight="1">
      <c r="A7" s="1656"/>
      <c r="B7" s="1654"/>
      <c r="C7" s="1653"/>
      <c r="D7" s="1654"/>
      <c r="E7" s="1662"/>
    </row>
    <row r="8" spans="1:5" ht="21.95" customHeight="1">
      <c r="A8" s="1656"/>
      <c r="B8" s="1655"/>
      <c r="C8" s="1655"/>
      <c r="D8" s="1667"/>
      <c r="E8" s="1662"/>
    </row>
    <row r="9" spans="1:5" ht="21.95" customHeight="1">
      <c r="A9" s="1656"/>
      <c r="B9" s="1652"/>
      <c r="C9" s="1442"/>
      <c r="D9" s="1654"/>
      <c r="E9" s="1609"/>
    </row>
    <row r="10" spans="1:5" ht="21.95" customHeight="1">
      <c r="A10" s="1656"/>
      <c r="B10" s="1652"/>
      <c r="C10" s="1654"/>
      <c r="D10" s="1654"/>
      <c r="E10" s="1609"/>
    </row>
    <row r="11" spans="1:5" ht="21.95" customHeight="1">
      <c r="A11" s="1656"/>
      <c r="B11" s="1652"/>
      <c r="C11" s="1654"/>
      <c r="D11" s="1654"/>
      <c r="E11" s="1609"/>
    </row>
    <row r="12" spans="1:5" ht="21.95" customHeight="1">
      <c r="A12" s="1656"/>
      <c r="B12" s="1652"/>
      <c r="C12" s="1654"/>
      <c r="D12" s="1654"/>
      <c r="E12" s="1609"/>
    </row>
    <row r="13" spans="1:5" ht="21.95" customHeight="1">
      <c r="A13" s="1656"/>
      <c r="B13" s="1652"/>
      <c r="C13" s="1654"/>
      <c r="D13" s="1654"/>
      <c r="E13" s="1662"/>
    </row>
    <row r="14" spans="1:5" ht="21.95" customHeight="1">
      <c r="A14" s="1663"/>
      <c r="B14" s="1664"/>
      <c r="C14" s="1665"/>
      <c r="D14" s="1665"/>
      <c r="E14" s="1666"/>
    </row>
    <row r="15" spans="1:5" ht="21.95" customHeight="1">
      <c r="A15" s="1644"/>
      <c r="B15" s="1635"/>
      <c r="C15" s="1635"/>
      <c r="D15" s="1636"/>
      <c r="E15" s="1637"/>
    </row>
    <row r="16" spans="1:5" ht="21.95" customHeight="1">
      <c r="A16" s="1647"/>
      <c r="B16" s="1638"/>
      <c r="C16" s="1638"/>
      <c r="D16" s="1639"/>
      <c r="E16" s="1640"/>
    </row>
    <row r="17" spans="1:5" ht="21.95" customHeight="1">
      <c r="A17" s="1628" t="s">
        <v>5</v>
      </c>
      <c r="B17" s="1628"/>
      <c r="C17" s="1628"/>
      <c r="D17" s="1642">
        <f>SUM(D5:D16)</f>
        <v>0</v>
      </c>
      <c r="E17" s="1643"/>
    </row>
    <row r="18" spans="1:5" ht="20.100000000000001" customHeight="1">
      <c r="A18" s="2" t="str">
        <f>사외적립자산!A19</f>
        <v>김천에너지서비스㈜</v>
      </c>
      <c r="B18" s="2"/>
    </row>
  </sheetData>
  <mergeCells count="1">
    <mergeCell ref="A3:C3"/>
  </mergeCells>
  <phoneticPr fontId="2" type="noConversion"/>
  <printOptions horizontalCentered="1"/>
  <pageMargins left="0.39370078740157483" right="0.39370078740157483" top="0.45" bottom="0.43" header="0.39370078740157483" footer="0.39370078740157483"/>
  <pageSetup paperSize="9" orientation="landscape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showGridLines="0" zoomScaleSheetLayoutView="100" workbookViewId="0">
      <pane ySplit="5" topLeftCell="A78" activePane="bottomLeft" state="frozen"/>
      <selection pane="bottomLeft"/>
    </sheetView>
  </sheetViews>
  <sheetFormatPr defaultColWidth="12.625" defaultRowHeight="20.100000000000001" customHeight="1"/>
  <cols>
    <col min="1" max="1" width="18.75" style="29" customWidth="1"/>
    <col min="2" max="2" width="40.5" style="29" customWidth="1"/>
    <col min="3" max="3" width="25.125" style="29" customWidth="1"/>
    <col min="4" max="4" width="28" style="29" customWidth="1"/>
    <col min="5" max="250" width="12.625" style="29"/>
    <col min="251" max="251" width="20.625" style="29" customWidth="1"/>
    <col min="252" max="252" width="38.125" style="29" customWidth="1"/>
    <col min="253" max="253" width="17.25" style="29" customWidth="1"/>
    <col min="254" max="254" width="18.75" style="29" customWidth="1"/>
    <col min="255" max="255" width="19.625" style="29" customWidth="1"/>
    <col min="256" max="506" width="12.625" style="29"/>
    <col min="507" max="507" width="20.625" style="29" customWidth="1"/>
    <col min="508" max="508" width="38.125" style="29" customWidth="1"/>
    <col min="509" max="509" width="17.25" style="29" customWidth="1"/>
    <col min="510" max="510" width="18.75" style="29" customWidth="1"/>
    <col min="511" max="511" width="19.625" style="29" customWidth="1"/>
    <col min="512" max="762" width="12.625" style="29"/>
    <col min="763" max="763" width="20.625" style="29" customWidth="1"/>
    <col min="764" max="764" width="38.125" style="29" customWidth="1"/>
    <col min="765" max="765" width="17.25" style="29" customWidth="1"/>
    <col min="766" max="766" width="18.75" style="29" customWidth="1"/>
    <col min="767" max="767" width="19.625" style="29" customWidth="1"/>
    <col min="768" max="1018" width="12.625" style="29"/>
    <col min="1019" max="1019" width="20.625" style="29" customWidth="1"/>
    <col min="1020" max="1020" width="38.125" style="29" customWidth="1"/>
    <col min="1021" max="1021" width="17.25" style="29" customWidth="1"/>
    <col min="1022" max="1022" width="18.75" style="29" customWidth="1"/>
    <col min="1023" max="1023" width="19.625" style="29" customWidth="1"/>
    <col min="1024" max="1274" width="12.625" style="29"/>
    <col min="1275" max="1275" width="20.625" style="29" customWidth="1"/>
    <col min="1276" max="1276" width="38.125" style="29" customWidth="1"/>
    <col min="1277" max="1277" width="17.25" style="29" customWidth="1"/>
    <col min="1278" max="1278" width="18.75" style="29" customWidth="1"/>
    <col min="1279" max="1279" width="19.625" style="29" customWidth="1"/>
    <col min="1280" max="1530" width="12.625" style="29"/>
    <col min="1531" max="1531" width="20.625" style="29" customWidth="1"/>
    <col min="1532" max="1532" width="38.125" style="29" customWidth="1"/>
    <col min="1533" max="1533" width="17.25" style="29" customWidth="1"/>
    <col min="1534" max="1534" width="18.75" style="29" customWidth="1"/>
    <col min="1535" max="1535" width="19.625" style="29" customWidth="1"/>
    <col min="1536" max="1786" width="12.625" style="29"/>
    <col min="1787" max="1787" width="20.625" style="29" customWidth="1"/>
    <col min="1788" max="1788" width="38.125" style="29" customWidth="1"/>
    <col min="1789" max="1789" width="17.25" style="29" customWidth="1"/>
    <col min="1790" max="1790" width="18.75" style="29" customWidth="1"/>
    <col min="1791" max="1791" width="19.625" style="29" customWidth="1"/>
    <col min="1792" max="2042" width="12.625" style="29"/>
    <col min="2043" max="2043" width="20.625" style="29" customWidth="1"/>
    <col min="2044" max="2044" width="38.125" style="29" customWidth="1"/>
    <col min="2045" max="2045" width="17.25" style="29" customWidth="1"/>
    <col min="2046" max="2046" width="18.75" style="29" customWidth="1"/>
    <col min="2047" max="2047" width="19.625" style="29" customWidth="1"/>
    <col min="2048" max="2298" width="12.625" style="29"/>
    <col min="2299" max="2299" width="20.625" style="29" customWidth="1"/>
    <col min="2300" max="2300" width="38.125" style="29" customWidth="1"/>
    <col min="2301" max="2301" width="17.25" style="29" customWidth="1"/>
    <col min="2302" max="2302" width="18.75" style="29" customWidth="1"/>
    <col min="2303" max="2303" width="19.625" style="29" customWidth="1"/>
    <col min="2304" max="2554" width="12.625" style="29"/>
    <col min="2555" max="2555" width="20.625" style="29" customWidth="1"/>
    <col min="2556" max="2556" width="38.125" style="29" customWidth="1"/>
    <col min="2557" max="2557" width="17.25" style="29" customWidth="1"/>
    <col min="2558" max="2558" width="18.75" style="29" customWidth="1"/>
    <col min="2559" max="2559" width="19.625" style="29" customWidth="1"/>
    <col min="2560" max="2810" width="12.625" style="29"/>
    <col min="2811" max="2811" width="20.625" style="29" customWidth="1"/>
    <col min="2812" max="2812" width="38.125" style="29" customWidth="1"/>
    <col min="2813" max="2813" width="17.25" style="29" customWidth="1"/>
    <col min="2814" max="2814" width="18.75" style="29" customWidth="1"/>
    <col min="2815" max="2815" width="19.625" style="29" customWidth="1"/>
    <col min="2816" max="3066" width="12.625" style="29"/>
    <col min="3067" max="3067" width="20.625" style="29" customWidth="1"/>
    <col min="3068" max="3068" width="38.125" style="29" customWidth="1"/>
    <col min="3069" max="3069" width="17.25" style="29" customWidth="1"/>
    <col min="3070" max="3070" width="18.75" style="29" customWidth="1"/>
    <col min="3071" max="3071" width="19.625" style="29" customWidth="1"/>
    <col min="3072" max="3322" width="12.625" style="29"/>
    <col min="3323" max="3323" width="20.625" style="29" customWidth="1"/>
    <col min="3324" max="3324" width="38.125" style="29" customWidth="1"/>
    <col min="3325" max="3325" width="17.25" style="29" customWidth="1"/>
    <col min="3326" max="3326" width="18.75" style="29" customWidth="1"/>
    <col min="3327" max="3327" width="19.625" style="29" customWidth="1"/>
    <col min="3328" max="3578" width="12.625" style="29"/>
    <col min="3579" max="3579" width="20.625" style="29" customWidth="1"/>
    <col min="3580" max="3580" width="38.125" style="29" customWidth="1"/>
    <col min="3581" max="3581" width="17.25" style="29" customWidth="1"/>
    <col min="3582" max="3582" width="18.75" style="29" customWidth="1"/>
    <col min="3583" max="3583" width="19.625" style="29" customWidth="1"/>
    <col min="3584" max="3834" width="12.625" style="29"/>
    <col min="3835" max="3835" width="20.625" style="29" customWidth="1"/>
    <col min="3836" max="3836" width="38.125" style="29" customWidth="1"/>
    <col min="3837" max="3837" width="17.25" style="29" customWidth="1"/>
    <col min="3838" max="3838" width="18.75" style="29" customWidth="1"/>
    <col min="3839" max="3839" width="19.625" style="29" customWidth="1"/>
    <col min="3840" max="4090" width="12.625" style="29"/>
    <col min="4091" max="4091" width="20.625" style="29" customWidth="1"/>
    <col min="4092" max="4092" width="38.125" style="29" customWidth="1"/>
    <col min="4093" max="4093" width="17.25" style="29" customWidth="1"/>
    <col min="4094" max="4094" width="18.75" style="29" customWidth="1"/>
    <col min="4095" max="4095" width="19.625" style="29" customWidth="1"/>
    <col min="4096" max="4346" width="12.625" style="29"/>
    <col min="4347" max="4347" width="20.625" style="29" customWidth="1"/>
    <col min="4348" max="4348" width="38.125" style="29" customWidth="1"/>
    <col min="4349" max="4349" width="17.25" style="29" customWidth="1"/>
    <col min="4350" max="4350" width="18.75" style="29" customWidth="1"/>
    <col min="4351" max="4351" width="19.625" style="29" customWidth="1"/>
    <col min="4352" max="4602" width="12.625" style="29"/>
    <col min="4603" max="4603" width="20.625" style="29" customWidth="1"/>
    <col min="4604" max="4604" width="38.125" style="29" customWidth="1"/>
    <col min="4605" max="4605" width="17.25" style="29" customWidth="1"/>
    <col min="4606" max="4606" width="18.75" style="29" customWidth="1"/>
    <col min="4607" max="4607" width="19.625" style="29" customWidth="1"/>
    <col min="4608" max="4858" width="12.625" style="29"/>
    <col min="4859" max="4859" width="20.625" style="29" customWidth="1"/>
    <col min="4860" max="4860" width="38.125" style="29" customWidth="1"/>
    <col min="4861" max="4861" width="17.25" style="29" customWidth="1"/>
    <col min="4862" max="4862" width="18.75" style="29" customWidth="1"/>
    <col min="4863" max="4863" width="19.625" style="29" customWidth="1"/>
    <col min="4864" max="5114" width="12.625" style="29"/>
    <col min="5115" max="5115" width="20.625" style="29" customWidth="1"/>
    <col min="5116" max="5116" width="38.125" style="29" customWidth="1"/>
    <col min="5117" max="5117" width="17.25" style="29" customWidth="1"/>
    <col min="5118" max="5118" width="18.75" style="29" customWidth="1"/>
    <col min="5119" max="5119" width="19.625" style="29" customWidth="1"/>
    <col min="5120" max="5370" width="12.625" style="29"/>
    <col min="5371" max="5371" width="20.625" style="29" customWidth="1"/>
    <col min="5372" max="5372" width="38.125" style="29" customWidth="1"/>
    <col min="5373" max="5373" width="17.25" style="29" customWidth="1"/>
    <col min="5374" max="5374" width="18.75" style="29" customWidth="1"/>
    <col min="5375" max="5375" width="19.625" style="29" customWidth="1"/>
    <col min="5376" max="5626" width="12.625" style="29"/>
    <col min="5627" max="5627" width="20.625" style="29" customWidth="1"/>
    <col min="5628" max="5628" width="38.125" style="29" customWidth="1"/>
    <col min="5629" max="5629" width="17.25" style="29" customWidth="1"/>
    <col min="5630" max="5630" width="18.75" style="29" customWidth="1"/>
    <col min="5631" max="5631" width="19.625" style="29" customWidth="1"/>
    <col min="5632" max="5882" width="12.625" style="29"/>
    <col min="5883" max="5883" width="20.625" style="29" customWidth="1"/>
    <col min="5884" max="5884" width="38.125" style="29" customWidth="1"/>
    <col min="5885" max="5885" width="17.25" style="29" customWidth="1"/>
    <col min="5886" max="5886" width="18.75" style="29" customWidth="1"/>
    <col min="5887" max="5887" width="19.625" style="29" customWidth="1"/>
    <col min="5888" max="6138" width="12.625" style="29"/>
    <col min="6139" max="6139" width="20.625" style="29" customWidth="1"/>
    <col min="6140" max="6140" width="38.125" style="29" customWidth="1"/>
    <col min="6141" max="6141" width="17.25" style="29" customWidth="1"/>
    <col min="6142" max="6142" width="18.75" style="29" customWidth="1"/>
    <col min="6143" max="6143" width="19.625" style="29" customWidth="1"/>
    <col min="6144" max="6394" width="12.625" style="29"/>
    <col min="6395" max="6395" width="20.625" style="29" customWidth="1"/>
    <col min="6396" max="6396" width="38.125" style="29" customWidth="1"/>
    <col min="6397" max="6397" width="17.25" style="29" customWidth="1"/>
    <col min="6398" max="6398" width="18.75" style="29" customWidth="1"/>
    <col min="6399" max="6399" width="19.625" style="29" customWidth="1"/>
    <col min="6400" max="6650" width="12.625" style="29"/>
    <col min="6651" max="6651" width="20.625" style="29" customWidth="1"/>
    <col min="6652" max="6652" width="38.125" style="29" customWidth="1"/>
    <col min="6653" max="6653" width="17.25" style="29" customWidth="1"/>
    <col min="6654" max="6654" width="18.75" style="29" customWidth="1"/>
    <col min="6655" max="6655" width="19.625" style="29" customWidth="1"/>
    <col min="6656" max="6906" width="12.625" style="29"/>
    <col min="6907" max="6907" width="20.625" style="29" customWidth="1"/>
    <col min="6908" max="6908" width="38.125" style="29" customWidth="1"/>
    <col min="6909" max="6909" width="17.25" style="29" customWidth="1"/>
    <col min="6910" max="6910" width="18.75" style="29" customWidth="1"/>
    <col min="6911" max="6911" width="19.625" style="29" customWidth="1"/>
    <col min="6912" max="7162" width="12.625" style="29"/>
    <col min="7163" max="7163" width="20.625" style="29" customWidth="1"/>
    <col min="7164" max="7164" width="38.125" style="29" customWidth="1"/>
    <col min="7165" max="7165" width="17.25" style="29" customWidth="1"/>
    <col min="7166" max="7166" width="18.75" style="29" customWidth="1"/>
    <col min="7167" max="7167" width="19.625" style="29" customWidth="1"/>
    <col min="7168" max="7418" width="12.625" style="29"/>
    <col min="7419" max="7419" width="20.625" style="29" customWidth="1"/>
    <col min="7420" max="7420" width="38.125" style="29" customWidth="1"/>
    <col min="7421" max="7421" width="17.25" style="29" customWidth="1"/>
    <col min="7422" max="7422" width="18.75" style="29" customWidth="1"/>
    <col min="7423" max="7423" width="19.625" style="29" customWidth="1"/>
    <col min="7424" max="7674" width="12.625" style="29"/>
    <col min="7675" max="7675" width="20.625" style="29" customWidth="1"/>
    <col min="7676" max="7676" width="38.125" style="29" customWidth="1"/>
    <col min="7677" max="7677" width="17.25" style="29" customWidth="1"/>
    <col min="7678" max="7678" width="18.75" style="29" customWidth="1"/>
    <col min="7679" max="7679" width="19.625" style="29" customWidth="1"/>
    <col min="7680" max="7930" width="12.625" style="29"/>
    <col min="7931" max="7931" width="20.625" style="29" customWidth="1"/>
    <col min="7932" max="7932" width="38.125" style="29" customWidth="1"/>
    <col min="7933" max="7933" width="17.25" style="29" customWidth="1"/>
    <col min="7934" max="7934" width="18.75" style="29" customWidth="1"/>
    <col min="7935" max="7935" width="19.625" style="29" customWidth="1"/>
    <col min="7936" max="8186" width="12.625" style="29"/>
    <col min="8187" max="8187" width="20.625" style="29" customWidth="1"/>
    <col min="8188" max="8188" width="38.125" style="29" customWidth="1"/>
    <col min="8189" max="8189" width="17.25" style="29" customWidth="1"/>
    <col min="8190" max="8190" width="18.75" style="29" customWidth="1"/>
    <col min="8191" max="8191" width="19.625" style="29" customWidth="1"/>
    <col min="8192" max="8442" width="12.625" style="29"/>
    <col min="8443" max="8443" width="20.625" style="29" customWidth="1"/>
    <col min="8444" max="8444" width="38.125" style="29" customWidth="1"/>
    <col min="8445" max="8445" width="17.25" style="29" customWidth="1"/>
    <col min="8446" max="8446" width="18.75" style="29" customWidth="1"/>
    <col min="8447" max="8447" width="19.625" style="29" customWidth="1"/>
    <col min="8448" max="8698" width="12.625" style="29"/>
    <col min="8699" max="8699" width="20.625" style="29" customWidth="1"/>
    <col min="8700" max="8700" width="38.125" style="29" customWidth="1"/>
    <col min="8701" max="8701" width="17.25" style="29" customWidth="1"/>
    <col min="8702" max="8702" width="18.75" style="29" customWidth="1"/>
    <col min="8703" max="8703" width="19.625" style="29" customWidth="1"/>
    <col min="8704" max="8954" width="12.625" style="29"/>
    <col min="8955" max="8955" width="20.625" style="29" customWidth="1"/>
    <col min="8956" max="8956" width="38.125" style="29" customWidth="1"/>
    <col min="8957" max="8957" width="17.25" style="29" customWidth="1"/>
    <col min="8958" max="8958" width="18.75" style="29" customWidth="1"/>
    <col min="8959" max="8959" width="19.625" style="29" customWidth="1"/>
    <col min="8960" max="9210" width="12.625" style="29"/>
    <col min="9211" max="9211" width="20.625" style="29" customWidth="1"/>
    <col min="9212" max="9212" width="38.125" style="29" customWidth="1"/>
    <col min="9213" max="9213" width="17.25" style="29" customWidth="1"/>
    <col min="9214" max="9214" width="18.75" style="29" customWidth="1"/>
    <col min="9215" max="9215" width="19.625" style="29" customWidth="1"/>
    <col min="9216" max="9466" width="12.625" style="29"/>
    <col min="9467" max="9467" width="20.625" style="29" customWidth="1"/>
    <col min="9468" max="9468" width="38.125" style="29" customWidth="1"/>
    <col min="9469" max="9469" width="17.25" style="29" customWidth="1"/>
    <col min="9470" max="9470" width="18.75" style="29" customWidth="1"/>
    <col min="9471" max="9471" width="19.625" style="29" customWidth="1"/>
    <col min="9472" max="9722" width="12.625" style="29"/>
    <col min="9723" max="9723" width="20.625" style="29" customWidth="1"/>
    <col min="9724" max="9724" width="38.125" style="29" customWidth="1"/>
    <col min="9725" max="9725" width="17.25" style="29" customWidth="1"/>
    <col min="9726" max="9726" width="18.75" style="29" customWidth="1"/>
    <col min="9727" max="9727" width="19.625" style="29" customWidth="1"/>
    <col min="9728" max="9978" width="12.625" style="29"/>
    <col min="9979" max="9979" width="20.625" style="29" customWidth="1"/>
    <col min="9980" max="9980" width="38.125" style="29" customWidth="1"/>
    <col min="9981" max="9981" width="17.25" style="29" customWidth="1"/>
    <col min="9982" max="9982" width="18.75" style="29" customWidth="1"/>
    <col min="9983" max="9983" width="19.625" style="29" customWidth="1"/>
    <col min="9984" max="10234" width="12.625" style="29"/>
    <col min="10235" max="10235" width="20.625" style="29" customWidth="1"/>
    <col min="10236" max="10236" width="38.125" style="29" customWidth="1"/>
    <col min="10237" max="10237" width="17.25" style="29" customWidth="1"/>
    <col min="10238" max="10238" width="18.75" style="29" customWidth="1"/>
    <col min="10239" max="10239" width="19.625" style="29" customWidth="1"/>
    <col min="10240" max="10490" width="12.625" style="29"/>
    <col min="10491" max="10491" width="20.625" style="29" customWidth="1"/>
    <col min="10492" max="10492" width="38.125" style="29" customWidth="1"/>
    <col min="10493" max="10493" width="17.25" style="29" customWidth="1"/>
    <col min="10494" max="10494" width="18.75" style="29" customWidth="1"/>
    <col min="10495" max="10495" width="19.625" style="29" customWidth="1"/>
    <col min="10496" max="10746" width="12.625" style="29"/>
    <col min="10747" max="10747" width="20.625" style="29" customWidth="1"/>
    <col min="10748" max="10748" width="38.125" style="29" customWidth="1"/>
    <col min="10749" max="10749" width="17.25" style="29" customWidth="1"/>
    <col min="10750" max="10750" width="18.75" style="29" customWidth="1"/>
    <col min="10751" max="10751" width="19.625" style="29" customWidth="1"/>
    <col min="10752" max="11002" width="12.625" style="29"/>
    <col min="11003" max="11003" width="20.625" style="29" customWidth="1"/>
    <col min="11004" max="11004" width="38.125" style="29" customWidth="1"/>
    <col min="11005" max="11005" width="17.25" style="29" customWidth="1"/>
    <col min="11006" max="11006" width="18.75" style="29" customWidth="1"/>
    <col min="11007" max="11007" width="19.625" style="29" customWidth="1"/>
    <col min="11008" max="11258" width="12.625" style="29"/>
    <col min="11259" max="11259" width="20.625" style="29" customWidth="1"/>
    <col min="11260" max="11260" width="38.125" style="29" customWidth="1"/>
    <col min="11261" max="11261" width="17.25" style="29" customWidth="1"/>
    <col min="11262" max="11262" width="18.75" style="29" customWidth="1"/>
    <col min="11263" max="11263" width="19.625" style="29" customWidth="1"/>
    <col min="11264" max="11514" width="12.625" style="29"/>
    <col min="11515" max="11515" width="20.625" style="29" customWidth="1"/>
    <col min="11516" max="11516" width="38.125" style="29" customWidth="1"/>
    <col min="11517" max="11517" width="17.25" style="29" customWidth="1"/>
    <col min="11518" max="11518" width="18.75" style="29" customWidth="1"/>
    <col min="11519" max="11519" width="19.625" style="29" customWidth="1"/>
    <col min="11520" max="11770" width="12.625" style="29"/>
    <col min="11771" max="11771" width="20.625" style="29" customWidth="1"/>
    <col min="11772" max="11772" width="38.125" style="29" customWidth="1"/>
    <col min="11773" max="11773" width="17.25" style="29" customWidth="1"/>
    <col min="11774" max="11774" width="18.75" style="29" customWidth="1"/>
    <col min="11775" max="11775" width="19.625" style="29" customWidth="1"/>
    <col min="11776" max="12026" width="12.625" style="29"/>
    <col min="12027" max="12027" width="20.625" style="29" customWidth="1"/>
    <col min="12028" max="12028" width="38.125" style="29" customWidth="1"/>
    <col min="12029" max="12029" width="17.25" style="29" customWidth="1"/>
    <col min="12030" max="12030" width="18.75" style="29" customWidth="1"/>
    <col min="12031" max="12031" width="19.625" style="29" customWidth="1"/>
    <col min="12032" max="12282" width="12.625" style="29"/>
    <col min="12283" max="12283" width="20.625" style="29" customWidth="1"/>
    <col min="12284" max="12284" width="38.125" style="29" customWidth="1"/>
    <col min="12285" max="12285" width="17.25" style="29" customWidth="1"/>
    <col min="12286" max="12286" width="18.75" style="29" customWidth="1"/>
    <col min="12287" max="12287" width="19.625" style="29" customWidth="1"/>
    <col min="12288" max="12538" width="12.625" style="29"/>
    <col min="12539" max="12539" width="20.625" style="29" customWidth="1"/>
    <col min="12540" max="12540" width="38.125" style="29" customWidth="1"/>
    <col min="12541" max="12541" width="17.25" style="29" customWidth="1"/>
    <col min="12542" max="12542" width="18.75" style="29" customWidth="1"/>
    <col min="12543" max="12543" width="19.625" style="29" customWidth="1"/>
    <col min="12544" max="12794" width="12.625" style="29"/>
    <col min="12795" max="12795" width="20.625" style="29" customWidth="1"/>
    <col min="12796" max="12796" width="38.125" style="29" customWidth="1"/>
    <col min="12797" max="12797" width="17.25" style="29" customWidth="1"/>
    <col min="12798" max="12798" width="18.75" style="29" customWidth="1"/>
    <col min="12799" max="12799" width="19.625" style="29" customWidth="1"/>
    <col min="12800" max="13050" width="12.625" style="29"/>
    <col min="13051" max="13051" width="20.625" style="29" customWidth="1"/>
    <col min="13052" max="13052" width="38.125" style="29" customWidth="1"/>
    <col min="13053" max="13053" width="17.25" style="29" customWidth="1"/>
    <col min="13054" max="13054" width="18.75" style="29" customWidth="1"/>
    <col min="13055" max="13055" width="19.625" style="29" customWidth="1"/>
    <col min="13056" max="13306" width="12.625" style="29"/>
    <col min="13307" max="13307" width="20.625" style="29" customWidth="1"/>
    <col min="13308" max="13308" width="38.125" style="29" customWidth="1"/>
    <col min="13309" max="13309" width="17.25" style="29" customWidth="1"/>
    <col min="13310" max="13310" width="18.75" style="29" customWidth="1"/>
    <col min="13311" max="13311" width="19.625" style="29" customWidth="1"/>
    <col min="13312" max="13562" width="12.625" style="29"/>
    <col min="13563" max="13563" width="20.625" style="29" customWidth="1"/>
    <col min="13564" max="13564" width="38.125" style="29" customWidth="1"/>
    <col min="13565" max="13565" width="17.25" style="29" customWidth="1"/>
    <col min="13566" max="13566" width="18.75" style="29" customWidth="1"/>
    <col min="13567" max="13567" width="19.625" style="29" customWidth="1"/>
    <col min="13568" max="13818" width="12.625" style="29"/>
    <col min="13819" max="13819" width="20.625" style="29" customWidth="1"/>
    <col min="13820" max="13820" width="38.125" style="29" customWidth="1"/>
    <col min="13821" max="13821" width="17.25" style="29" customWidth="1"/>
    <col min="13822" max="13822" width="18.75" style="29" customWidth="1"/>
    <col min="13823" max="13823" width="19.625" style="29" customWidth="1"/>
    <col min="13824" max="14074" width="12.625" style="29"/>
    <col min="14075" max="14075" width="20.625" style="29" customWidth="1"/>
    <col min="14076" max="14076" width="38.125" style="29" customWidth="1"/>
    <col min="14077" max="14077" width="17.25" style="29" customWidth="1"/>
    <col min="14078" max="14078" width="18.75" style="29" customWidth="1"/>
    <col min="14079" max="14079" width="19.625" style="29" customWidth="1"/>
    <col min="14080" max="14330" width="12.625" style="29"/>
    <col min="14331" max="14331" width="20.625" style="29" customWidth="1"/>
    <col min="14332" max="14332" width="38.125" style="29" customWidth="1"/>
    <col min="14333" max="14333" width="17.25" style="29" customWidth="1"/>
    <col min="14334" max="14334" width="18.75" style="29" customWidth="1"/>
    <col min="14335" max="14335" width="19.625" style="29" customWidth="1"/>
    <col min="14336" max="14586" width="12.625" style="29"/>
    <col min="14587" max="14587" width="20.625" style="29" customWidth="1"/>
    <col min="14588" max="14588" width="38.125" style="29" customWidth="1"/>
    <col min="14589" max="14589" width="17.25" style="29" customWidth="1"/>
    <col min="14590" max="14590" width="18.75" style="29" customWidth="1"/>
    <col min="14591" max="14591" width="19.625" style="29" customWidth="1"/>
    <col min="14592" max="14842" width="12.625" style="29"/>
    <col min="14843" max="14843" width="20.625" style="29" customWidth="1"/>
    <col min="14844" max="14844" width="38.125" style="29" customWidth="1"/>
    <col min="14845" max="14845" width="17.25" style="29" customWidth="1"/>
    <col min="14846" max="14846" width="18.75" style="29" customWidth="1"/>
    <col min="14847" max="14847" width="19.625" style="29" customWidth="1"/>
    <col min="14848" max="15098" width="12.625" style="29"/>
    <col min="15099" max="15099" width="20.625" style="29" customWidth="1"/>
    <col min="15100" max="15100" width="38.125" style="29" customWidth="1"/>
    <col min="15101" max="15101" width="17.25" style="29" customWidth="1"/>
    <col min="15102" max="15102" width="18.75" style="29" customWidth="1"/>
    <col min="15103" max="15103" width="19.625" style="29" customWidth="1"/>
    <col min="15104" max="15354" width="12.625" style="29"/>
    <col min="15355" max="15355" width="20.625" style="29" customWidth="1"/>
    <col min="15356" max="15356" width="38.125" style="29" customWidth="1"/>
    <col min="15357" max="15357" width="17.25" style="29" customWidth="1"/>
    <col min="15358" max="15358" width="18.75" style="29" customWidth="1"/>
    <col min="15359" max="15359" width="19.625" style="29" customWidth="1"/>
    <col min="15360" max="15610" width="12.625" style="29"/>
    <col min="15611" max="15611" width="20.625" style="29" customWidth="1"/>
    <col min="15612" max="15612" width="38.125" style="29" customWidth="1"/>
    <col min="15613" max="15613" width="17.25" style="29" customWidth="1"/>
    <col min="15614" max="15614" width="18.75" style="29" customWidth="1"/>
    <col min="15615" max="15615" width="19.625" style="29" customWidth="1"/>
    <col min="15616" max="15866" width="12.625" style="29"/>
    <col min="15867" max="15867" width="20.625" style="29" customWidth="1"/>
    <col min="15868" max="15868" width="38.125" style="29" customWidth="1"/>
    <col min="15869" max="15869" width="17.25" style="29" customWidth="1"/>
    <col min="15870" max="15870" width="18.75" style="29" customWidth="1"/>
    <col min="15871" max="15871" width="19.625" style="29" customWidth="1"/>
    <col min="15872" max="16122" width="12.625" style="29"/>
    <col min="16123" max="16123" width="20.625" style="29" customWidth="1"/>
    <col min="16124" max="16124" width="38.125" style="29" customWidth="1"/>
    <col min="16125" max="16125" width="17.25" style="29" customWidth="1"/>
    <col min="16126" max="16126" width="18.75" style="29" customWidth="1"/>
    <col min="16127" max="16127" width="19.625" style="29" customWidth="1"/>
    <col min="16128" max="16384" width="12.625" style="29"/>
  </cols>
  <sheetData>
    <row r="1" spans="1:4" ht="20.100000000000001" customHeight="1">
      <c r="A1" s="27" t="s">
        <v>172</v>
      </c>
    </row>
    <row r="2" spans="1:4" ht="17.25" customHeight="1">
      <c r="B2" s="6"/>
      <c r="C2" s="58"/>
    </row>
    <row r="3" spans="1:4" ht="20.100000000000001" customHeight="1">
      <c r="A3" s="2083">
        <f>가수금!A3</f>
        <v>45504</v>
      </c>
      <c r="B3" s="2083"/>
      <c r="C3" s="30"/>
      <c r="D3" s="31" t="s">
        <v>0</v>
      </c>
    </row>
    <row r="4" spans="1:4" ht="20.100000000000001" customHeight="1">
      <c r="A4" s="76" t="s">
        <v>97</v>
      </c>
      <c r="B4" s="76" t="s">
        <v>2</v>
      </c>
      <c r="C4" s="61" t="s">
        <v>3</v>
      </c>
      <c r="D4" s="62" t="s">
        <v>4</v>
      </c>
    </row>
    <row r="5" spans="1:4" ht="20.100000000000001" customHeight="1">
      <c r="A5" s="2166" t="s">
        <v>99</v>
      </c>
      <c r="B5" s="2167"/>
      <c r="C5" s="208">
        <v>210557145</v>
      </c>
      <c r="D5" s="376"/>
    </row>
    <row r="6" spans="1:4" ht="21.95" customHeight="1">
      <c r="A6" s="887">
        <v>42035</v>
      </c>
      <c r="B6" s="309" t="s">
        <v>173</v>
      </c>
      <c r="C6" s="310">
        <v>-55565030</v>
      </c>
      <c r="D6" s="371"/>
    </row>
    <row r="7" spans="1:4" ht="21.95" customHeight="1">
      <c r="A7" s="888">
        <v>42063</v>
      </c>
      <c r="B7" s="305" t="s">
        <v>173</v>
      </c>
      <c r="C7" s="312">
        <f>-(-46737146-171025)</f>
        <v>46908171</v>
      </c>
      <c r="D7" s="304"/>
    </row>
    <row r="8" spans="1:4" ht="21.95" customHeight="1">
      <c r="A8" s="888">
        <v>42063</v>
      </c>
      <c r="B8" s="305" t="s">
        <v>174</v>
      </c>
      <c r="C8" s="312">
        <v>-18384267</v>
      </c>
      <c r="D8" s="304"/>
    </row>
    <row r="9" spans="1:4" ht="21.95" customHeight="1">
      <c r="A9" s="888">
        <v>42094</v>
      </c>
      <c r="B9" s="305" t="str">
        <f>B7</f>
        <v>보험수리적 손익</v>
      </c>
      <c r="C9" s="312">
        <v>-2265267</v>
      </c>
      <c r="D9" s="304"/>
    </row>
    <row r="10" spans="1:4" ht="21.95" customHeight="1">
      <c r="A10" s="888">
        <v>42124</v>
      </c>
      <c r="B10" s="307" t="str">
        <f t="shared" ref="B10:B28" si="0">B9</f>
        <v>보험수리적 손익</v>
      </c>
      <c r="C10" s="312">
        <f>-(1180092-21182)</f>
        <v>-1158910</v>
      </c>
      <c r="D10" s="304"/>
    </row>
    <row r="11" spans="1:4" ht="21.95" customHeight="1">
      <c r="A11" s="888">
        <v>42155</v>
      </c>
      <c r="B11" s="305" t="str">
        <f t="shared" si="0"/>
        <v>보험수리적 손익</v>
      </c>
      <c r="C11" s="312">
        <f>-(891802-4989)</f>
        <v>-886813</v>
      </c>
      <c r="D11" s="304"/>
    </row>
    <row r="12" spans="1:4" ht="21.95" customHeight="1">
      <c r="A12" s="888">
        <v>42185</v>
      </c>
      <c r="B12" s="305" t="str">
        <f t="shared" si="0"/>
        <v>보험수리적 손익</v>
      </c>
      <c r="C12" s="312">
        <v>2914428</v>
      </c>
      <c r="D12" s="304"/>
    </row>
    <row r="13" spans="1:4" ht="21.95" customHeight="1">
      <c r="A13" s="888">
        <v>42216</v>
      </c>
      <c r="B13" s="305" t="str">
        <f t="shared" si="0"/>
        <v>보험수리적 손익</v>
      </c>
      <c r="C13" s="312">
        <v>760950</v>
      </c>
      <c r="D13" s="304"/>
    </row>
    <row r="14" spans="1:4" ht="21.95" customHeight="1">
      <c r="A14" s="888">
        <v>42247</v>
      </c>
      <c r="B14" s="305" t="str">
        <f t="shared" si="0"/>
        <v>보험수리적 손익</v>
      </c>
      <c r="C14" s="312">
        <v>14112929</v>
      </c>
      <c r="D14" s="304"/>
    </row>
    <row r="15" spans="1:4" ht="21.95" customHeight="1">
      <c r="A15" s="888">
        <v>42277</v>
      </c>
      <c r="B15" s="305" t="str">
        <f t="shared" si="0"/>
        <v>보험수리적 손익</v>
      </c>
      <c r="C15" s="312">
        <v>-21218590</v>
      </c>
      <c r="D15" s="304"/>
    </row>
    <row r="16" spans="1:4" ht="21.95" customHeight="1">
      <c r="A16" s="888">
        <v>42308</v>
      </c>
      <c r="B16" s="305" t="str">
        <f t="shared" si="0"/>
        <v>보험수리적 손익</v>
      </c>
      <c r="C16" s="312">
        <v>-566393</v>
      </c>
      <c r="D16" s="304"/>
    </row>
    <row r="17" spans="1:4" ht="21.95" customHeight="1">
      <c r="A17" s="888">
        <v>42338</v>
      </c>
      <c r="B17" s="305" t="str">
        <f t="shared" si="0"/>
        <v>보험수리적 손익</v>
      </c>
      <c r="C17" s="312">
        <v>-1440322</v>
      </c>
      <c r="D17" s="304"/>
    </row>
    <row r="18" spans="1:4" ht="21.95" customHeight="1">
      <c r="A18" s="888">
        <v>42369</v>
      </c>
      <c r="B18" s="307" t="str">
        <f t="shared" si="0"/>
        <v>보험수리적 손익</v>
      </c>
      <c r="C18" s="312">
        <f>-21231524+1736329+12382548</f>
        <v>-7112647</v>
      </c>
      <c r="D18" s="304"/>
    </row>
    <row r="19" spans="1:4" ht="21.95" customHeight="1">
      <c r="A19" s="889">
        <v>42460</v>
      </c>
      <c r="B19" s="307" t="str">
        <f t="shared" si="0"/>
        <v>보험수리적 손익</v>
      </c>
      <c r="C19" s="589">
        <f>249707-3779966</f>
        <v>-3530259</v>
      </c>
      <c r="D19" s="590"/>
    </row>
    <row r="20" spans="1:4" ht="21.95" customHeight="1">
      <c r="A20" s="889">
        <v>42551</v>
      </c>
      <c r="B20" s="307" t="str">
        <f t="shared" si="0"/>
        <v>보험수리적 손익</v>
      </c>
      <c r="C20" s="589">
        <f>485696+16367947</f>
        <v>16853643</v>
      </c>
      <c r="D20" s="590"/>
    </row>
    <row r="21" spans="1:4" ht="21.95" customHeight="1">
      <c r="A21" s="889">
        <v>42643</v>
      </c>
      <c r="B21" s="307" t="str">
        <f t="shared" si="0"/>
        <v>보험수리적 손익</v>
      </c>
      <c r="C21" s="589">
        <f>-1465720-426543</f>
        <v>-1892263</v>
      </c>
      <c r="D21" s="590"/>
    </row>
    <row r="22" spans="1:4" ht="21.95" customHeight="1">
      <c r="A22" s="889">
        <v>42735</v>
      </c>
      <c r="B22" s="307" t="str">
        <f t="shared" si="0"/>
        <v>보험수리적 손익</v>
      </c>
      <c r="C22" s="589">
        <f>1469575+2636672-3418221</f>
        <v>688026</v>
      </c>
      <c r="D22" s="590"/>
    </row>
    <row r="23" spans="1:4" ht="21.95" customHeight="1">
      <c r="A23" s="889">
        <v>42825</v>
      </c>
      <c r="B23" s="307" t="str">
        <f t="shared" si="0"/>
        <v>보험수리적 손익</v>
      </c>
      <c r="C23" s="312">
        <f>580803-2542123</f>
        <v>-1961320</v>
      </c>
      <c r="D23" s="304"/>
    </row>
    <row r="24" spans="1:4" ht="21.95" customHeight="1">
      <c r="A24" s="905">
        <v>42916</v>
      </c>
      <c r="B24" s="307" t="str">
        <f t="shared" si="0"/>
        <v>보험수리적 손익</v>
      </c>
      <c r="C24" s="312">
        <f>823276-3482040</f>
        <v>-2658764</v>
      </c>
      <c r="D24" s="304"/>
    </row>
    <row r="25" spans="1:4" ht="21.95" customHeight="1">
      <c r="A25" s="918">
        <v>43008</v>
      </c>
      <c r="B25" s="307" t="str">
        <f t="shared" si="0"/>
        <v>보험수리적 손익</v>
      </c>
      <c r="C25" s="919">
        <v>499945</v>
      </c>
      <c r="D25" s="920"/>
    </row>
    <row r="26" spans="1:4" ht="21.95" customHeight="1">
      <c r="A26" s="918">
        <v>43008</v>
      </c>
      <c r="B26" s="307" t="str">
        <f t="shared" si="0"/>
        <v>보험수리적 손익</v>
      </c>
      <c r="C26" s="919">
        <v>-2833833</v>
      </c>
      <c r="D26" s="920"/>
    </row>
    <row r="27" spans="1:4" ht="21.95" customHeight="1">
      <c r="A27" s="918">
        <v>43100</v>
      </c>
      <c r="B27" s="307" t="str">
        <f t="shared" si="0"/>
        <v>보험수리적 손익</v>
      </c>
      <c r="C27" s="919">
        <v>2129080</v>
      </c>
      <c r="D27" s="920"/>
    </row>
    <row r="28" spans="1:4" ht="21.95" customHeight="1">
      <c r="A28" s="918">
        <v>43100</v>
      </c>
      <c r="B28" s="307" t="str">
        <f t="shared" si="0"/>
        <v>보험수리적 손익</v>
      </c>
      <c r="C28" s="919">
        <v>-4888991</v>
      </c>
      <c r="D28" s="920"/>
    </row>
    <row r="29" spans="1:4" ht="21.95" customHeight="1">
      <c r="A29" s="918">
        <v>43100</v>
      </c>
      <c r="B29" s="906" t="s">
        <v>550</v>
      </c>
      <c r="C29" s="312">
        <v>2137054</v>
      </c>
      <c r="D29" s="304"/>
    </row>
    <row r="30" spans="1:4" ht="21.95" customHeight="1">
      <c r="A30" s="1011">
        <v>43190</v>
      </c>
      <c r="B30" s="1012" t="s">
        <v>556</v>
      </c>
      <c r="C30" s="1013">
        <v>1930977</v>
      </c>
      <c r="D30" s="1014"/>
    </row>
    <row r="31" spans="1:4" ht="21.95" customHeight="1">
      <c r="A31" s="1011">
        <v>43190</v>
      </c>
      <c r="B31" s="1012" t="s">
        <v>555</v>
      </c>
      <c r="C31" s="1013">
        <v>16895772</v>
      </c>
      <c r="D31" s="1014"/>
    </row>
    <row r="32" spans="1:4" ht="21.95" customHeight="1">
      <c r="A32" s="1011">
        <v>43281</v>
      </c>
      <c r="B32" s="1012" t="s">
        <v>562</v>
      </c>
      <c r="C32" s="1013">
        <v>1495893</v>
      </c>
      <c r="D32" s="1014"/>
    </row>
    <row r="33" spans="1:4" ht="21.95" customHeight="1">
      <c r="A33" s="1011">
        <v>43281</v>
      </c>
      <c r="B33" s="1012" t="s">
        <v>563</v>
      </c>
      <c r="C33" s="1013">
        <v>-4281939</v>
      </c>
      <c r="D33" s="1014"/>
    </row>
    <row r="34" spans="1:4" ht="21.95" customHeight="1">
      <c r="A34" s="1011">
        <v>43373</v>
      </c>
      <c r="B34" s="1012" t="s">
        <v>574</v>
      </c>
      <c r="C34" s="1013">
        <v>1125635</v>
      </c>
      <c r="D34" s="1014"/>
    </row>
    <row r="35" spans="1:4" ht="21.95" customHeight="1">
      <c r="A35" s="1011">
        <v>43373</v>
      </c>
      <c r="B35" s="1012" t="s">
        <v>573</v>
      </c>
      <c r="C35" s="1013">
        <v>-4192858</v>
      </c>
      <c r="D35" s="1014"/>
    </row>
    <row r="36" spans="1:4" ht="21.95" customHeight="1">
      <c r="A36" s="1217">
        <v>43465</v>
      </c>
      <c r="B36" s="1218" t="s">
        <v>650</v>
      </c>
      <c r="C36" s="1219">
        <v>2503659</v>
      </c>
      <c r="D36" s="1014"/>
    </row>
    <row r="37" spans="1:4" ht="21.95" customHeight="1">
      <c r="A37" s="1217">
        <v>43465</v>
      </c>
      <c r="B37" s="1218" t="s">
        <v>646</v>
      </c>
      <c r="C37" s="1219">
        <v>14440576</v>
      </c>
      <c r="D37" s="1014"/>
    </row>
    <row r="38" spans="1:4" ht="21.95" customHeight="1">
      <c r="A38" s="1217">
        <v>43465</v>
      </c>
      <c r="B38" s="1218" t="s">
        <v>550</v>
      </c>
      <c r="C38" s="1219">
        <v>-6581897</v>
      </c>
      <c r="D38" s="1014"/>
    </row>
    <row r="39" spans="1:4" ht="21.95" customHeight="1">
      <c r="A39" s="1011">
        <v>43555</v>
      </c>
      <c r="B39" s="1012" t="s">
        <v>651</v>
      </c>
      <c r="C39" s="1013">
        <v>-658190</v>
      </c>
      <c r="D39" s="1014"/>
    </row>
    <row r="40" spans="1:4" ht="21.95" customHeight="1">
      <c r="A40" s="1011">
        <v>43555</v>
      </c>
      <c r="B40" s="1012" t="s">
        <v>652</v>
      </c>
      <c r="C40" s="1013">
        <v>1659153</v>
      </c>
      <c r="D40" s="1014"/>
    </row>
    <row r="41" spans="1:4" ht="21.95" customHeight="1">
      <c r="A41" s="1011">
        <v>43555</v>
      </c>
      <c r="B41" s="1012" t="s">
        <v>653</v>
      </c>
      <c r="C41" s="1013">
        <v>9404833</v>
      </c>
      <c r="D41" s="1014"/>
    </row>
    <row r="42" spans="1:4" ht="21.95" customHeight="1">
      <c r="A42" s="1220">
        <v>43646</v>
      </c>
      <c r="B42" s="1221" t="s">
        <v>664</v>
      </c>
      <c r="C42" s="1222">
        <v>742208</v>
      </c>
      <c r="D42" s="1223"/>
    </row>
    <row r="43" spans="1:4" ht="21.95" customHeight="1">
      <c r="A43" s="1220">
        <v>43646</v>
      </c>
      <c r="B43" s="1221" t="s">
        <v>662</v>
      </c>
      <c r="C43" s="1222">
        <v>-3756293</v>
      </c>
      <c r="D43" s="1223"/>
    </row>
    <row r="44" spans="1:4" ht="21.95" customHeight="1">
      <c r="A44" s="1220">
        <v>43738</v>
      </c>
      <c r="B44" s="1221" t="s">
        <v>670</v>
      </c>
      <c r="C44" s="1222">
        <v>711215</v>
      </c>
      <c r="D44" s="1223"/>
    </row>
    <row r="45" spans="1:4" ht="21.95" customHeight="1">
      <c r="A45" s="1220">
        <v>43738</v>
      </c>
      <c r="B45" s="1221" t="s">
        <v>669</v>
      </c>
      <c r="C45" s="1222">
        <v>8328710</v>
      </c>
      <c r="D45" s="1223"/>
    </row>
    <row r="46" spans="1:4" ht="21.95" customHeight="1">
      <c r="A46" s="1220">
        <v>43830</v>
      </c>
      <c r="B46" s="1221" t="s">
        <v>863</v>
      </c>
      <c r="C46" s="1222">
        <v>1804449</v>
      </c>
      <c r="D46" s="1223"/>
    </row>
    <row r="47" spans="1:4" ht="21.95" customHeight="1">
      <c r="A47" s="1220">
        <v>43830</v>
      </c>
      <c r="B47" s="1221" t="s">
        <v>864</v>
      </c>
      <c r="C47" s="1222">
        <v>7229056</v>
      </c>
      <c r="D47" s="1223"/>
    </row>
    <row r="48" spans="1:4" ht="21.95" customHeight="1">
      <c r="A48" s="1220">
        <v>43830</v>
      </c>
      <c r="B48" s="1221" t="s">
        <v>550</v>
      </c>
      <c r="C48" s="1222">
        <v>-5747133</v>
      </c>
      <c r="D48" s="1223"/>
    </row>
    <row r="49" spans="1:4" ht="21.95" customHeight="1">
      <c r="A49" s="1285">
        <v>43921</v>
      </c>
      <c r="B49" s="1286" t="s">
        <v>880</v>
      </c>
      <c r="C49" s="1287">
        <v>966056</v>
      </c>
      <c r="D49" s="1288"/>
    </row>
    <row r="50" spans="1:4" ht="21.95" customHeight="1">
      <c r="A50" s="1285">
        <v>43921</v>
      </c>
      <c r="B50" s="1286" t="s">
        <v>881</v>
      </c>
      <c r="C50" s="1287">
        <v>8504796</v>
      </c>
      <c r="D50" s="1288"/>
    </row>
    <row r="51" spans="1:4" ht="21.95" customHeight="1">
      <c r="A51" s="1285">
        <v>44012</v>
      </c>
      <c r="B51" s="1286" t="s">
        <v>890</v>
      </c>
      <c r="C51" s="1287">
        <v>673473</v>
      </c>
      <c r="D51" s="1288"/>
    </row>
    <row r="52" spans="1:4" ht="21.95" customHeight="1">
      <c r="A52" s="1285">
        <v>44012</v>
      </c>
      <c r="B52" s="1286" t="s">
        <v>891</v>
      </c>
      <c r="C52" s="1287">
        <v>3380024</v>
      </c>
      <c r="D52" s="1288"/>
    </row>
    <row r="53" spans="1:4" ht="21.95" customHeight="1">
      <c r="A53" s="1285">
        <v>44104</v>
      </c>
      <c r="B53" s="1286" t="s">
        <v>899</v>
      </c>
      <c r="C53" s="1287">
        <v>-69574</v>
      </c>
      <c r="D53" s="1288"/>
    </row>
    <row r="54" spans="1:4" ht="21.75" customHeight="1">
      <c r="A54" s="1285">
        <v>44104</v>
      </c>
      <c r="B54" s="1012" t="s">
        <v>900</v>
      </c>
      <c r="C54" s="1013">
        <v>-788763</v>
      </c>
      <c r="D54" s="1014"/>
    </row>
    <row r="55" spans="1:4" ht="21.75" customHeight="1">
      <c r="A55" s="1381">
        <v>44196</v>
      </c>
      <c r="B55" s="1382" t="s">
        <v>917</v>
      </c>
      <c r="C55" s="1383">
        <v>1974900</v>
      </c>
      <c r="D55" s="1384"/>
    </row>
    <row r="56" spans="1:4" ht="21.75" customHeight="1">
      <c r="A56" s="1381">
        <v>44196</v>
      </c>
      <c r="B56" s="1382" t="s">
        <v>918</v>
      </c>
      <c r="C56" s="1383">
        <v>-14611280</v>
      </c>
      <c r="D56" s="1384"/>
    </row>
    <row r="57" spans="1:4" ht="21.75" customHeight="1">
      <c r="A57" s="1381">
        <v>44196</v>
      </c>
      <c r="B57" s="1382" t="s">
        <v>550</v>
      </c>
      <c r="C57" s="1383">
        <v>-6519</v>
      </c>
      <c r="D57" s="1384"/>
    </row>
    <row r="58" spans="1:4" ht="21.75" customHeight="1">
      <c r="A58" s="1381">
        <v>44286</v>
      </c>
      <c r="B58" s="1382" t="s">
        <v>919</v>
      </c>
      <c r="C58" s="1383">
        <v>1662065</v>
      </c>
      <c r="D58" s="1384"/>
    </row>
    <row r="59" spans="1:4" ht="21.75" customHeight="1">
      <c r="A59" s="1381">
        <v>44286</v>
      </c>
      <c r="B59" s="1382" t="s">
        <v>920</v>
      </c>
      <c r="C59" s="1383">
        <v>-8657620</v>
      </c>
      <c r="D59" s="1384"/>
    </row>
    <row r="60" spans="1:4" ht="21.75" customHeight="1">
      <c r="A60" s="1381">
        <v>44377</v>
      </c>
      <c r="B60" s="1382" t="s">
        <v>925</v>
      </c>
      <c r="C60" s="1383">
        <v>1413697</v>
      </c>
      <c r="D60" s="1384"/>
    </row>
    <row r="61" spans="1:4" ht="21.75" customHeight="1">
      <c r="A61" s="1381">
        <v>44377</v>
      </c>
      <c r="B61" s="1382" t="s">
        <v>926</v>
      </c>
      <c r="C61" s="1383">
        <v>10653105</v>
      </c>
      <c r="D61" s="1384"/>
    </row>
    <row r="62" spans="1:4" ht="21.75" customHeight="1">
      <c r="A62" s="1385">
        <v>44469</v>
      </c>
      <c r="B62" s="1386" t="s">
        <v>923</v>
      </c>
      <c r="C62" s="1387">
        <v>1093304</v>
      </c>
      <c r="D62" s="1388"/>
    </row>
    <row r="63" spans="1:4" ht="21.75" customHeight="1">
      <c r="A63" s="1385">
        <v>44469</v>
      </c>
      <c r="B63" s="1386" t="s">
        <v>924</v>
      </c>
      <c r="C63" s="1387">
        <v>-6702083</v>
      </c>
      <c r="D63" s="1388"/>
    </row>
    <row r="64" spans="1:4" ht="21.75" customHeight="1">
      <c r="A64" s="1385">
        <v>44561</v>
      </c>
      <c r="B64" s="1386" t="s">
        <v>917</v>
      </c>
      <c r="C64" s="1387">
        <v>2551381</v>
      </c>
      <c r="D64" s="1388"/>
    </row>
    <row r="65" spans="1:4" ht="21.75" customHeight="1">
      <c r="A65" s="1385">
        <v>44561</v>
      </c>
      <c r="B65" s="1386" t="s">
        <v>918</v>
      </c>
      <c r="C65" s="1387">
        <v>20126193</v>
      </c>
      <c r="D65" s="1388"/>
    </row>
    <row r="66" spans="1:4" ht="21.75" customHeight="1">
      <c r="A66" s="1385">
        <v>44561</v>
      </c>
      <c r="B66" s="1386" t="s">
        <v>550</v>
      </c>
      <c r="C66" s="1387">
        <v>-4870809</v>
      </c>
      <c r="D66" s="1388"/>
    </row>
    <row r="67" spans="1:4" ht="21.75" customHeight="1">
      <c r="A67" s="1441">
        <v>44651</v>
      </c>
      <c r="B67" s="1442" t="s">
        <v>975</v>
      </c>
      <c r="C67" s="1443">
        <v>1160420</v>
      </c>
      <c r="D67" s="1444"/>
    </row>
    <row r="68" spans="1:4" ht="21.75" customHeight="1">
      <c r="A68" s="1441">
        <v>44651</v>
      </c>
      <c r="B68" s="1442" t="s">
        <v>974</v>
      </c>
      <c r="C68" s="1443">
        <v>-7192700</v>
      </c>
      <c r="D68" s="1444"/>
    </row>
    <row r="69" spans="1:4" ht="21.75" customHeight="1">
      <c r="A69" s="1441">
        <v>44742</v>
      </c>
      <c r="B69" s="1442" t="s">
        <v>977</v>
      </c>
      <c r="C69" s="1443">
        <v>2281357</v>
      </c>
      <c r="D69" s="1444"/>
    </row>
    <row r="70" spans="1:4" ht="21.75" customHeight="1">
      <c r="A70" s="1441">
        <v>44742</v>
      </c>
      <c r="B70" s="1442" t="s">
        <v>978</v>
      </c>
      <c r="C70" s="1443">
        <v>-10908052</v>
      </c>
      <c r="D70" s="1444"/>
    </row>
    <row r="71" spans="1:4" ht="21.75" customHeight="1">
      <c r="A71" s="1441" t="s">
        <v>1062</v>
      </c>
      <c r="B71" s="1442" t="s">
        <v>1082</v>
      </c>
      <c r="C71" s="1443">
        <v>2208783</v>
      </c>
      <c r="D71" s="1444"/>
    </row>
    <row r="72" spans="1:4" ht="21.75" customHeight="1">
      <c r="A72" s="1441" t="s">
        <v>1061</v>
      </c>
      <c r="B72" s="1442" t="s">
        <v>1083</v>
      </c>
      <c r="C72" s="1443">
        <v>-44166348</v>
      </c>
      <c r="D72" s="1444"/>
    </row>
    <row r="73" spans="1:4" ht="21.75" customHeight="1">
      <c r="A73" s="1441" t="s">
        <v>1079</v>
      </c>
      <c r="B73" s="1442" t="s">
        <v>1084</v>
      </c>
      <c r="C73" s="1443">
        <v>3957918</v>
      </c>
      <c r="D73" s="1444"/>
    </row>
    <row r="74" spans="1:4" ht="21.75" customHeight="1">
      <c r="A74" s="1441" t="s">
        <v>1080</v>
      </c>
      <c r="B74" s="1442" t="s">
        <v>1085</v>
      </c>
      <c r="C74" s="1443">
        <v>-6070802</v>
      </c>
      <c r="D74" s="1444"/>
    </row>
    <row r="75" spans="1:4" ht="21.95" customHeight="1">
      <c r="A75" s="889" t="s">
        <v>1081</v>
      </c>
      <c r="B75" s="1386" t="s">
        <v>550</v>
      </c>
      <c r="C75" s="312">
        <v>14212521</v>
      </c>
      <c r="D75" s="304"/>
    </row>
    <row r="76" spans="1:4" ht="21.95" customHeight="1">
      <c r="A76" s="889" t="s">
        <v>1098</v>
      </c>
      <c r="B76" s="1442" t="s">
        <v>1099</v>
      </c>
      <c r="C76" s="1767">
        <v>782532</v>
      </c>
      <c r="D76" s="1768"/>
    </row>
    <row r="77" spans="1:4" ht="21.95" customHeight="1">
      <c r="A77" s="889" t="s">
        <v>1098</v>
      </c>
      <c r="B77" s="1442" t="s">
        <v>1100</v>
      </c>
      <c r="C77" s="1767">
        <v>45845062</v>
      </c>
      <c r="D77" s="1768"/>
    </row>
    <row r="78" spans="1:4" ht="21.95" customHeight="1">
      <c r="A78" s="889" t="s">
        <v>1117</v>
      </c>
      <c r="B78" s="1442" t="s">
        <v>1118</v>
      </c>
      <c r="C78" s="1767">
        <v>522396</v>
      </c>
      <c r="D78" s="1768"/>
    </row>
    <row r="79" spans="1:4" ht="21.95" customHeight="1">
      <c r="A79" s="889" t="s">
        <v>1116</v>
      </c>
      <c r="B79" s="1442" t="s">
        <v>1119</v>
      </c>
      <c r="C79" s="1767">
        <v>-7620906</v>
      </c>
      <c r="D79" s="1768"/>
    </row>
    <row r="80" spans="1:4" ht="21.95" customHeight="1">
      <c r="A80" s="1781" t="s">
        <v>1131</v>
      </c>
      <c r="B80" s="1442" t="s">
        <v>1206</v>
      </c>
      <c r="C80" s="1767">
        <v>350514</v>
      </c>
      <c r="D80" s="1768"/>
    </row>
    <row r="81" spans="1:4" ht="21.95" customHeight="1">
      <c r="A81" s="1781" t="s">
        <v>1132</v>
      </c>
      <c r="B81" s="1442" t="s">
        <v>1207</v>
      </c>
      <c r="C81" s="1767">
        <v>-28068346</v>
      </c>
      <c r="D81" s="1768"/>
    </row>
    <row r="82" spans="1:4" ht="21.95" customHeight="1">
      <c r="A82" s="1832" t="s">
        <v>1203</v>
      </c>
      <c r="B82" s="1833" t="s">
        <v>1204</v>
      </c>
      <c r="C82" s="1834">
        <v>2475835</v>
      </c>
      <c r="D82" s="1835"/>
    </row>
    <row r="83" spans="1:4" ht="21.95" customHeight="1">
      <c r="A83" s="1956" t="s">
        <v>1203</v>
      </c>
      <c r="B83" s="1952" t="s">
        <v>1205</v>
      </c>
      <c r="C83" s="1837">
        <v>55409491</v>
      </c>
      <c r="D83" s="1838"/>
    </row>
    <row r="84" spans="1:4" ht="21.95" customHeight="1">
      <c r="A84" s="1956" t="s">
        <v>1203</v>
      </c>
      <c r="B84" s="1952" t="s">
        <v>1208</v>
      </c>
      <c r="C84" s="1877">
        <v>-16099910</v>
      </c>
      <c r="D84" s="1871"/>
    </row>
    <row r="85" spans="1:4" ht="21.95" customHeight="1">
      <c r="A85" s="1957" t="s">
        <v>1235</v>
      </c>
      <c r="B85" s="1948" t="s">
        <v>1236</v>
      </c>
      <c r="C85" s="1875">
        <v>952484</v>
      </c>
      <c r="D85" s="1876"/>
    </row>
    <row r="86" spans="1:4" ht="21.95" customHeight="1">
      <c r="A86" s="1957" t="s">
        <v>1235</v>
      </c>
      <c r="B86" s="1952" t="s">
        <v>1233</v>
      </c>
      <c r="C86" s="1837">
        <v>9241260</v>
      </c>
      <c r="D86" s="1838"/>
    </row>
    <row r="87" spans="1:4" ht="21.95" customHeight="1">
      <c r="A87" s="1956" t="s">
        <v>1287</v>
      </c>
      <c r="B87" s="1952" t="s">
        <v>1288</v>
      </c>
      <c r="C87" s="1949">
        <v>3010789</v>
      </c>
      <c r="D87" s="1950"/>
    </row>
    <row r="88" spans="1:4" ht="21.95" customHeight="1">
      <c r="A88" s="1956" t="s">
        <v>1287</v>
      </c>
      <c r="B88" s="1952" t="s">
        <v>1289</v>
      </c>
      <c r="C88" s="1951">
        <v>18428755</v>
      </c>
      <c r="D88" s="1950"/>
    </row>
    <row r="89" spans="1:4" ht="21.95" customHeight="1">
      <c r="A89" s="1956"/>
      <c r="B89" s="1952"/>
      <c r="C89" s="1951"/>
      <c r="D89" s="1950"/>
    </row>
    <row r="90" spans="1:4" ht="21.95" customHeight="1">
      <c r="A90" s="1956"/>
      <c r="B90" s="1952"/>
      <c r="C90" s="1951"/>
      <c r="D90" s="1950"/>
    </row>
    <row r="91" spans="1:4" ht="21.95" customHeight="1">
      <c r="A91" s="1956"/>
      <c r="B91" s="1952"/>
      <c r="C91" s="1951"/>
      <c r="D91" s="1950"/>
    </row>
    <row r="92" spans="1:4" ht="21.95" customHeight="1">
      <c r="A92" s="1956"/>
      <c r="B92" s="1952"/>
      <c r="C92" s="1951"/>
      <c r="D92" s="1950"/>
    </row>
    <row r="93" spans="1:4" ht="21.95" customHeight="1">
      <c r="A93" s="1956"/>
      <c r="B93" s="1952"/>
      <c r="C93" s="1951"/>
      <c r="D93" s="1950"/>
    </row>
    <row r="94" spans="1:4" ht="21.95" customHeight="1">
      <c r="A94" s="1956"/>
      <c r="B94" s="1952"/>
      <c r="C94" s="1951"/>
      <c r="D94" s="1950"/>
    </row>
    <row r="95" spans="1:4" ht="21.95" customHeight="1">
      <c r="A95" s="1958"/>
      <c r="B95" s="1953"/>
      <c r="C95" s="1954"/>
      <c r="D95" s="1955"/>
    </row>
    <row r="96" spans="1:4" ht="20.100000000000001" customHeight="1">
      <c r="A96" s="2166" t="s">
        <v>98</v>
      </c>
      <c r="B96" s="2167"/>
      <c r="C96" s="73">
        <f>SUM(C5:C95)</f>
        <v>272256927</v>
      </c>
      <c r="D96" s="60"/>
    </row>
    <row r="97" spans="1:1" ht="20.100000000000001" customHeight="1">
      <c r="A97" s="2" t="str">
        <f>가수금!A18</f>
        <v>김천에너지서비스㈜</v>
      </c>
    </row>
  </sheetData>
  <mergeCells count="3">
    <mergeCell ref="A3:B3"/>
    <mergeCell ref="A5:B5"/>
    <mergeCell ref="A96:B96"/>
  </mergeCells>
  <phoneticPr fontId="2" type="noConversion"/>
  <printOptions horizontalCentered="1"/>
  <pageMargins left="0.39370078740157483" right="0.39370078740157483" top="0.45" bottom="0.43" header="0.39370078740157483" footer="0.39370078740157483"/>
  <pageSetup paperSize="9" orientation="landscape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P32"/>
  <sheetViews>
    <sheetView showGridLines="0" zoomScale="85" zoomScaleNormal="85" zoomScaleSheetLayoutView="100" workbookViewId="0">
      <pane xSplit="3" topLeftCell="D1" activePane="topRight" state="frozen"/>
      <selection pane="topRight" activeCell="AJ33" sqref="AJ33"/>
    </sheetView>
  </sheetViews>
  <sheetFormatPr defaultColWidth="12.625" defaultRowHeight="20.100000000000001" customHeight="1"/>
  <cols>
    <col min="1" max="1" width="5.75" style="495" customWidth="1"/>
    <col min="2" max="2" width="17.125" style="510" bestFit="1" customWidth="1"/>
    <col min="3" max="3" width="12.625" style="6" customWidth="1"/>
    <col min="4" max="4" width="13" style="7" hidden="1" customWidth="1"/>
    <col min="5" max="10" width="12.75" style="7" hidden="1" customWidth="1"/>
    <col min="11" max="15" width="14.25" style="7" hidden="1" customWidth="1"/>
    <col min="16" max="16" width="14.625" style="7" bestFit="1" customWidth="1"/>
    <col min="17" max="17" width="14.625" style="7" hidden="1" customWidth="1"/>
    <col min="18" max="20" width="12.875" style="7" hidden="1" customWidth="1"/>
    <col min="21" max="23" width="12.75" style="7" hidden="1" customWidth="1"/>
    <col min="24" max="28" width="14.25" style="7" hidden="1" customWidth="1"/>
    <col min="29" max="29" width="14.625" style="7" bestFit="1" customWidth="1"/>
    <col min="30" max="30" width="14.625" style="7" customWidth="1"/>
    <col min="31" max="33" width="12.875" style="7" customWidth="1"/>
    <col min="34" max="36" width="12.75" style="7" customWidth="1"/>
    <col min="37" max="41" width="14.25" style="7" customWidth="1"/>
    <col min="42" max="42" width="14.625" style="7" bestFit="1" customWidth="1"/>
    <col min="43" max="16384" width="12.625" style="29"/>
  </cols>
  <sheetData>
    <row r="1" spans="1:42" s="444" customFormat="1" ht="20.100000000000001" customHeight="1">
      <c r="A1" s="441" t="s">
        <v>400</v>
      </c>
      <c r="B1" s="496"/>
      <c r="C1" s="497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8"/>
      <c r="Q1" s="498"/>
      <c r="R1" s="498"/>
      <c r="S1" s="498"/>
      <c r="T1" s="498"/>
      <c r="U1" s="498"/>
      <c r="V1" s="498"/>
      <c r="W1" s="498"/>
      <c r="X1" s="498"/>
      <c r="Y1" s="498"/>
      <c r="Z1" s="498"/>
      <c r="AA1" s="498"/>
      <c r="AB1" s="498"/>
      <c r="AC1" s="498"/>
      <c r="AD1" s="498"/>
      <c r="AE1" s="498"/>
      <c r="AF1" s="498"/>
      <c r="AG1" s="498"/>
      <c r="AH1" s="498"/>
      <c r="AI1" s="498"/>
      <c r="AJ1" s="498"/>
      <c r="AK1" s="498"/>
      <c r="AL1" s="498"/>
      <c r="AM1" s="498"/>
      <c r="AN1" s="498"/>
      <c r="AO1" s="498"/>
      <c r="AP1" s="498"/>
    </row>
    <row r="2" spans="1:42" ht="9.75" customHeight="1" thickBot="1">
      <c r="A2" s="445"/>
      <c r="B2" s="499"/>
      <c r="C2" s="500"/>
    </row>
    <row r="3" spans="1:42" s="30" customFormat="1" ht="20.100000000000001" customHeight="1" thickBot="1">
      <c r="A3" s="2178" t="s">
        <v>118</v>
      </c>
      <c r="B3" s="2179"/>
      <c r="C3" s="2234" t="s">
        <v>399</v>
      </c>
      <c r="D3" s="2236" t="s">
        <v>398</v>
      </c>
      <c r="E3" s="2237"/>
      <c r="F3" s="2237"/>
      <c r="G3" s="2237"/>
      <c r="H3" s="2237"/>
      <c r="I3" s="2237"/>
      <c r="J3" s="2237"/>
      <c r="K3" s="2237"/>
      <c r="L3" s="2237"/>
      <c r="M3" s="2237"/>
      <c r="N3" s="2237"/>
      <c r="O3" s="2237"/>
      <c r="P3" s="2238"/>
      <c r="Q3" s="2236" t="s">
        <v>397</v>
      </c>
      <c r="R3" s="2237"/>
      <c r="S3" s="2237"/>
      <c r="T3" s="2237"/>
      <c r="U3" s="2237"/>
      <c r="V3" s="2237"/>
      <c r="W3" s="2237"/>
      <c r="X3" s="2237"/>
      <c r="Y3" s="2237"/>
      <c r="Z3" s="2237"/>
      <c r="AA3" s="2237"/>
      <c r="AB3" s="2237"/>
      <c r="AC3" s="2238"/>
      <c r="AD3" s="2242" t="s">
        <v>396</v>
      </c>
      <c r="AE3" s="2243"/>
      <c r="AF3" s="2243"/>
      <c r="AG3" s="2243"/>
      <c r="AH3" s="2243"/>
      <c r="AI3" s="2243"/>
      <c r="AJ3" s="2243"/>
      <c r="AK3" s="2243"/>
      <c r="AL3" s="2243"/>
      <c r="AM3" s="2243"/>
      <c r="AN3" s="2243"/>
      <c r="AO3" s="2243"/>
      <c r="AP3" s="2244"/>
    </row>
    <row r="4" spans="1:42" s="30" customFormat="1" ht="20.100000000000001" customHeight="1">
      <c r="A4" s="2232"/>
      <c r="B4" s="2233"/>
      <c r="C4" s="2235"/>
      <c r="D4" s="2239"/>
      <c r="E4" s="2240"/>
      <c r="F4" s="2240"/>
      <c r="G4" s="2240"/>
      <c r="H4" s="2240"/>
      <c r="I4" s="2240"/>
      <c r="J4" s="2240"/>
      <c r="K4" s="2240"/>
      <c r="L4" s="2240"/>
      <c r="M4" s="2240"/>
      <c r="N4" s="2240"/>
      <c r="O4" s="2240"/>
      <c r="P4" s="2241"/>
      <c r="Q4" s="2239"/>
      <c r="R4" s="2240"/>
      <c r="S4" s="2240"/>
      <c r="T4" s="2240"/>
      <c r="U4" s="2240"/>
      <c r="V4" s="2240"/>
      <c r="W4" s="2240"/>
      <c r="X4" s="2240"/>
      <c r="Y4" s="2240"/>
      <c r="Z4" s="2240"/>
      <c r="AA4" s="2240"/>
      <c r="AB4" s="2240"/>
      <c r="AC4" s="2241"/>
      <c r="AD4" s="620" t="s">
        <v>395</v>
      </c>
      <c r="AE4" s="619" t="s">
        <v>394</v>
      </c>
      <c r="AF4" s="619" t="s">
        <v>393</v>
      </c>
      <c r="AG4" s="619" t="s">
        <v>315</v>
      </c>
      <c r="AH4" s="619" t="s">
        <v>316</v>
      </c>
      <c r="AI4" s="619" t="s">
        <v>32</v>
      </c>
      <c r="AJ4" s="619" t="s">
        <v>33</v>
      </c>
      <c r="AK4" s="619" t="s">
        <v>34</v>
      </c>
      <c r="AL4" s="619" t="s">
        <v>35</v>
      </c>
      <c r="AM4" s="619" t="s">
        <v>36</v>
      </c>
      <c r="AN4" s="619" t="s">
        <v>37</v>
      </c>
      <c r="AO4" s="618" t="s">
        <v>38</v>
      </c>
      <c r="AP4" s="501" t="s">
        <v>392</v>
      </c>
    </row>
    <row r="5" spans="1:42" s="30" customFormat="1" ht="20.100000000000001" customHeight="1">
      <c r="A5" s="627" t="s">
        <v>391</v>
      </c>
      <c r="B5" s="502"/>
      <c r="C5" s="503">
        <f t="shared" ref="C5:AP5" si="0">SUM(C6:C11)</f>
        <v>644993660</v>
      </c>
      <c r="D5" s="566">
        <f t="shared" si="0"/>
        <v>886728264</v>
      </c>
      <c r="E5" s="504">
        <f t="shared" si="0"/>
        <v>903166179</v>
      </c>
      <c r="F5" s="504">
        <f t="shared" si="0"/>
        <v>916258510</v>
      </c>
      <c r="G5" s="504">
        <f t="shared" si="0"/>
        <v>934036830</v>
      </c>
      <c r="H5" s="504">
        <f t="shared" si="0"/>
        <v>957335400</v>
      </c>
      <c r="I5" s="504">
        <f t="shared" si="0"/>
        <v>980867738</v>
      </c>
      <c r="J5" s="504">
        <f t="shared" si="0"/>
        <v>987223765</v>
      </c>
      <c r="K5" s="504">
        <f t="shared" si="0"/>
        <v>1005429144</v>
      </c>
      <c r="L5" s="504">
        <f t="shared" si="0"/>
        <v>1023005490</v>
      </c>
      <c r="M5" s="504">
        <f t="shared" si="0"/>
        <v>1040750543</v>
      </c>
      <c r="N5" s="504">
        <f t="shared" si="0"/>
        <v>1060707248</v>
      </c>
      <c r="O5" s="505">
        <f t="shared" si="0"/>
        <v>1145586495</v>
      </c>
      <c r="P5" s="506">
        <f t="shared" si="0"/>
        <v>1145586495</v>
      </c>
      <c r="Q5" s="566">
        <f t="shared" si="0"/>
        <v>367685293</v>
      </c>
      <c r="R5" s="504">
        <f t="shared" si="0"/>
        <v>371431878</v>
      </c>
      <c r="S5" s="504">
        <f t="shared" si="0"/>
        <v>374087654</v>
      </c>
      <c r="T5" s="504">
        <f t="shared" si="0"/>
        <v>377852491</v>
      </c>
      <c r="U5" s="504">
        <f t="shared" si="0"/>
        <v>382251851</v>
      </c>
      <c r="V5" s="504">
        <f t="shared" si="0"/>
        <v>389705277</v>
      </c>
      <c r="W5" s="504">
        <f t="shared" si="0"/>
        <v>396632305</v>
      </c>
      <c r="X5" s="504">
        <f t="shared" si="0"/>
        <v>417062061</v>
      </c>
      <c r="Y5" s="504">
        <f t="shared" si="0"/>
        <v>402341126</v>
      </c>
      <c r="Z5" s="504">
        <f t="shared" si="0"/>
        <v>408144216</v>
      </c>
      <c r="AA5" s="504">
        <f t="shared" si="0"/>
        <v>413077001</v>
      </c>
      <c r="AB5" s="505">
        <f t="shared" si="0"/>
        <v>391665831</v>
      </c>
      <c r="AC5" s="506">
        <f t="shared" si="0"/>
        <v>391665831</v>
      </c>
      <c r="AD5" s="566">
        <f t="shared" si="0"/>
        <v>391665831</v>
      </c>
      <c r="AE5" s="504">
        <f t="shared" si="0"/>
        <v>391665831</v>
      </c>
      <c r="AF5" s="504">
        <f t="shared" si="0"/>
        <v>394023090</v>
      </c>
      <c r="AG5" s="504">
        <f t="shared" si="0"/>
        <v>394023090</v>
      </c>
      <c r="AH5" s="504">
        <f t="shared" si="0"/>
        <v>394023090</v>
      </c>
      <c r="AI5" s="504">
        <f t="shared" si="0"/>
        <v>426533416</v>
      </c>
      <c r="AJ5" s="504">
        <f t="shared" si="0"/>
        <v>426533416</v>
      </c>
      <c r="AK5" s="504">
        <f t="shared" si="0"/>
        <v>426533416</v>
      </c>
      <c r="AL5" s="504">
        <f t="shared" si="0"/>
        <v>426533416</v>
      </c>
      <c r="AM5" s="504">
        <f t="shared" si="0"/>
        <v>426533416</v>
      </c>
      <c r="AN5" s="504">
        <f t="shared" si="0"/>
        <v>426533416</v>
      </c>
      <c r="AO5" s="505">
        <f t="shared" si="0"/>
        <v>426533416</v>
      </c>
      <c r="AP5" s="506">
        <f t="shared" si="0"/>
        <v>426533416</v>
      </c>
    </row>
    <row r="6" spans="1:42" ht="20.100000000000001" customHeight="1">
      <c r="A6" s="626"/>
      <c r="B6" s="617" t="s">
        <v>390</v>
      </c>
      <c r="C6" s="616">
        <v>468917670</v>
      </c>
      <c r="D6" s="591">
        <v>644993660</v>
      </c>
      <c r="E6" s="592">
        <v>886728264</v>
      </c>
      <c r="F6" s="592">
        <v>903166179</v>
      </c>
      <c r="G6" s="592">
        <v>916258510</v>
      </c>
      <c r="H6" s="592">
        <v>934036830</v>
      </c>
      <c r="I6" s="592">
        <v>957335400</v>
      </c>
      <c r="J6" s="592">
        <v>980867738</v>
      </c>
      <c r="K6" s="592">
        <v>987223765</v>
      </c>
      <c r="L6" s="592">
        <v>1005429144</v>
      </c>
      <c r="M6" s="592">
        <v>1023005490</v>
      </c>
      <c r="N6" s="592">
        <v>1040750543</v>
      </c>
      <c r="O6" s="624">
        <v>1060707248</v>
      </c>
      <c r="P6" s="625">
        <f>D6</f>
        <v>644993660</v>
      </c>
      <c r="Q6" s="591">
        <v>1145586495</v>
      </c>
      <c r="R6" s="592">
        <v>367685293</v>
      </c>
      <c r="S6" s="592">
        <v>371431878</v>
      </c>
      <c r="T6" s="592">
        <v>374087654</v>
      </c>
      <c r="U6" s="592">
        <v>377852491</v>
      </c>
      <c r="V6" s="592">
        <v>382251851</v>
      </c>
      <c r="W6" s="592">
        <v>389705277</v>
      </c>
      <c r="X6" s="592">
        <v>396632305</v>
      </c>
      <c r="Y6" s="592">
        <v>417062061</v>
      </c>
      <c r="Z6" s="592">
        <v>402341126</v>
      </c>
      <c r="AA6" s="592">
        <v>408144216</v>
      </c>
      <c r="AB6" s="624">
        <v>413077001</v>
      </c>
      <c r="AC6" s="625">
        <f>Q6</f>
        <v>1145586495</v>
      </c>
      <c r="AD6" s="591">
        <f t="shared" ref="AD6:AO6" si="1">AC5</f>
        <v>391665831</v>
      </c>
      <c r="AE6" s="592">
        <f t="shared" si="1"/>
        <v>391665831</v>
      </c>
      <c r="AF6" s="592">
        <f t="shared" si="1"/>
        <v>391665831</v>
      </c>
      <c r="AG6" s="592">
        <f t="shared" si="1"/>
        <v>394023090</v>
      </c>
      <c r="AH6" s="592">
        <f t="shared" si="1"/>
        <v>394023090</v>
      </c>
      <c r="AI6" s="592">
        <f t="shared" si="1"/>
        <v>394023090</v>
      </c>
      <c r="AJ6" s="592">
        <f t="shared" si="1"/>
        <v>426533416</v>
      </c>
      <c r="AK6" s="592">
        <f t="shared" si="1"/>
        <v>426533416</v>
      </c>
      <c r="AL6" s="592">
        <f t="shared" si="1"/>
        <v>426533416</v>
      </c>
      <c r="AM6" s="592">
        <f t="shared" si="1"/>
        <v>426533416</v>
      </c>
      <c r="AN6" s="592">
        <f t="shared" si="1"/>
        <v>426533416</v>
      </c>
      <c r="AO6" s="624">
        <f t="shared" si="1"/>
        <v>426533416</v>
      </c>
      <c r="AP6" s="625">
        <f>AD6</f>
        <v>391665831</v>
      </c>
    </row>
    <row r="7" spans="1:42" ht="20.100000000000001" customHeight="1">
      <c r="A7" s="626"/>
      <c r="B7" s="617" t="s">
        <v>328</v>
      </c>
      <c r="C7" s="616">
        <v>150051984</v>
      </c>
      <c r="D7" s="591">
        <v>13362271</v>
      </c>
      <c r="E7" s="592">
        <v>17797944</v>
      </c>
      <c r="F7" s="592">
        <v>17781280</v>
      </c>
      <c r="G7" s="592">
        <v>17705701</v>
      </c>
      <c r="H7" s="592">
        <v>17702880</v>
      </c>
      <c r="I7" s="592">
        <v>17677482</v>
      </c>
      <c r="J7" s="592">
        <v>17677181</v>
      </c>
      <c r="K7" s="592">
        <v>18160788</v>
      </c>
      <c r="L7" s="592">
        <v>18135502</v>
      </c>
      <c r="M7" s="592">
        <v>14454166</v>
      </c>
      <c r="N7" s="592">
        <v>15468518</v>
      </c>
      <c r="O7" s="624">
        <v>16652769</v>
      </c>
      <c r="P7" s="625">
        <f>SUM(D7:O7)</f>
        <v>202576482</v>
      </c>
      <c r="Q7" s="591">
        <v>20623611</v>
      </c>
      <c r="R7" s="592">
        <v>4049491</v>
      </c>
      <c r="S7" s="592">
        <v>4048707</v>
      </c>
      <c r="T7" s="592">
        <v>4066645</v>
      </c>
      <c r="U7" s="592">
        <v>4397919</v>
      </c>
      <c r="V7" s="592">
        <v>4394034</v>
      </c>
      <c r="W7" s="592">
        <v>5259641</v>
      </c>
      <c r="X7" s="592">
        <v>5394836</v>
      </c>
      <c r="Y7" s="592">
        <v>5550223</v>
      </c>
      <c r="Z7" s="592">
        <v>5436309</v>
      </c>
      <c r="AA7" s="592">
        <v>5449073</v>
      </c>
      <c r="AB7" s="624">
        <v>5447390</v>
      </c>
      <c r="AC7" s="625">
        <f>SUM(Q7:AB7)</f>
        <v>74117879</v>
      </c>
      <c r="AD7" s="591"/>
      <c r="AE7" s="592"/>
      <c r="AF7" s="592">
        <f>'[7]1Q'!H6</f>
        <v>14736135</v>
      </c>
      <c r="AG7" s="592"/>
      <c r="AH7" s="592"/>
      <c r="AI7" s="592">
        <f>'[7]2Q'!H6</f>
        <v>13750158</v>
      </c>
      <c r="AJ7" s="592"/>
      <c r="AK7" s="592"/>
      <c r="AL7" s="592"/>
      <c r="AM7" s="592"/>
      <c r="AN7" s="592"/>
      <c r="AO7" s="624"/>
      <c r="AP7" s="625">
        <f>SUM(AD7:AO7)</f>
        <v>28486293</v>
      </c>
    </row>
    <row r="8" spans="1:42" ht="20.100000000000001" customHeight="1">
      <c r="A8" s="626"/>
      <c r="B8" s="617" t="s">
        <v>384</v>
      </c>
      <c r="C8" s="616">
        <v>16001628</v>
      </c>
      <c r="D8" s="591">
        <v>2022745</v>
      </c>
      <c r="E8" s="592">
        <v>2711953</v>
      </c>
      <c r="F8" s="592">
        <v>2763168</v>
      </c>
      <c r="G8" s="592">
        <v>2809382</v>
      </c>
      <c r="H8" s="592">
        <v>2865005</v>
      </c>
      <c r="I8" s="592">
        <v>2907444</v>
      </c>
      <c r="J8" s="592">
        <v>2960734</v>
      </c>
      <c r="K8" s="592">
        <v>3009643</v>
      </c>
      <c r="L8" s="592">
        <v>3066841</v>
      </c>
      <c r="M8" s="592">
        <v>2857840</v>
      </c>
      <c r="N8" s="592">
        <v>2905924</v>
      </c>
      <c r="O8" s="624">
        <v>2965361</v>
      </c>
      <c r="P8" s="625">
        <f>SUM(D8:O8)</f>
        <v>33846040</v>
      </c>
      <c r="Q8" s="591">
        <v>2616573</v>
      </c>
      <c r="R8" s="592">
        <v>855872</v>
      </c>
      <c r="S8" s="592">
        <v>864002</v>
      </c>
      <c r="T8" s="592">
        <v>878284</v>
      </c>
      <c r="U8" s="592">
        <v>893243</v>
      </c>
      <c r="V8" s="592">
        <v>902272</v>
      </c>
      <c r="W8" s="592">
        <v>917636</v>
      </c>
      <c r="X8" s="592">
        <v>934423</v>
      </c>
      <c r="Y8" s="592">
        <v>982517</v>
      </c>
      <c r="Z8" s="592">
        <v>945792</v>
      </c>
      <c r="AA8" s="592">
        <v>959210</v>
      </c>
      <c r="AB8" s="624">
        <v>969167</v>
      </c>
      <c r="AC8" s="625">
        <f>SUM(Q8:AB8)</f>
        <v>12718991</v>
      </c>
      <c r="AD8" s="591"/>
      <c r="AE8" s="592"/>
      <c r="AF8" s="592">
        <f>'[7]1Q'!H7</f>
        <v>2392617</v>
      </c>
      <c r="AG8" s="592"/>
      <c r="AH8" s="592"/>
      <c r="AI8" s="592">
        <f>'[7]2Q'!H7</f>
        <v>2392221</v>
      </c>
      <c r="AJ8" s="592"/>
      <c r="AK8" s="592"/>
      <c r="AL8" s="592"/>
      <c r="AM8" s="592"/>
      <c r="AN8" s="592"/>
      <c r="AO8" s="624"/>
      <c r="AP8" s="625">
        <f>SUM(AD8:AO8)</f>
        <v>4784838</v>
      </c>
    </row>
    <row r="9" spans="1:42" ht="20.100000000000001" customHeight="1">
      <c r="A9" s="626"/>
      <c r="B9" s="617" t="s">
        <v>389</v>
      </c>
      <c r="C9" s="616">
        <v>173433124</v>
      </c>
      <c r="D9" s="591">
        <v>184786250</v>
      </c>
      <c r="E9" s="592">
        <v>0</v>
      </c>
      <c r="F9" s="592"/>
      <c r="G9" s="592"/>
      <c r="H9" s="592"/>
      <c r="I9" s="592"/>
      <c r="J9" s="592"/>
      <c r="K9" s="592"/>
      <c r="L9" s="592"/>
      <c r="M9" s="592"/>
      <c r="N9" s="592"/>
      <c r="O9" s="624"/>
      <c r="P9" s="625">
        <f>SUM(D9:O9)</f>
        <v>184786250</v>
      </c>
      <c r="Q9" s="591"/>
      <c r="R9" s="592"/>
      <c r="S9" s="592"/>
      <c r="T9" s="592"/>
      <c r="U9" s="592"/>
      <c r="V9" s="592"/>
      <c r="W9" s="592"/>
      <c r="X9" s="592"/>
      <c r="Y9" s="592"/>
      <c r="Z9" s="592"/>
      <c r="AA9" s="592"/>
      <c r="AB9" s="624"/>
      <c r="AC9" s="625">
        <f>SUM(Q9:AB9)</f>
        <v>0</v>
      </c>
      <c r="AD9" s="591"/>
      <c r="AE9" s="592"/>
      <c r="AF9" s="592"/>
      <c r="AG9" s="592"/>
      <c r="AH9" s="592"/>
      <c r="AI9" s="592">
        <v>0</v>
      </c>
      <c r="AJ9" s="592"/>
      <c r="AK9" s="592"/>
      <c r="AL9" s="592"/>
      <c r="AM9" s="592"/>
      <c r="AN9" s="592"/>
      <c r="AO9" s="624"/>
      <c r="AP9" s="625">
        <f>SUM(AD9:AO9)</f>
        <v>0</v>
      </c>
    </row>
    <row r="10" spans="1:42" ht="20.100000000000001" customHeight="1">
      <c r="A10" s="626"/>
      <c r="B10" s="617" t="s">
        <v>388</v>
      </c>
      <c r="C10" s="616">
        <v>-221131863</v>
      </c>
      <c r="D10" s="591"/>
      <c r="E10" s="592">
        <v>0</v>
      </c>
      <c r="F10" s="592">
        <v>-10477827</v>
      </c>
      <c r="G10" s="592"/>
      <c r="H10" s="592"/>
      <c r="I10" s="592"/>
      <c r="J10" s="592">
        <v>-20385000</v>
      </c>
      <c r="K10" s="592"/>
      <c r="L10" s="592"/>
      <c r="M10" s="592"/>
      <c r="N10" s="592"/>
      <c r="O10" s="624"/>
      <c r="P10" s="625">
        <f>SUM(D10:O10)</f>
        <v>-30862827</v>
      </c>
      <c r="Q10" s="591">
        <v>-726102145</v>
      </c>
      <c r="R10" s="592">
        <v>-47895924</v>
      </c>
      <c r="S10" s="592"/>
      <c r="T10" s="592"/>
      <c r="U10" s="592"/>
      <c r="V10" s="592"/>
      <c r="W10" s="592"/>
      <c r="X10" s="592"/>
      <c r="Y10" s="592"/>
      <c r="Z10" s="592"/>
      <c r="AA10" s="592"/>
      <c r="AB10" s="624">
        <v>-6596203</v>
      </c>
      <c r="AC10" s="625">
        <f>SUM(Q10:AB10)</f>
        <v>-780594272</v>
      </c>
      <c r="AD10" s="591"/>
      <c r="AE10" s="592"/>
      <c r="AF10" s="592">
        <f>'[7]1Q'!H11</f>
        <v>-10991527</v>
      </c>
      <c r="AG10" s="592"/>
      <c r="AH10" s="592"/>
      <c r="AI10" s="592">
        <v>0</v>
      </c>
      <c r="AJ10" s="592"/>
      <c r="AK10" s="592"/>
      <c r="AL10" s="592"/>
      <c r="AM10" s="592"/>
      <c r="AN10" s="592"/>
      <c r="AO10" s="624"/>
      <c r="AP10" s="625">
        <f>SUM(AD10:AO10)</f>
        <v>-10991527</v>
      </c>
    </row>
    <row r="11" spans="1:42" ht="20.100000000000001" customHeight="1">
      <c r="A11" s="507"/>
      <c r="B11" s="615" t="s">
        <v>387</v>
      </c>
      <c r="C11" s="614">
        <v>57721117</v>
      </c>
      <c r="D11" s="591">
        <v>41563338</v>
      </c>
      <c r="E11" s="592">
        <v>-4071982</v>
      </c>
      <c r="F11" s="592">
        <v>3025710</v>
      </c>
      <c r="G11" s="592">
        <v>-2736763</v>
      </c>
      <c r="H11" s="592">
        <v>2730685</v>
      </c>
      <c r="I11" s="592">
        <v>2947412</v>
      </c>
      <c r="J11" s="592">
        <v>6103112</v>
      </c>
      <c r="K11" s="592">
        <v>-2965052</v>
      </c>
      <c r="L11" s="592">
        <v>-3625997</v>
      </c>
      <c r="M11" s="592">
        <v>433047</v>
      </c>
      <c r="N11" s="592">
        <v>1582263</v>
      </c>
      <c r="O11" s="624">
        <v>65261117</v>
      </c>
      <c r="P11" s="625">
        <f>SUM(D11:O11)</f>
        <v>110246890</v>
      </c>
      <c r="Q11" s="591">
        <v>-75039241</v>
      </c>
      <c r="R11" s="592">
        <v>46737146</v>
      </c>
      <c r="S11" s="592">
        <v>-2256933</v>
      </c>
      <c r="T11" s="592">
        <v>-1180092</v>
      </c>
      <c r="U11" s="592">
        <v>-891802</v>
      </c>
      <c r="V11" s="592">
        <v>2157120</v>
      </c>
      <c r="W11" s="592">
        <v>749751</v>
      </c>
      <c r="X11" s="592">
        <v>14100497</v>
      </c>
      <c r="Y11" s="592">
        <v>-21253675</v>
      </c>
      <c r="Z11" s="592">
        <v>-579011</v>
      </c>
      <c r="AA11" s="592">
        <v>-1475498</v>
      </c>
      <c r="AB11" s="624">
        <v>-21231524</v>
      </c>
      <c r="AC11" s="625">
        <f>SUM(Q11:AB11)</f>
        <v>-60163262</v>
      </c>
      <c r="AD11" s="591"/>
      <c r="AE11" s="592"/>
      <c r="AF11" s="592">
        <f>-'[7]1Q'!H10</f>
        <v>-3779966</v>
      </c>
      <c r="AG11" s="592"/>
      <c r="AH11" s="592"/>
      <c r="AI11" s="592">
        <f>'[7]2Q'!H10</f>
        <v>16367947</v>
      </c>
      <c r="AJ11" s="592"/>
      <c r="AK11" s="592"/>
      <c r="AL11" s="592"/>
      <c r="AM11" s="592"/>
      <c r="AN11" s="592"/>
      <c r="AO11" s="624"/>
      <c r="AP11" s="625">
        <f>SUM(AD11:AO11)</f>
        <v>12587981</v>
      </c>
    </row>
    <row r="12" spans="1:42" s="30" customFormat="1" ht="20.100000000000001" customHeight="1">
      <c r="A12" s="594" t="s">
        <v>386</v>
      </c>
      <c r="B12" s="595"/>
      <c r="C12" s="596">
        <f t="shared" ref="C12:AP12" si="2">SUM(C13:C15)</f>
        <v>0</v>
      </c>
      <c r="D12" s="597">
        <f t="shared" si="2"/>
        <v>14101735</v>
      </c>
      <c r="E12" s="598">
        <f t="shared" si="2"/>
        <v>19254933</v>
      </c>
      <c r="F12" s="598">
        <f t="shared" si="2"/>
        <v>19285908</v>
      </c>
      <c r="G12" s="598">
        <f t="shared" si="2"/>
        <v>19282427</v>
      </c>
      <c r="H12" s="598">
        <f t="shared" si="2"/>
        <v>19331439</v>
      </c>
      <c r="I12" s="598">
        <f t="shared" si="2"/>
        <v>19350258</v>
      </c>
      <c r="J12" s="598">
        <f t="shared" si="2"/>
        <v>19400189</v>
      </c>
      <c r="K12" s="598">
        <f t="shared" si="2"/>
        <v>19931414</v>
      </c>
      <c r="L12" s="598">
        <f t="shared" si="2"/>
        <v>19959229</v>
      </c>
      <c r="M12" s="598">
        <f t="shared" si="2"/>
        <v>16170476</v>
      </c>
      <c r="N12" s="598">
        <f t="shared" si="2"/>
        <v>17230362</v>
      </c>
      <c r="O12" s="599">
        <f t="shared" si="2"/>
        <v>18469582</v>
      </c>
      <c r="P12" s="600">
        <f t="shared" si="2"/>
        <v>221767952</v>
      </c>
      <c r="Q12" s="597">
        <f t="shared" si="2"/>
        <v>21792512</v>
      </c>
      <c r="R12" s="598">
        <f t="shared" si="2"/>
        <v>4121693</v>
      </c>
      <c r="S12" s="598">
        <f t="shared" si="2"/>
        <v>4239559</v>
      </c>
      <c r="T12" s="598">
        <f t="shared" si="2"/>
        <v>4263913</v>
      </c>
      <c r="U12" s="598">
        <f t="shared" si="2"/>
        <v>4603888</v>
      </c>
      <c r="V12" s="598">
        <f t="shared" si="2"/>
        <v>4608465</v>
      </c>
      <c r="W12" s="598">
        <f t="shared" si="2"/>
        <v>5491267</v>
      </c>
      <c r="X12" s="598">
        <f t="shared" si="2"/>
        <v>5641308</v>
      </c>
      <c r="Y12" s="598">
        <f t="shared" si="2"/>
        <v>5843222</v>
      </c>
      <c r="Z12" s="598">
        <f t="shared" si="2"/>
        <v>5692533</v>
      </c>
      <c r="AA12" s="598">
        <f t="shared" si="2"/>
        <v>5717286</v>
      </c>
      <c r="AB12" s="599">
        <f t="shared" si="2"/>
        <v>5725185</v>
      </c>
      <c r="AC12" s="600">
        <f t="shared" si="2"/>
        <v>77740831</v>
      </c>
      <c r="AD12" s="597">
        <f t="shared" si="2"/>
        <v>0</v>
      </c>
      <c r="AE12" s="598">
        <f t="shared" si="2"/>
        <v>0</v>
      </c>
      <c r="AF12" s="598">
        <f t="shared" si="2"/>
        <v>14825511</v>
      </c>
      <c r="AG12" s="598">
        <f t="shared" si="2"/>
        <v>0</v>
      </c>
      <c r="AH12" s="598">
        <f t="shared" si="2"/>
        <v>0</v>
      </c>
      <c r="AI12" s="598">
        <f t="shared" si="2"/>
        <v>13907556</v>
      </c>
      <c r="AJ12" s="598">
        <f t="shared" si="2"/>
        <v>0</v>
      </c>
      <c r="AK12" s="598">
        <f t="shared" si="2"/>
        <v>0</v>
      </c>
      <c r="AL12" s="598">
        <f t="shared" si="2"/>
        <v>0</v>
      </c>
      <c r="AM12" s="598">
        <f t="shared" si="2"/>
        <v>0</v>
      </c>
      <c r="AN12" s="598">
        <f t="shared" si="2"/>
        <v>0</v>
      </c>
      <c r="AO12" s="599">
        <f t="shared" si="2"/>
        <v>0</v>
      </c>
      <c r="AP12" s="600">
        <f t="shared" si="2"/>
        <v>28733067</v>
      </c>
    </row>
    <row r="13" spans="1:42" ht="20.100000000000001" customHeight="1">
      <c r="A13" s="508"/>
      <c r="B13" s="602" t="s">
        <v>385</v>
      </c>
      <c r="C13" s="603"/>
      <c r="D13" s="604">
        <v>13362271</v>
      </c>
      <c r="E13" s="605">
        <v>17797944</v>
      </c>
      <c r="F13" s="605">
        <v>17781280</v>
      </c>
      <c r="G13" s="605">
        <v>17705701</v>
      </c>
      <c r="H13" s="605">
        <v>17702880</v>
      </c>
      <c r="I13" s="605">
        <v>17677482</v>
      </c>
      <c r="J13" s="605">
        <v>17677181</v>
      </c>
      <c r="K13" s="605">
        <v>18160788</v>
      </c>
      <c r="L13" s="605">
        <v>18135502</v>
      </c>
      <c r="M13" s="605">
        <v>14454166</v>
      </c>
      <c r="N13" s="605">
        <v>15468518</v>
      </c>
      <c r="O13" s="606">
        <v>16652769</v>
      </c>
      <c r="P13" s="607">
        <f>SUM(D13:O13)</f>
        <v>202576482</v>
      </c>
      <c r="Q13" s="604">
        <v>20623611</v>
      </c>
      <c r="R13" s="605">
        <v>4049491</v>
      </c>
      <c r="S13" s="605">
        <v>4048707</v>
      </c>
      <c r="T13" s="605">
        <v>4066645</v>
      </c>
      <c r="U13" s="605">
        <v>4397919</v>
      </c>
      <c r="V13" s="605">
        <v>4394034</v>
      </c>
      <c r="W13" s="605">
        <v>5259641</v>
      </c>
      <c r="X13" s="605">
        <v>5394836</v>
      </c>
      <c r="Y13" s="605">
        <v>5550223</v>
      </c>
      <c r="Z13" s="605">
        <v>5436309</v>
      </c>
      <c r="AA13" s="605">
        <v>5449073</v>
      </c>
      <c r="AB13" s="606">
        <v>5447390</v>
      </c>
      <c r="AC13" s="607">
        <f>SUM(Q13:AB13)</f>
        <v>74117879</v>
      </c>
      <c r="AD13" s="604"/>
      <c r="AE13" s="605"/>
      <c r="AF13" s="605">
        <f>AF7</f>
        <v>14736135</v>
      </c>
      <c r="AG13" s="605"/>
      <c r="AH13" s="605"/>
      <c r="AI13" s="605">
        <f>AI7</f>
        <v>13750158</v>
      </c>
      <c r="AJ13" s="605"/>
      <c r="AK13" s="605"/>
      <c r="AL13" s="605"/>
      <c r="AM13" s="605"/>
      <c r="AN13" s="605"/>
      <c r="AO13" s="606"/>
      <c r="AP13" s="607">
        <f>SUM(AD13:AO13)</f>
        <v>28486293</v>
      </c>
    </row>
    <row r="14" spans="1:42" ht="20.100000000000001" customHeight="1">
      <c r="A14" s="508"/>
      <c r="B14" s="602" t="s">
        <v>384</v>
      </c>
      <c r="C14" s="603"/>
      <c r="D14" s="604">
        <v>2022745</v>
      </c>
      <c r="E14" s="605">
        <v>2711953</v>
      </c>
      <c r="F14" s="605">
        <v>2763168</v>
      </c>
      <c r="G14" s="605">
        <v>2809382</v>
      </c>
      <c r="H14" s="605">
        <v>2865005</v>
      </c>
      <c r="I14" s="605">
        <v>2907444</v>
      </c>
      <c r="J14" s="605">
        <v>2960734</v>
      </c>
      <c r="K14" s="605">
        <v>3009643</v>
      </c>
      <c r="L14" s="605">
        <v>3066841</v>
      </c>
      <c r="M14" s="605">
        <v>2857840</v>
      </c>
      <c r="N14" s="605">
        <v>2905924</v>
      </c>
      <c r="O14" s="606">
        <v>2965361</v>
      </c>
      <c r="P14" s="607">
        <f>SUM(D14:O14)</f>
        <v>33846040</v>
      </c>
      <c r="Q14" s="604">
        <v>2616573</v>
      </c>
      <c r="R14" s="605">
        <v>855872</v>
      </c>
      <c r="S14" s="605">
        <v>864002</v>
      </c>
      <c r="T14" s="605">
        <v>878284</v>
      </c>
      <c r="U14" s="605">
        <v>893243</v>
      </c>
      <c r="V14" s="605">
        <v>902272</v>
      </c>
      <c r="W14" s="605">
        <v>917636</v>
      </c>
      <c r="X14" s="605">
        <v>934423</v>
      </c>
      <c r="Y14" s="605">
        <v>982517</v>
      </c>
      <c r="Z14" s="605">
        <v>945792</v>
      </c>
      <c r="AA14" s="605">
        <v>959210</v>
      </c>
      <c r="AB14" s="606">
        <v>969167</v>
      </c>
      <c r="AC14" s="607">
        <f>SUM(Q14:AB14)</f>
        <v>12718991</v>
      </c>
      <c r="AD14" s="604"/>
      <c r="AE14" s="605"/>
      <c r="AF14" s="605">
        <f>AF8</f>
        <v>2392617</v>
      </c>
      <c r="AG14" s="605"/>
      <c r="AH14" s="605"/>
      <c r="AI14" s="605">
        <f>AI8</f>
        <v>2392221</v>
      </c>
      <c r="AJ14" s="605"/>
      <c r="AK14" s="605"/>
      <c r="AL14" s="605"/>
      <c r="AM14" s="605"/>
      <c r="AN14" s="605"/>
      <c r="AO14" s="606"/>
      <c r="AP14" s="607">
        <f>SUM(AD14:AO14)</f>
        <v>4784838</v>
      </c>
    </row>
    <row r="15" spans="1:42" ht="20.100000000000001" customHeight="1">
      <c r="A15" s="508"/>
      <c r="B15" s="602" t="s">
        <v>383</v>
      </c>
      <c r="C15" s="603"/>
      <c r="D15" s="604">
        <v>-1283281</v>
      </c>
      <c r="E15" s="605">
        <v>-1254964</v>
      </c>
      <c r="F15" s="605">
        <v>-1258540</v>
      </c>
      <c r="G15" s="605">
        <v>-1232656</v>
      </c>
      <c r="H15" s="605">
        <v>-1236446</v>
      </c>
      <c r="I15" s="605">
        <v>-1234668</v>
      </c>
      <c r="J15" s="605">
        <v>-1237726</v>
      </c>
      <c r="K15" s="605">
        <v>-1239017</v>
      </c>
      <c r="L15" s="605">
        <v>-1243114</v>
      </c>
      <c r="M15" s="605">
        <v>-1141530</v>
      </c>
      <c r="N15" s="605">
        <v>-1144080</v>
      </c>
      <c r="O15" s="606">
        <v>-1148548</v>
      </c>
      <c r="P15" s="607">
        <f>SUM(D15:O15)</f>
        <v>-14654570</v>
      </c>
      <c r="Q15" s="604">
        <v>-1447672</v>
      </c>
      <c r="R15" s="605">
        <v>-783670</v>
      </c>
      <c r="S15" s="605">
        <v>-673150</v>
      </c>
      <c r="T15" s="605">
        <v>-681016</v>
      </c>
      <c r="U15" s="605">
        <v>-687274</v>
      </c>
      <c r="V15" s="605">
        <v>-687841</v>
      </c>
      <c r="W15" s="605">
        <v>-686010</v>
      </c>
      <c r="X15" s="605">
        <v>-687951</v>
      </c>
      <c r="Y15" s="605">
        <v>-689518</v>
      </c>
      <c r="Z15" s="605">
        <v>-689568</v>
      </c>
      <c r="AA15" s="605">
        <v>-690997</v>
      </c>
      <c r="AB15" s="606">
        <v>-691372</v>
      </c>
      <c r="AC15" s="607">
        <f>SUM(Q15:AB15)</f>
        <v>-9096039</v>
      </c>
      <c r="AD15" s="604"/>
      <c r="AE15" s="605"/>
      <c r="AF15" s="605">
        <f>-'[7]1Q'!H8</f>
        <v>-2303241</v>
      </c>
      <c r="AG15" s="605"/>
      <c r="AH15" s="605"/>
      <c r="AI15" s="605">
        <f>-'[7]2Q'!H8</f>
        <v>-2234823</v>
      </c>
      <c r="AJ15" s="605"/>
      <c r="AK15" s="605"/>
      <c r="AL15" s="605"/>
      <c r="AM15" s="605"/>
      <c r="AN15" s="605"/>
      <c r="AO15" s="606"/>
      <c r="AP15" s="607">
        <f>SUM(AD15:AO15)</f>
        <v>-4538064</v>
      </c>
    </row>
    <row r="16" spans="1:42" s="30" customFormat="1" ht="20.100000000000001" customHeight="1">
      <c r="A16" s="594" t="s">
        <v>382</v>
      </c>
      <c r="B16" s="595"/>
      <c r="C16" s="596">
        <f>SUM(C17:C20)</f>
        <v>409203085</v>
      </c>
      <c r="D16" s="597">
        <f t="shared" ref="D16:AP16" si="3">D17+D18-D19+D20-D21</f>
        <v>410338574</v>
      </c>
      <c r="E16" s="598">
        <f t="shared" si="3"/>
        <v>411368858</v>
      </c>
      <c r="F16" s="598">
        <f t="shared" si="3"/>
        <v>402024418</v>
      </c>
      <c r="G16" s="598">
        <f t="shared" si="3"/>
        <v>403104618</v>
      </c>
      <c r="H16" s="598">
        <f t="shared" si="3"/>
        <v>404223003</v>
      </c>
      <c r="I16" s="598">
        <f t="shared" si="3"/>
        <v>405305046</v>
      </c>
      <c r="J16" s="598">
        <f t="shared" si="3"/>
        <v>406425360</v>
      </c>
      <c r="K16" s="598">
        <f t="shared" si="3"/>
        <v>407545495</v>
      </c>
      <c r="L16" s="598">
        <f t="shared" si="3"/>
        <v>408630401</v>
      </c>
      <c r="M16" s="598">
        <f t="shared" si="3"/>
        <v>409753651</v>
      </c>
      <c r="N16" s="598">
        <f t="shared" si="3"/>
        <v>410840425</v>
      </c>
      <c r="O16" s="599">
        <f t="shared" si="3"/>
        <v>308927514</v>
      </c>
      <c r="P16" s="600">
        <f t="shared" si="3"/>
        <v>633823752</v>
      </c>
      <c r="Q16" s="597">
        <f t="shared" si="3"/>
        <v>336667834</v>
      </c>
      <c r="R16" s="598">
        <f t="shared" si="3"/>
        <v>289384555</v>
      </c>
      <c r="S16" s="598">
        <f t="shared" si="3"/>
        <v>290066039</v>
      </c>
      <c r="T16" s="598">
        <f t="shared" si="3"/>
        <v>290725873</v>
      </c>
      <c r="U16" s="598">
        <f t="shared" si="3"/>
        <v>291408158</v>
      </c>
      <c r="V16" s="598">
        <f t="shared" si="3"/>
        <v>291338691</v>
      </c>
      <c r="W16" s="598">
        <f t="shared" si="3"/>
        <v>292013502</v>
      </c>
      <c r="X16" s="598">
        <f t="shared" si="3"/>
        <v>292689021</v>
      </c>
      <c r="Y16" s="598">
        <f t="shared" si="3"/>
        <v>293343454</v>
      </c>
      <c r="Z16" s="598">
        <f t="shared" si="3"/>
        <v>294020404</v>
      </c>
      <c r="AA16" s="598">
        <f t="shared" si="3"/>
        <v>294676225</v>
      </c>
      <c r="AB16" s="599">
        <f t="shared" si="3"/>
        <v>377035065</v>
      </c>
      <c r="AC16" s="600">
        <f t="shared" si="3"/>
        <v>377035065</v>
      </c>
      <c r="AD16" s="597">
        <f t="shared" si="3"/>
        <v>377685490</v>
      </c>
      <c r="AE16" s="598">
        <f t="shared" si="3"/>
        <v>367374220</v>
      </c>
      <c r="AF16" s="598">
        <f t="shared" si="3"/>
        <v>368097072</v>
      </c>
      <c r="AG16" s="598">
        <f t="shared" si="3"/>
        <v>368792398</v>
      </c>
      <c r="AH16" s="598">
        <f t="shared" si="3"/>
        <v>369514023</v>
      </c>
      <c r="AI16" s="598">
        <f t="shared" si="3"/>
        <v>369846199</v>
      </c>
      <c r="AJ16" s="598">
        <f t="shared" si="3"/>
        <v>369846199</v>
      </c>
      <c r="AK16" s="598">
        <f t="shared" si="3"/>
        <v>369846199</v>
      </c>
      <c r="AL16" s="598">
        <f t="shared" si="3"/>
        <v>369846199</v>
      </c>
      <c r="AM16" s="598">
        <f t="shared" si="3"/>
        <v>369846199</v>
      </c>
      <c r="AN16" s="598">
        <f t="shared" si="3"/>
        <v>369846199</v>
      </c>
      <c r="AO16" s="599">
        <f t="shared" si="3"/>
        <v>369846199</v>
      </c>
      <c r="AP16" s="600">
        <f t="shared" si="3"/>
        <v>369846199</v>
      </c>
    </row>
    <row r="17" spans="1:42" ht="20.100000000000001" customHeight="1">
      <c r="A17" s="508"/>
      <c r="B17" s="593" t="s">
        <v>381</v>
      </c>
      <c r="C17" s="603"/>
      <c r="D17" s="604">
        <v>409203085</v>
      </c>
      <c r="E17" s="605">
        <v>410338574</v>
      </c>
      <c r="F17" s="605">
        <v>411368858</v>
      </c>
      <c r="G17" s="605">
        <v>402024418</v>
      </c>
      <c r="H17" s="605">
        <v>403104618</v>
      </c>
      <c r="I17" s="605">
        <v>404223003</v>
      </c>
      <c r="J17" s="605">
        <v>405305046</v>
      </c>
      <c r="K17" s="605">
        <v>406425360</v>
      </c>
      <c r="L17" s="605">
        <v>407545495</v>
      </c>
      <c r="M17" s="605">
        <v>408630401</v>
      </c>
      <c r="N17" s="605">
        <v>409753651</v>
      </c>
      <c r="O17" s="606">
        <v>85944187</v>
      </c>
      <c r="P17" s="607">
        <f>D17</f>
        <v>409203085</v>
      </c>
      <c r="Q17" s="604">
        <v>633823752</v>
      </c>
      <c r="R17" s="605">
        <v>336667834</v>
      </c>
      <c r="S17" s="605">
        <v>289384555</v>
      </c>
      <c r="T17" s="605">
        <v>290066039</v>
      </c>
      <c r="U17" s="605">
        <v>290725873</v>
      </c>
      <c r="V17" s="605">
        <v>291408158</v>
      </c>
      <c r="W17" s="605">
        <v>291338691</v>
      </c>
      <c r="X17" s="605">
        <v>292013502</v>
      </c>
      <c r="Y17" s="605">
        <v>292689021</v>
      </c>
      <c r="Z17" s="605">
        <v>293343454</v>
      </c>
      <c r="AA17" s="605">
        <v>294020404</v>
      </c>
      <c r="AB17" s="606">
        <v>294676225</v>
      </c>
      <c r="AC17" s="607">
        <f>Q17</f>
        <v>633823752</v>
      </c>
      <c r="AD17" s="604">
        <f t="shared" ref="AD17:AO17" si="4">AC16</f>
        <v>377035065</v>
      </c>
      <c r="AE17" s="605">
        <f t="shared" si="4"/>
        <v>377685490</v>
      </c>
      <c r="AF17" s="605">
        <f t="shared" si="4"/>
        <v>367374220</v>
      </c>
      <c r="AG17" s="605">
        <f t="shared" si="4"/>
        <v>368097072</v>
      </c>
      <c r="AH17" s="605">
        <f t="shared" si="4"/>
        <v>368792398</v>
      </c>
      <c r="AI17" s="605">
        <f t="shared" si="4"/>
        <v>369514023</v>
      </c>
      <c r="AJ17" s="605">
        <f t="shared" si="4"/>
        <v>369846199</v>
      </c>
      <c r="AK17" s="605">
        <f t="shared" si="4"/>
        <v>369846199</v>
      </c>
      <c r="AL17" s="605">
        <f t="shared" si="4"/>
        <v>369846199</v>
      </c>
      <c r="AM17" s="605">
        <f t="shared" si="4"/>
        <v>369846199</v>
      </c>
      <c r="AN17" s="605">
        <f t="shared" si="4"/>
        <v>369846199</v>
      </c>
      <c r="AO17" s="606">
        <f t="shared" si="4"/>
        <v>369846199</v>
      </c>
      <c r="AP17" s="607">
        <f>AD17</f>
        <v>377035065</v>
      </c>
    </row>
    <row r="18" spans="1:42" ht="20.100000000000001" customHeight="1">
      <c r="A18" s="508"/>
      <c r="B18" s="593" t="s">
        <v>380</v>
      </c>
      <c r="C18" s="603">
        <v>409002993</v>
      </c>
      <c r="D18" s="604">
        <v>0</v>
      </c>
      <c r="E18" s="605">
        <v>0</v>
      </c>
      <c r="F18" s="605">
        <v>0</v>
      </c>
      <c r="G18" s="605">
        <v>0</v>
      </c>
      <c r="H18" s="605">
        <v>0</v>
      </c>
      <c r="I18" s="605">
        <v>0</v>
      </c>
      <c r="J18" s="605">
        <v>0</v>
      </c>
      <c r="K18" s="605">
        <v>0</v>
      </c>
      <c r="L18" s="605">
        <v>0</v>
      </c>
      <c r="M18" s="605">
        <v>0</v>
      </c>
      <c r="N18" s="605">
        <v>0</v>
      </c>
      <c r="O18" s="606">
        <v>224203384</v>
      </c>
      <c r="P18" s="607">
        <f>SUM(D18:O18)</f>
        <v>224203384</v>
      </c>
      <c r="Q18" s="604">
        <v>0</v>
      </c>
      <c r="R18" s="605"/>
      <c r="S18" s="605"/>
      <c r="T18" s="605"/>
      <c r="U18" s="605"/>
      <c r="V18" s="605"/>
      <c r="W18" s="605"/>
      <c r="X18" s="605"/>
      <c r="Y18" s="605"/>
      <c r="Z18" s="605"/>
      <c r="AA18" s="605"/>
      <c r="AB18" s="606">
        <v>90000000</v>
      </c>
      <c r="AC18" s="607">
        <f>SUM(Q18:AB18)</f>
        <v>90000000</v>
      </c>
      <c r="AD18" s="604">
        <f>[7]사외적립자산!AD91</f>
        <v>0</v>
      </c>
      <c r="AE18" s="605">
        <f>[7]사외적립자산!AE91</f>
        <v>0</v>
      </c>
      <c r="AF18" s="605">
        <f>[7]사외적립자산!AF91</f>
        <v>0</v>
      </c>
      <c r="AG18" s="605">
        <v>0</v>
      </c>
      <c r="AH18" s="605">
        <v>0</v>
      </c>
      <c r="AI18" s="605">
        <v>0</v>
      </c>
      <c r="AJ18" s="605"/>
      <c r="AK18" s="605"/>
      <c r="AL18" s="605"/>
      <c r="AM18" s="605"/>
      <c r="AN18" s="605"/>
      <c r="AO18" s="606"/>
      <c r="AP18" s="607">
        <f>SUM(AD18:AO18)</f>
        <v>0</v>
      </c>
    </row>
    <row r="19" spans="1:42" ht="20.100000000000001" customHeight="1">
      <c r="A19" s="508"/>
      <c r="B19" s="602" t="s">
        <v>379</v>
      </c>
      <c r="C19" s="603"/>
      <c r="D19" s="604">
        <v>0</v>
      </c>
      <c r="E19" s="605">
        <v>0</v>
      </c>
      <c r="F19" s="605">
        <v>10477827</v>
      </c>
      <c r="G19" s="605">
        <v>0</v>
      </c>
      <c r="H19" s="605">
        <v>0</v>
      </c>
      <c r="I19" s="605">
        <v>0</v>
      </c>
      <c r="J19" s="605">
        <v>0</v>
      </c>
      <c r="K19" s="605">
        <v>0</v>
      </c>
      <c r="L19" s="605">
        <v>0</v>
      </c>
      <c r="M19" s="605">
        <v>0</v>
      </c>
      <c r="N19" s="605">
        <v>0</v>
      </c>
      <c r="O19" s="606">
        <v>0</v>
      </c>
      <c r="P19" s="607">
        <f>SUM(D19:O19)</f>
        <v>10477827</v>
      </c>
      <c r="Q19" s="604">
        <v>297513646</v>
      </c>
      <c r="R19" s="605">
        <v>47895924</v>
      </c>
      <c r="S19" s="605"/>
      <c r="T19" s="605"/>
      <c r="U19" s="605"/>
      <c r="V19" s="605"/>
      <c r="W19" s="605"/>
      <c r="X19" s="605"/>
      <c r="Y19" s="605"/>
      <c r="Z19" s="605"/>
      <c r="AA19" s="605"/>
      <c r="AB19" s="606">
        <v>6596203</v>
      </c>
      <c r="AC19" s="607">
        <f>SUM(Q19:AB19)</f>
        <v>352005773</v>
      </c>
      <c r="AD19" s="604">
        <f>[7]사외적립자산!AD92</f>
        <v>0</v>
      </c>
      <c r="AE19" s="605">
        <f>[7]사외적립자산!AE92</f>
        <v>10991527</v>
      </c>
      <c r="AF19" s="605">
        <f>[7]사외적립자산!AF92</f>
        <v>0</v>
      </c>
      <c r="AG19" s="605">
        <v>0</v>
      </c>
      <c r="AH19" s="605">
        <v>0</v>
      </c>
      <c r="AI19" s="605">
        <v>0</v>
      </c>
      <c r="AJ19" s="605"/>
      <c r="AK19" s="605"/>
      <c r="AL19" s="605"/>
      <c r="AM19" s="605"/>
      <c r="AN19" s="605"/>
      <c r="AO19" s="606"/>
      <c r="AP19" s="607">
        <f>SUM(AD19:AO19)</f>
        <v>10991527</v>
      </c>
    </row>
    <row r="20" spans="1:42" ht="20.100000000000001" customHeight="1">
      <c r="A20" s="508"/>
      <c r="B20" s="602" t="s">
        <v>378</v>
      </c>
      <c r="C20" s="603">
        <v>200092</v>
      </c>
      <c r="D20" s="604">
        <v>1139735</v>
      </c>
      <c r="E20" s="605">
        <v>1030284</v>
      </c>
      <c r="F20" s="605">
        <v>1133387</v>
      </c>
      <c r="G20" s="605">
        <v>1080200</v>
      </c>
      <c r="H20" s="605">
        <v>1118385</v>
      </c>
      <c r="I20" s="605">
        <v>1082043</v>
      </c>
      <c r="J20" s="605">
        <v>1120314</v>
      </c>
      <c r="K20" s="605">
        <v>1120135</v>
      </c>
      <c r="L20" s="605">
        <v>1084906</v>
      </c>
      <c r="M20" s="605">
        <v>1123250</v>
      </c>
      <c r="N20" s="605">
        <v>1086774</v>
      </c>
      <c r="O20" s="606">
        <v>1136106</v>
      </c>
      <c r="P20" s="607">
        <f>SUM(D20:O20)</f>
        <v>13255519</v>
      </c>
      <c r="Q20" s="604">
        <v>816851</v>
      </c>
      <c r="R20" s="605">
        <v>612645</v>
      </c>
      <c r="S20" s="605">
        <v>681484</v>
      </c>
      <c r="T20" s="605">
        <v>659834</v>
      </c>
      <c r="U20" s="605">
        <v>682285</v>
      </c>
      <c r="V20" s="605">
        <v>83389</v>
      </c>
      <c r="W20" s="605">
        <v>674811</v>
      </c>
      <c r="X20" s="605">
        <v>675519</v>
      </c>
      <c r="Y20" s="605">
        <v>654433</v>
      </c>
      <c r="Z20" s="605">
        <v>676950</v>
      </c>
      <c r="AA20" s="605">
        <v>655821</v>
      </c>
      <c r="AB20" s="606">
        <v>676561</v>
      </c>
      <c r="AC20" s="607">
        <f>SUM(Q20:AB20)</f>
        <v>7550583</v>
      </c>
      <c r="AD20" s="604">
        <f>[7]사외적립자산!AD93</f>
        <v>733628</v>
      </c>
      <c r="AE20" s="605">
        <f>[7]사외적립자산!AE93</f>
        <v>680257</v>
      </c>
      <c r="AF20" s="605">
        <f>[7]사외적립자산!AF93</f>
        <v>722852</v>
      </c>
      <c r="AG20" s="605">
        <f>[7]사외적립자산!AG93</f>
        <v>695326</v>
      </c>
      <c r="AH20" s="605">
        <f>[7]사외적립자산!AH93</f>
        <v>721625</v>
      </c>
      <c r="AI20" s="605">
        <f>[7]사외적립자산!AI93</f>
        <v>694152</v>
      </c>
      <c r="AJ20" s="605"/>
      <c r="AK20" s="605"/>
      <c r="AL20" s="605"/>
      <c r="AM20" s="605"/>
      <c r="AN20" s="605"/>
      <c r="AO20" s="606"/>
      <c r="AP20" s="607">
        <f>SUM(AD20:AO20)</f>
        <v>4247840</v>
      </c>
    </row>
    <row r="21" spans="1:42" ht="20.100000000000001" customHeight="1">
      <c r="A21" s="508"/>
      <c r="B21" s="602" t="s">
        <v>377</v>
      </c>
      <c r="C21" s="603"/>
      <c r="D21" s="604">
        <v>4246</v>
      </c>
      <c r="E21" s="605">
        <v>0</v>
      </c>
      <c r="F21" s="605">
        <v>0</v>
      </c>
      <c r="G21" s="605">
        <v>0</v>
      </c>
      <c r="H21" s="605">
        <v>0</v>
      </c>
      <c r="I21" s="605">
        <v>0</v>
      </c>
      <c r="J21" s="605">
        <v>0</v>
      </c>
      <c r="K21" s="605">
        <v>0</v>
      </c>
      <c r="L21" s="605">
        <v>0</v>
      </c>
      <c r="M21" s="605">
        <v>0</v>
      </c>
      <c r="N21" s="605">
        <v>0</v>
      </c>
      <c r="O21" s="606">
        <v>2356163</v>
      </c>
      <c r="P21" s="607">
        <f>SUM(D21:O21)</f>
        <v>2360409</v>
      </c>
      <c r="Q21" s="604">
        <v>459123</v>
      </c>
      <c r="R21" s="605">
        <v>0</v>
      </c>
      <c r="S21" s="605"/>
      <c r="T21" s="605"/>
      <c r="U21" s="605"/>
      <c r="V21" s="605">
        <v>152856</v>
      </c>
      <c r="W21" s="605"/>
      <c r="X21" s="605"/>
      <c r="Y21" s="605"/>
      <c r="Z21" s="605"/>
      <c r="AA21" s="605"/>
      <c r="AB21" s="606">
        <v>1721518</v>
      </c>
      <c r="AC21" s="607">
        <f>SUM(Q21:AB21)</f>
        <v>2333497</v>
      </c>
      <c r="AD21" s="604">
        <f>[7]사외적립자산!AD94</f>
        <v>83203</v>
      </c>
      <c r="AE21" s="605">
        <f>[7]사외적립자산!AE94</f>
        <v>0</v>
      </c>
      <c r="AF21" s="605">
        <f>[7]사외적립자산!AF94</f>
        <v>0</v>
      </c>
      <c r="AG21" s="605"/>
      <c r="AH21" s="605"/>
      <c r="AI21" s="605">
        <f>[7]사외적립자산!AI94</f>
        <v>361976</v>
      </c>
      <c r="AJ21" s="605"/>
      <c r="AK21" s="605"/>
      <c r="AL21" s="605"/>
      <c r="AM21" s="605"/>
      <c r="AN21" s="605"/>
      <c r="AO21" s="606"/>
      <c r="AP21" s="607">
        <f>SUM(AD21:AO21)</f>
        <v>445179</v>
      </c>
    </row>
    <row r="22" spans="1:42" s="30" customFormat="1" ht="20.100000000000001" customHeight="1">
      <c r="A22" s="594" t="s">
        <v>376</v>
      </c>
      <c r="B22" s="595"/>
      <c r="C22" s="596">
        <f t="shared" ref="C22:AP22" si="5">SUM(C23:C25)</f>
        <v>121632192</v>
      </c>
      <c r="D22" s="597">
        <f t="shared" si="5"/>
        <v>163343322</v>
      </c>
      <c r="E22" s="598">
        <f t="shared" si="5"/>
        <v>159496020</v>
      </c>
      <c r="F22" s="598">
        <f t="shared" si="5"/>
        <v>153623651</v>
      </c>
      <c r="G22" s="598">
        <f t="shared" si="5"/>
        <v>151039344</v>
      </c>
      <c r="H22" s="598">
        <f t="shared" si="5"/>
        <v>153888090</v>
      </c>
      <c r="I22" s="598">
        <f t="shared" si="5"/>
        <v>156247942</v>
      </c>
      <c r="J22" s="598">
        <f t="shared" si="5"/>
        <v>162468466</v>
      </c>
      <c r="K22" s="598">
        <f t="shared" si="5"/>
        <v>159622296</v>
      </c>
      <c r="L22" s="598">
        <f t="shared" si="5"/>
        <v>156175063</v>
      </c>
      <c r="M22" s="598">
        <f t="shared" si="5"/>
        <v>156626390</v>
      </c>
      <c r="N22" s="598">
        <f t="shared" si="5"/>
        <v>158265959</v>
      </c>
      <c r="O22" s="599">
        <f t="shared" si="5"/>
        <v>210557145</v>
      </c>
      <c r="P22" s="600">
        <f t="shared" si="5"/>
        <v>210557145</v>
      </c>
      <c r="Q22" s="597">
        <f t="shared" si="5"/>
        <v>136607848</v>
      </c>
      <c r="R22" s="598">
        <f t="shared" si="5"/>
        <v>183516019</v>
      </c>
      <c r="S22" s="598">
        <f t="shared" si="5"/>
        <v>181250752</v>
      </c>
      <c r="T22" s="598">
        <f t="shared" si="5"/>
        <v>180091842</v>
      </c>
      <c r="U22" s="598">
        <f t="shared" si="5"/>
        <v>179205029</v>
      </c>
      <c r="V22" s="598">
        <f t="shared" si="5"/>
        <v>182119457</v>
      </c>
      <c r="W22" s="598">
        <f t="shared" si="5"/>
        <v>182880407</v>
      </c>
      <c r="X22" s="598">
        <f t="shared" si="5"/>
        <v>196993336</v>
      </c>
      <c r="Y22" s="598">
        <f t="shared" si="5"/>
        <v>175774746</v>
      </c>
      <c r="Z22" s="598">
        <f t="shared" si="5"/>
        <v>175208353</v>
      </c>
      <c r="AA22" s="598">
        <f t="shared" si="5"/>
        <v>173768031</v>
      </c>
      <c r="AB22" s="599">
        <f t="shared" si="5"/>
        <v>154272836</v>
      </c>
      <c r="AC22" s="600">
        <f t="shared" si="5"/>
        <v>154272836</v>
      </c>
      <c r="AD22" s="597">
        <f t="shared" si="5"/>
        <v>154272836</v>
      </c>
      <c r="AE22" s="598">
        <f t="shared" si="5"/>
        <v>154272836</v>
      </c>
      <c r="AF22" s="598">
        <f t="shared" si="5"/>
        <v>150742577</v>
      </c>
      <c r="AG22" s="598">
        <f t="shared" si="5"/>
        <v>150742577</v>
      </c>
      <c r="AH22" s="598">
        <f t="shared" si="5"/>
        <v>150742577</v>
      </c>
      <c r="AI22" s="598">
        <f t="shared" si="5"/>
        <v>167596220</v>
      </c>
      <c r="AJ22" s="598">
        <f t="shared" si="5"/>
        <v>167596220</v>
      </c>
      <c r="AK22" s="598">
        <f t="shared" si="5"/>
        <v>167596220</v>
      </c>
      <c r="AL22" s="598">
        <f t="shared" si="5"/>
        <v>167596220</v>
      </c>
      <c r="AM22" s="598">
        <f t="shared" si="5"/>
        <v>167596220</v>
      </c>
      <c r="AN22" s="598">
        <f t="shared" si="5"/>
        <v>167596220</v>
      </c>
      <c r="AO22" s="599">
        <f t="shared" si="5"/>
        <v>167596220</v>
      </c>
      <c r="AP22" s="600">
        <f t="shared" si="5"/>
        <v>167596220</v>
      </c>
    </row>
    <row r="23" spans="1:42" ht="20.100000000000001" customHeight="1">
      <c r="A23" s="508"/>
      <c r="B23" s="601" t="s">
        <v>375</v>
      </c>
      <c r="C23" s="603">
        <v>76765793</v>
      </c>
      <c r="D23" s="604">
        <v>121632192</v>
      </c>
      <c r="E23" s="605">
        <v>163343322</v>
      </c>
      <c r="F23" s="605">
        <v>159496020</v>
      </c>
      <c r="G23" s="605">
        <v>153623651</v>
      </c>
      <c r="H23" s="605">
        <v>151039344</v>
      </c>
      <c r="I23" s="605">
        <v>153888090</v>
      </c>
      <c r="J23" s="605">
        <v>156247942</v>
      </c>
      <c r="K23" s="605">
        <v>162468466</v>
      </c>
      <c r="L23" s="605">
        <v>159622296</v>
      </c>
      <c r="M23" s="605">
        <v>156175063</v>
      </c>
      <c r="N23" s="605">
        <v>156626390</v>
      </c>
      <c r="O23" s="606">
        <v>158265959</v>
      </c>
      <c r="P23" s="607">
        <f>D23</f>
        <v>121632192</v>
      </c>
      <c r="Q23" s="604">
        <v>210557145</v>
      </c>
      <c r="R23" s="605">
        <v>136607848</v>
      </c>
      <c r="S23" s="605">
        <v>183516019</v>
      </c>
      <c r="T23" s="605">
        <v>181250752</v>
      </c>
      <c r="U23" s="605">
        <v>180091842</v>
      </c>
      <c r="V23" s="605">
        <v>179205029</v>
      </c>
      <c r="W23" s="605">
        <v>182119457</v>
      </c>
      <c r="X23" s="605">
        <v>182880407</v>
      </c>
      <c r="Y23" s="605">
        <v>196993336</v>
      </c>
      <c r="Z23" s="605">
        <v>175774746</v>
      </c>
      <c r="AA23" s="605">
        <v>175208353</v>
      </c>
      <c r="AB23" s="606">
        <v>173768031</v>
      </c>
      <c r="AC23" s="607">
        <f>Q23</f>
        <v>210557145</v>
      </c>
      <c r="AD23" s="604">
        <f t="shared" ref="AD23:AO23" si="6">AC22</f>
        <v>154272836</v>
      </c>
      <c r="AE23" s="605">
        <f t="shared" si="6"/>
        <v>154272836</v>
      </c>
      <c r="AF23" s="605">
        <f t="shared" si="6"/>
        <v>154272836</v>
      </c>
      <c r="AG23" s="605">
        <f t="shared" si="6"/>
        <v>150742577</v>
      </c>
      <c r="AH23" s="605">
        <f t="shared" si="6"/>
        <v>150742577</v>
      </c>
      <c r="AI23" s="605">
        <f t="shared" si="6"/>
        <v>150742577</v>
      </c>
      <c r="AJ23" s="605">
        <f t="shared" si="6"/>
        <v>167596220</v>
      </c>
      <c r="AK23" s="605">
        <f t="shared" si="6"/>
        <v>167596220</v>
      </c>
      <c r="AL23" s="605">
        <f t="shared" si="6"/>
        <v>167596220</v>
      </c>
      <c r="AM23" s="605">
        <f t="shared" si="6"/>
        <v>167596220</v>
      </c>
      <c r="AN23" s="605">
        <f t="shared" si="6"/>
        <v>167596220</v>
      </c>
      <c r="AO23" s="606">
        <f t="shared" si="6"/>
        <v>167596220</v>
      </c>
      <c r="AP23" s="607">
        <f>AD23</f>
        <v>154272836</v>
      </c>
    </row>
    <row r="24" spans="1:42" ht="20.100000000000001" customHeight="1">
      <c r="A24" s="507"/>
      <c r="B24" s="602" t="s">
        <v>374</v>
      </c>
      <c r="C24" s="603">
        <v>57521025</v>
      </c>
      <c r="D24" s="604">
        <v>41711130</v>
      </c>
      <c r="E24" s="605">
        <v>-3847302</v>
      </c>
      <c r="F24" s="605">
        <v>3150863</v>
      </c>
      <c r="G24" s="605">
        <v>-2584307</v>
      </c>
      <c r="H24" s="605">
        <v>2848746</v>
      </c>
      <c r="I24" s="605">
        <v>3100037</v>
      </c>
      <c r="J24" s="605">
        <v>6220524</v>
      </c>
      <c r="K24" s="605">
        <v>-2846170</v>
      </c>
      <c r="L24" s="605">
        <v>-3467789</v>
      </c>
      <c r="M24" s="605">
        <v>451327</v>
      </c>
      <c r="N24" s="605">
        <v>1639569</v>
      </c>
      <c r="O24" s="606">
        <v>67629722</v>
      </c>
      <c r="P24" s="607">
        <f>SUM(D24:O24)</f>
        <v>114006350</v>
      </c>
      <c r="Q24" s="604">
        <v>-73949297</v>
      </c>
      <c r="R24" s="605">
        <v>46908171</v>
      </c>
      <c r="S24" s="605">
        <v>-2265267</v>
      </c>
      <c r="T24" s="605">
        <v>-1158910</v>
      </c>
      <c r="U24" s="605">
        <v>-886813</v>
      </c>
      <c r="V24" s="605">
        <v>2914428</v>
      </c>
      <c r="W24" s="605">
        <v>760950</v>
      </c>
      <c r="X24" s="605">
        <v>14112929</v>
      </c>
      <c r="Y24" s="605">
        <v>-21218590</v>
      </c>
      <c r="Z24" s="605">
        <v>-566393</v>
      </c>
      <c r="AA24" s="605">
        <v>-1440322</v>
      </c>
      <c r="AB24" s="606">
        <v>-19495195</v>
      </c>
      <c r="AC24" s="607">
        <f>SUM(Q24:AB24)</f>
        <v>-56284309</v>
      </c>
      <c r="AD24" s="604"/>
      <c r="AE24" s="605"/>
      <c r="AF24" s="605">
        <f>-'[7]1Q'!H9-'[7]1Q'!H10</f>
        <v>-3530259</v>
      </c>
      <c r="AG24" s="605"/>
      <c r="AH24" s="605"/>
      <c r="AI24" s="605">
        <f>'[7]2Q'!E10-'[7]2Q'!H9</f>
        <v>16853643</v>
      </c>
      <c r="AJ24" s="605"/>
      <c r="AK24" s="605"/>
      <c r="AL24" s="605"/>
      <c r="AM24" s="605"/>
      <c r="AN24" s="605"/>
      <c r="AO24" s="606"/>
      <c r="AP24" s="607">
        <f>SUM(AD24:AO24)</f>
        <v>13323384</v>
      </c>
    </row>
    <row r="25" spans="1:42" ht="20.100000000000001" customHeight="1" thickBot="1">
      <c r="A25" s="509"/>
      <c r="B25" s="608" t="s">
        <v>373</v>
      </c>
      <c r="C25" s="609">
        <v>-12654626</v>
      </c>
      <c r="D25" s="610"/>
      <c r="E25" s="611"/>
      <c r="F25" s="611">
        <v>-9023232</v>
      </c>
      <c r="G25" s="611"/>
      <c r="H25" s="611"/>
      <c r="I25" s="611">
        <v>-740185</v>
      </c>
      <c r="J25" s="611"/>
      <c r="K25" s="611"/>
      <c r="L25" s="611">
        <v>20556</v>
      </c>
      <c r="M25" s="611"/>
      <c r="N25" s="611"/>
      <c r="O25" s="612">
        <v>-15338536</v>
      </c>
      <c r="P25" s="613">
        <f>SUM(D25:O25)</f>
        <v>-25081397</v>
      </c>
      <c r="Q25" s="610"/>
      <c r="R25" s="611"/>
      <c r="S25" s="611"/>
      <c r="T25" s="611"/>
      <c r="U25" s="611"/>
      <c r="V25" s="611"/>
      <c r="W25" s="611"/>
      <c r="X25" s="611"/>
      <c r="Y25" s="611"/>
      <c r="Z25" s="611"/>
      <c r="AA25" s="611"/>
      <c r="AB25" s="612"/>
      <c r="AC25" s="613">
        <f>SUM(Q25:AB25)</f>
        <v>0</v>
      </c>
      <c r="AD25" s="610"/>
      <c r="AE25" s="611"/>
      <c r="AF25" s="611"/>
      <c r="AG25" s="611"/>
      <c r="AH25" s="611"/>
      <c r="AI25" s="611"/>
      <c r="AJ25" s="611"/>
      <c r="AK25" s="611"/>
      <c r="AL25" s="611"/>
      <c r="AM25" s="611"/>
      <c r="AN25" s="611"/>
      <c r="AO25" s="612"/>
      <c r="AP25" s="613">
        <f>SUM(AD25:AO25)</f>
        <v>0</v>
      </c>
    </row>
    <row r="27" spans="1:42" ht="20.100000000000001" customHeight="1">
      <c r="A27" s="495" t="s">
        <v>372</v>
      </c>
    </row>
    <row r="28" spans="1:42" ht="20.100000000000001" customHeight="1">
      <c r="B28" s="510" t="s">
        <v>371</v>
      </c>
      <c r="D28" s="7">
        <f t="shared" ref="D28:O28" si="7">-D15</f>
        <v>1283281</v>
      </c>
      <c r="E28" s="7">
        <f t="shared" si="7"/>
        <v>1254964</v>
      </c>
      <c r="F28" s="7">
        <f t="shared" si="7"/>
        <v>1258540</v>
      </c>
      <c r="G28" s="7">
        <f t="shared" si="7"/>
        <v>1232656</v>
      </c>
      <c r="H28" s="7">
        <f t="shared" si="7"/>
        <v>1236446</v>
      </c>
      <c r="I28" s="7">
        <f t="shared" si="7"/>
        <v>1234668</v>
      </c>
      <c r="J28" s="7">
        <f t="shared" si="7"/>
        <v>1237726</v>
      </c>
      <c r="K28" s="7">
        <f t="shared" si="7"/>
        <v>1239017</v>
      </c>
      <c r="L28" s="7">
        <f t="shared" si="7"/>
        <v>1243114</v>
      </c>
      <c r="M28" s="7">
        <f t="shared" si="7"/>
        <v>1141530</v>
      </c>
      <c r="N28" s="7">
        <f t="shared" si="7"/>
        <v>1144080</v>
      </c>
      <c r="O28" s="7">
        <f t="shared" si="7"/>
        <v>1148548</v>
      </c>
      <c r="P28" s="7">
        <f>SUM(D28:O28)</f>
        <v>14654570</v>
      </c>
      <c r="Q28" s="7">
        <f t="shared" ref="Q28:AB28" si="8">-Q15</f>
        <v>1447672</v>
      </c>
      <c r="R28" s="7">
        <f t="shared" si="8"/>
        <v>783670</v>
      </c>
      <c r="S28" s="7">
        <f t="shared" si="8"/>
        <v>673150</v>
      </c>
      <c r="T28" s="7">
        <f t="shared" si="8"/>
        <v>681016</v>
      </c>
      <c r="U28" s="7">
        <f t="shared" si="8"/>
        <v>687274</v>
      </c>
      <c r="V28" s="7">
        <f t="shared" si="8"/>
        <v>687841</v>
      </c>
      <c r="W28" s="7">
        <f t="shared" si="8"/>
        <v>686010</v>
      </c>
      <c r="X28" s="7">
        <f t="shared" si="8"/>
        <v>687951</v>
      </c>
      <c r="Y28" s="7">
        <f t="shared" si="8"/>
        <v>689518</v>
      </c>
      <c r="Z28" s="7">
        <f t="shared" si="8"/>
        <v>689568</v>
      </c>
      <c r="AA28" s="7">
        <f t="shared" si="8"/>
        <v>690997</v>
      </c>
      <c r="AB28" s="7">
        <f t="shared" si="8"/>
        <v>691372</v>
      </c>
      <c r="AC28" s="7">
        <f>SUM(Q28:AB28)</f>
        <v>9096039</v>
      </c>
      <c r="AD28" s="7">
        <f t="shared" ref="AD28:AO28" si="9">-AD15</f>
        <v>0</v>
      </c>
      <c r="AE28" s="7">
        <f t="shared" si="9"/>
        <v>0</v>
      </c>
      <c r="AF28" s="7">
        <f t="shared" si="9"/>
        <v>2303241</v>
      </c>
      <c r="AG28" s="7">
        <f t="shared" si="9"/>
        <v>0</v>
      </c>
      <c r="AH28" s="7">
        <f t="shared" si="9"/>
        <v>0</v>
      </c>
      <c r="AI28" s="7">
        <f t="shared" si="9"/>
        <v>2234823</v>
      </c>
      <c r="AJ28" s="7">
        <f t="shared" si="9"/>
        <v>0</v>
      </c>
      <c r="AK28" s="7">
        <f t="shared" si="9"/>
        <v>0</v>
      </c>
      <c r="AL28" s="7">
        <f t="shared" si="9"/>
        <v>0</v>
      </c>
      <c r="AM28" s="7">
        <f t="shared" si="9"/>
        <v>0</v>
      </c>
      <c r="AN28" s="7">
        <f t="shared" si="9"/>
        <v>0</v>
      </c>
      <c r="AO28" s="7">
        <f t="shared" si="9"/>
        <v>0</v>
      </c>
      <c r="AP28" s="7">
        <f>SUM(AD28:AO28)</f>
        <v>4538064</v>
      </c>
    </row>
    <row r="29" spans="1:42" ht="20.100000000000001" customHeight="1">
      <c r="B29" s="511" t="s">
        <v>370</v>
      </c>
      <c r="D29" s="29">
        <f>D20-D21</f>
        <v>1135489</v>
      </c>
      <c r="E29" s="29">
        <f t="shared" ref="E29:O29" si="10">E20</f>
        <v>1030284</v>
      </c>
      <c r="F29" s="29">
        <f t="shared" si="10"/>
        <v>1133387</v>
      </c>
      <c r="G29" s="29">
        <f t="shared" si="10"/>
        <v>1080200</v>
      </c>
      <c r="H29" s="29">
        <f t="shared" si="10"/>
        <v>1118385</v>
      </c>
      <c r="I29" s="29">
        <f t="shared" si="10"/>
        <v>1082043</v>
      </c>
      <c r="J29" s="29">
        <f t="shared" si="10"/>
        <v>1120314</v>
      </c>
      <c r="K29" s="29">
        <f t="shared" si="10"/>
        <v>1120135</v>
      </c>
      <c r="L29" s="29">
        <f t="shared" si="10"/>
        <v>1084906</v>
      </c>
      <c r="M29" s="29">
        <f t="shared" si="10"/>
        <v>1123250</v>
      </c>
      <c r="N29" s="29">
        <f t="shared" si="10"/>
        <v>1086774</v>
      </c>
      <c r="O29" s="29">
        <f t="shared" si="10"/>
        <v>1136106</v>
      </c>
      <c r="P29" s="7">
        <f>SUM(D29:O29)</f>
        <v>13251273</v>
      </c>
      <c r="Q29" s="29">
        <f>Q20-Q21</f>
        <v>357728</v>
      </c>
      <c r="R29" s="29">
        <f>R20</f>
        <v>612645</v>
      </c>
      <c r="S29" s="29">
        <f>S20</f>
        <v>681484</v>
      </c>
      <c r="T29" s="29">
        <f>T20</f>
        <v>659834</v>
      </c>
      <c r="U29" s="29">
        <f>U20</f>
        <v>682285</v>
      </c>
      <c r="V29" s="29">
        <f>V20-V21</f>
        <v>-69467</v>
      </c>
      <c r="W29" s="29">
        <f t="shared" ref="W29:AB29" si="11">W20</f>
        <v>674811</v>
      </c>
      <c r="X29" s="29">
        <f t="shared" si="11"/>
        <v>675519</v>
      </c>
      <c r="Y29" s="29">
        <f t="shared" si="11"/>
        <v>654433</v>
      </c>
      <c r="Z29" s="29">
        <f t="shared" si="11"/>
        <v>676950</v>
      </c>
      <c r="AA29" s="29">
        <f t="shared" si="11"/>
        <v>655821</v>
      </c>
      <c r="AB29" s="29">
        <f t="shared" si="11"/>
        <v>676561</v>
      </c>
      <c r="AC29" s="7">
        <f>SUM(Q29:AB29)</f>
        <v>6938604</v>
      </c>
      <c r="AD29" s="29">
        <f>AD20-AD21</f>
        <v>650425</v>
      </c>
      <c r="AE29" s="29">
        <f>AE20</f>
        <v>680257</v>
      </c>
      <c r="AF29" s="29">
        <f>AF20</f>
        <v>722852</v>
      </c>
      <c r="AG29" s="29">
        <f>AG20</f>
        <v>695326</v>
      </c>
      <c r="AH29" s="29">
        <f>AH20</f>
        <v>721625</v>
      </c>
      <c r="AI29" s="29">
        <f>AI20-AI21</f>
        <v>332176</v>
      </c>
      <c r="AJ29" s="29">
        <f t="shared" ref="AJ29:AO29" si="12">AJ20</f>
        <v>0</v>
      </c>
      <c r="AK29" s="29">
        <f t="shared" si="12"/>
        <v>0</v>
      </c>
      <c r="AL29" s="29">
        <f t="shared" si="12"/>
        <v>0</v>
      </c>
      <c r="AM29" s="29">
        <f t="shared" si="12"/>
        <v>0</v>
      </c>
      <c r="AN29" s="29">
        <f t="shared" si="12"/>
        <v>0</v>
      </c>
      <c r="AO29" s="29">
        <f t="shared" si="12"/>
        <v>0</v>
      </c>
      <c r="AP29" s="7">
        <f>SUM(AD29:AO29)</f>
        <v>3802661</v>
      </c>
    </row>
    <row r="30" spans="1:42" ht="20.100000000000001" customHeight="1">
      <c r="B30" s="511" t="s">
        <v>369</v>
      </c>
      <c r="D30" s="7">
        <f t="shared" ref="D30:O30" si="13">-D15-D20+D21</f>
        <v>147792</v>
      </c>
      <c r="E30" s="7">
        <f t="shared" si="13"/>
        <v>224680</v>
      </c>
      <c r="F30" s="7">
        <f t="shared" si="13"/>
        <v>125153</v>
      </c>
      <c r="G30" s="7">
        <f t="shared" si="13"/>
        <v>152456</v>
      </c>
      <c r="H30" s="7">
        <f t="shared" si="13"/>
        <v>118061</v>
      </c>
      <c r="I30" s="7">
        <f t="shared" si="13"/>
        <v>152625</v>
      </c>
      <c r="J30" s="7">
        <f t="shared" si="13"/>
        <v>117412</v>
      </c>
      <c r="K30" s="7">
        <f t="shared" si="13"/>
        <v>118882</v>
      </c>
      <c r="L30" s="7">
        <f t="shared" si="13"/>
        <v>158208</v>
      </c>
      <c r="M30" s="7">
        <f t="shared" si="13"/>
        <v>18280</v>
      </c>
      <c r="N30" s="7">
        <f t="shared" si="13"/>
        <v>57306</v>
      </c>
      <c r="O30" s="7">
        <f t="shared" si="13"/>
        <v>2368605</v>
      </c>
      <c r="P30" s="7">
        <f>SUM(D30:O30)</f>
        <v>3759460</v>
      </c>
      <c r="Q30" s="7">
        <f t="shared" ref="Q30:AB30" si="14">-Q15-Q20+Q21</f>
        <v>1089944</v>
      </c>
      <c r="R30" s="7">
        <f t="shared" si="14"/>
        <v>171025</v>
      </c>
      <c r="S30" s="7">
        <f t="shared" si="14"/>
        <v>-8334</v>
      </c>
      <c r="T30" s="7">
        <f t="shared" si="14"/>
        <v>21182</v>
      </c>
      <c r="U30" s="7">
        <f t="shared" si="14"/>
        <v>4989</v>
      </c>
      <c r="V30" s="7">
        <f t="shared" si="14"/>
        <v>757308</v>
      </c>
      <c r="W30" s="7">
        <f t="shared" si="14"/>
        <v>11199</v>
      </c>
      <c r="X30" s="7">
        <f t="shared" si="14"/>
        <v>12432</v>
      </c>
      <c r="Y30" s="7">
        <f t="shared" si="14"/>
        <v>35085</v>
      </c>
      <c r="Z30" s="7">
        <f t="shared" si="14"/>
        <v>12618</v>
      </c>
      <c r="AA30" s="7">
        <f t="shared" si="14"/>
        <v>35176</v>
      </c>
      <c r="AB30" s="7">
        <f t="shared" si="14"/>
        <v>1736329</v>
      </c>
      <c r="AC30" s="7">
        <f>SUM(Q30:AB30)</f>
        <v>3878953</v>
      </c>
      <c r="AD30" s="7">
        <f t="shared" ref="AD30:AO30" si="15">-AD15-AD20+AD21</f>
        <v>-650425</v>
      </c>
      <c r="AE30" s="7">
        <f t="shared" si="15"/>
        <v>-680257</v>
      </c>
      <c r="AF30" s="7">
        <f t="shared" si="15"/>
        <v>1580389</v>
      </c>
      <c r="AG30" s="7">
        <f t="shared" si="15"/>
        <v>-695326</v>
      </c>
      <c r="AH30" s="7">
        <f t="shared" si="15"/>
        <v>-721625</v>
      </c>
      <c r="AI30" s="7">
        <f t="shared" si="15"/>
        <v>1902647</v>
      </c>
      <c r="AJ30" s="7">
        <f t="shared" si="15"/>
        <v>0</v>
      </c>
      <c r="AK30" s="7">
        <f t="shared" si="15"/>
        <v>0</v>
      </c>
      <c r="AL30" s="7">
        <f t="shared" si="15"/>
        <v>0</v>
      </c>
      <c r="AM30" s="7">
        <f t="shared" si="15"/>
        <v>0</v>
      </c>
      <c r="AN30" s="7">
        <f t="shared" si="15"/>
        <v>0</v>
      </c>
      <c r="AO30" s="7">
        <f t="shared" si="15"/>
        <v>0</v>
      </c>
      <c r="AP30" s="7">
        <f>SUM(AD30:AO30)</f>
        <v>735403</v>
      </c>
    </row>
    <row r="31" spans="1:42" ht="20.100000000000001" customHeight="1">
      <c r="D31" s="7">
        <f t="shared" ref="D31:O31" si="16">D28-D29-D30</f>
        <v>0</v>
      </c>
      <c r="E31" s="7">
        <f t="shared" si="16"/>
        <v>0</v>
      </c>
      <c r="F31" s="7">
        <f t="shared" si="16"/>
        <v>0</v>
      </c>
      <c r="G31" s="7">
        <f t="shared" si="16"/>
        <v>0</v>
      </c>
      <c r="H31" s="7">
        <f t="shared" si="16"/>
        <v>0</v>
      </c>
      <c r="I31" s="7">
        <f t="shared" si="16"/>
        <v>0</v>
      </c>
      <c r="J31" s="7">
        <f t="shared" si="16"/>
        <v>0</v>
      </c>
      <c r="K31" s="7">
        <f t="shared" si="16"/>
        <v>0</v>
      </c>
      <c r="L31" s="7">
        <f t="shared" si="16"/>
        <v>0</v>
      </c>
      <c r="M31" s="7">
        <f t="shared" si="16"/>
        <v>0</v>
      </c>
      <c r="N31" s="7">
        <f t="shared" si="16"/>
        <v>0</v>
      </c>
      <c r="O31" s="7">
        <f t="shared" si="16"/>
        <v>-2356163</v>
      </c>
      <c r="Q31" s="7">
        <f t="shared" ref="Q31:AB31" si="17">Q28-Q29-Q30</f>
        <v>0</v>
      </c>
      <c r="R31" s="7">
        <f t="shared" si="17"/>
        <v>0</v>
      </c>
      <c r="S31" s="7">
        <f t="shared" si="17"/>
        <v>0</v>
      </c>
      <c r="T31" s="7">
        <f t="shared" si="17"/>
        <v>0</v>
      </c>
      <c r="U31" s="7">
        <f t="shared" si="17"/>
        <v>0</v>
      </c>
      <c r="V31" s="7">
        <f t="shared" si="17"/>
        <v>0</v>
      </c>
      <c r="W31" s="7">
        <f t="shared" si="17"/>
        <v>0</v>
      </c>
      <c r="X31" s="7">
        <f t="shared" si="17"/>
        <v>0</v>
      </c>
      <c r="Y31" s="7">
        <f t="shared" si="17"/>
        <v>0</v>
      </c>
      <c r="Z31" s="7">
        <f t="shared" si="17"/>
        <v>0</v>
      </c>
      <c r="AA31" s="7">
        <f t="shared" si="17"/>
        <v>0</v>
      </c>
      <c r="AB31" s="7">
        <f t="shared" si="17"/>
        <v>-1721518</v>
      </c>
      <c r="AD31" s="7">
        <f t="shared" ref="AD31:AO31" si="18">AD28-AD29-AD30</f>
        <v>0</v>
      </c>
      <c r="AE31" s="7">
        <f t="shared" si="18"/>
        <v>0</v>
      </c>
      <c r="AF31" s="7">
        <f t="shared" si="18"/>
        <v>0</v>
      </c>
      <c r="AG31" s="7">
        <f t="shared" si="18"/>
        <v>0</v>
      </c>
      <c r="AH31" s="7">
        <f t="shared" si="18"/>
        <v>0</v>
      </c>
      <c r="AI31" s="7">
        <f t="shared" si="18"/>
        <v>0</v>
      </c>
      <c r="AJ31" s="7">
        <f t="shared" si="18"/>
        <v>0</v>
      </c>
      <c r="AK31" s="7">
        <f t="shared" si="18"/>
        <v>0</v>
      </c>
      <c r="AL31" s="7">
        <f t="shared" si="18"/>
        <v>0</v>
      </c>
      <c r="AM31" s="7">
        <f t="shared" si="18"/>
        <v>0</v>
      </c>
      <c r="AN31" s="7">
        <f t="shared" si="18"/>
        <v>0</v>
      </c>
      <c r="AO31" s="7">
        <f t="shared" si="18"/>
        <v>0</v>
      </c>
    </row>
    <row r="32" spans="1:42" ht="20.100000000000001" customHeight="1">
      <c r="N32" s="7">
        <f>P20-P21</f>
        <v>10895110</v>
      </c>
    </row>
  </sheetData>
  <mergeCells count="5">
    <mergeCell ref="A3:B4"/>
    <mergeCell ref="C3:C4"/>
    <mergeCell ref="D3:P4"/>
    <mergeCell ref="Q3:AC4"/>
    <mergeCell ref="AD3:AP3"/>
  </mergeCells>
  <phoneticPr fontId="2" type="noConversion"/>
  <printOptions horizontalCentered="1"/>
  <pageMargins left="0.39370078740157483" right="0.39370078740157483" top="0.45" bottom="0.43" header="0.39370078740157483" footer="0.39370078740157483"/>
  <pageSetup paperSize="9" scale="62" orientation="landscape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351"/>
  <sheetViews>
    <sheetView topLeftCell="A19" zoomScale="85" zoomScaleNormal="85" workbookViewId="0">
      <selection activeCell="F24" sqref="F24"/>
    </sheetView>
  </sheetViews>
  <sheetFormatPr defaultRowHeight="13.5"/>
  <cols>
    <col min="1" max="1" width="11.25" style="297" customWidth="1"/>
    <col min="2" max="2" width="12.625" style="1518" customWidth="1"/>
    <col min="3" max="3" width="16.625" style="1519" customWidth="1"/>
    <col min="4" max="4" width="13.625" style="1518" customWidth="1"/>
    <col min="5" max="5" width="12.625" style="1518" customWidth="1"/>
    <col min="6" max="6" width="16.625" style="1519" customWidth="1"/>
    <col min="7" max="7" width="13.625" style="1518" customWidth="1"/>
    <col min="8" max="8" width="12.625" style="1518" customWidth="1"/>
    <col min="9" max="9" width="16.625" style="1519" customWidth="1"/>
    <col min="10" max="10" width="13.625" style="1518" customWidth="1"/>
    <col min="11" max="11" width="3.875" style="1518" customWidth="1"/>
    <col min="12" max="12" width="12.625" style="1518" customWidth="1"/>
    <col min="13" max="13" width="12.625" style="296" customWidth="1"/>
    <col min="14" max="14" width="19.625" style="296" bestFit="1" customWidth="1"/>
    <col min="15" max="15" width="16.5" style="295" bestFit="1" customWidth="1"/>
    <col min="16" max="256" width="9" style="295"/>
    <col min="257" max="257" width="11.25" style="295" customWidth="1"/>
    <col min="258" max="258" width="12.625" style="295" customWidth="1"/>
    <col min="259" max="259" width="16.625" style="295" customWidth="1"/>
    <col min="260" max="260" width="13.625" style="295" customWidth="1"/>
    <col min="261" max="261" width="12.625" style="295" customWidth="1"/>
    <col min="262" max="262" width="16.625" style="295" customWidth="1"/>
    <col min="263" max="263" width="13.625" style="295" customWidth="1"/>
    <col min="264" max="264" width="12.625" style="295" customWidth="1"/>
    <col min="265" max="265" width="16.625" style="295" customWidth="1"/>
    <col min="266" max="266" width="13.625" style="295" customWidth="1"/>
    <col min="267" max="267" width="3.875" style="295" customWidth="1"/>
    <col min="268" max="269" width="12.625" style="295" customWidth="1"/>
    <col min="270" max="270" width="12" style="295" bestFit="1" customWidth="1"/>
    <col min="271" max="271" width="14" style="295" bestFit="1" customWidth="1"/>
    <col min="272" max="512" width="9" style="295"/>
    <col min="513" max="513" width="11.25" style="295" customWidth="1"/>
    <col min="514" max="514" width="12.625" style="295" customWidth="1"/>
    <col min="515" max="515" width="16.625" style="295" customWidth="1"/>
    <col min="516" max="516" width="13.625" style="295" customWidth="1"/>
    <col min="517" max="517" width="12.625" style="295" customWidth="1"/>
    <col min="518" max="518" width="16.625" style="295" customWidth="1"/>
    <col min="519" max="519" width="13.625" style="295" customWidth="1"/>
    <col min="520" max="520" width="12.625" style="295" customWidth="1"/>
    <col min="521" max="521" width="16.625" style="295" customWidth="1"/>
    <col min="522" max="522" width="13.625" style="295" customWidth="1"/>
    <col min="523" max="523" width="3.875" style="295" customWidth="1"/>
    <col min="524" max="525" width="12.625" style="295" customWidth="1"/>
    <col min="526" max="526" width="12" style="295" bestFit="1" customWidth="1"/>
    <col min="527" max="527" width="14" style="295" bestFit="1" customWidth="1"/>
    <col min="528" max="768" width="9" style="295"/>
    <col min="769" max="769" width="11.25" style="295" customWidth="1"/>
    <col min="770" max="770" width="12.625" style="295" customWidth="1"/>
    <col min="771" max="771" width="16.625" style="295" customWidth="1"/>
    <col min="772" max="772" width="13.625" style="295" customWidth="1"/>
    <col min="773" max="773" width="12.625" style="295" customWidth="1"/>
    <col min="774" max="774" width="16.625" style="295" customWidth="1"/>
    <col min="775" max="775" width="13.625" style="295" customWidth="1"/>
    <col min="776" max="776" width="12.625" style="295" customWidth="1"/>
    <col min="777" max="777" width="16.625" style="295" customWidth="1"/>
    <col min="778" max="778" width="13.625" style="295" customWidth="1"/>
    <col min="779" max="779" width="3.875" style="295" customWidth="1"/>
    <col min="780" max="781" width="12.625" style="295" customWidth="1"/>
    <col min="782" max="782" width="12" style="295" bestFit="1" customWidth="1"/>
    <col min="783" max="783" width="14" style="295" bestFit="1" customWidth="1"/>
    <col min="784" max="1024" width="9" style="295"/>
    <col min="1025" max="1025" width="11.25" style="295" customWidth="1"/>
    <col min="1026" max="1026" width="12.625" style="295" customWidth="1"/>
    <col min="1027" max="1027" width="16.625" style="295" customWidth="1"/>
    <col min="1028" max="1028" width="13.625" style="295" customWidth="1"/>
    <col min="1029" max="1029" width="12.625" style="295" customWidth="1"/>
    <col min="1030" max="1030" width="16.625" style="295" customWidth="1"/>
    <col min="1031" max="1031" width="13.625" style="295" customWidth="1"/>
    <col min="1032" max="1032" width="12.625" style="295" customWidth="1"/>
    <col min="1033" max="1033" width="16.625" style="295" customWidth="1"/>
    <col min="1034" max="1034" width="13.625" style="295" customWidth="1"/>
    <col min="1035" max="1035" width="3.875" style="295" customWidth="1"/>
    <col min="1036" max="1037" width="12.625" style="295" customWidth="1"/>
    <col min="1038" max="1038" width="12" style="295" bestFit="1" customWidth="1"/>
    <col min="1039" max="1039" width="14" style="295" bestFit="1" customWidth="1"/>
    <col min="1040" max="1280" width="9" style="295"/>
    <col min="1281" max="1281" width="11.25" style="295" customWidth="1"/>
    <col min="1282" max="1282" width="12.625" style="295" customWidth="1"/>
    <col min="1283" max="1283" width="16.625" style="295" customWidth="1"/>
    <col min="1284" max="1284" width="13.625" style="295" customWidth="1"/>
    <col min="1285" max="1285" width="12.625" style="295" customWidth="1"/>
    <col min="1286" max="1286" width="16.625" style="295" customWidth="1"/>
    <col min="1287" max="1287" width="13.625" style="295" customWidth="1"/>
    <col min="1288" max="1288" width="12.625" style="295" customWidth="1"/>
    <col min="1289" max="1289" width="16.625" style="295" customWidth="1"/>
    <col min="1290" max="1290" width="13.625" style="295" customWidth="1"/>
    <col min="1291" max="1291" width="3.875" style="295" customWidth="1"/>
    <col min="1292" max="1293" width="12.625" style="295" customWidth="1"/>
    <col min="1294" max="1294" width="12" style="295" bestFit="1" customWidth="1"/>
    <col min="1295" max="1295" width="14" style="295" bestFit="1" customWidth="1"/>
    <col min="1296" max="1536" width="9" style="295"/>
    <col min="1537" max="1537" width="11.25" style="295" customWidth="1"/>
    <col min="1538" max="1538" width="12.625" style="295" customWidth="1"/>
    <col min="1539" max="1539" width="16.625" style="295" customWidth="1"/>
    <col min="1540" max="1540" width="13.625" style="295" customWidth="1"/>
    <col min="1541" max="1541" width="12.625" style="295" customWidth="1"/>
    <col min="1542" max="1542" width="16.625" style="295" customWidth="1"/>
    <col min="1543" max="1543" width="13.625" style="295" customWidth="1"/>
    <col min="1544" max="1544" width="12.625" style="295" customWidth="1"/>
    <col min="1545" max="1545" width="16.625" style="295" customWidth="1"/>
    <col min="1546" max="1546" width="13.625" style="295" customWidth="1"/>
    <col min="1547" max="1547" width="3.875" style="295" customWidth="1"/>
    <col min="1548" max="1549" width="12.625" style="295" customWidth="1"/>
    <col min="1550" max="1550" width="12" style="295" bestFit="1" customWidth="1"/>
    <col min="1551" max="1551" width="14" style="295" bestFit="1" customWidth="1"/>
    <col min="1552" max="1792" width="9" style="295"/>
    <col min="1793" max="1793" width="11.25" style="295" customWidth="1"/>
    <col min="1794" max="1794" width="12.625" style="295" customWidth="1"/>
    <col min="1795" max="1795" width="16.625" style="295" customWidth="1"/>
    <col min="1796" max="1796" width="13.625" style="295" customWidth="1"/>
    <col min="1797" max="1797" width="12.625" style="295" customWidth="1"/>
    <col min="1798" max="1798" width="16.625" style="295" customWidth="1"/>
    <col min="1799" max="1799" width="13.625" style="295" customWidth="1"/>
    <col min="1800" max="1800" width="12.625" style="295" customWidth="1"/>
    <col min="1801" max="1801" width="16.625" style="295" customWidth="1"/>
    <col min="1802" max="1802" width="13.625" style="295" customWidth="1"/>
    <col min="1803" max="1803" width="3.875" style="295" customWidth="1"/>
    <col min="1804" max="1805" width="12.625" style="295" customWidth="1"/>
    <col min="1806" max="1806" width="12" style="295" bestFit="1" customWidth="1"/>
    <col min="1807" max="1807" width="14" style="295" bestFit="1" customWidth="1"/>
    <col min="1808" max="2048" width="9" style="295"/>
    <col min="2049" max="2049" width="11.25" style="295" customWidth="1"/>
    <col min="2050" max="2050" width="12.625" style="295" customWidth="1"/>
    <col min="2051" max="2051" width="16.625" style="295" customWidth="1"/>
    <col min="2052" max="2052" width="13.625" style="295" customWidth="1"/>
    <col min="2053" max="2053" width="12.625" style="295" customWidth="1"/>
    <col min="2054" max="2054" width="16.625" style="295" customWidth="1"/>
    <col min="2055" max="2055" width="13.625" style="295" customWidth="1"/>
    <col min="2056" max="2056" width="12.625" style="295" customWidth="1"/>
    <col min="2057" max="2057" width="16.625" style="295" customWidth="1"/>
    <col min="2058" max="2058" width="13.625" style="295" customWidth="1"/>
    <col min="2059" max="2059" width="3.875" style="295" customWidth="1"/>
    <col min="2060" max="2061" width="12.625" style="295" customWidth="1"/>
    <col min="2062" max="2062" width="12" style="295" bestFit="1" customWidth="1"/>
    <col min="2063" max="2063" width="14" style="295" bestFit="1" customWidth="1"/>
    <col min="2064" max="2304" width="9" style="295"/>
    <col min="2305" max="2305" width="11.25" style="295" customWidth="1"/>
    <col min="2306" max="2306" width="12.625" style="295" customWidth="1"/>
    <col min="2307" max="2307" width="16.625" style="295" customWidth="1"/>
    <col min="2308" max="2308" width="13.625" style="295" customWidth="1"/>
    <col min="2309" max="2309" width="12.625" style="295" customWidth="1"/>
    <col min="2310" max="2310" width="16.625" style="295" customWidth="1"/>
    <col min="2311" max="2311" width="13.625" style="295" customWidth="1"/>
    <col min="2312" max="2312" width="12.625" style="295" customWidth="1"/>
    <col min="2313" max="2313" width="16.625" style="295" customWidth="1"/>
    <col min="2314" max="2314" width="13.625" style="295" customWidth="1"/>
    <col min="2315" max="2315" width="3.875" style="295" customWidth="1"/>
    <col min="2316" max="2317" width="12.625" style="295" customWidth="1"/>
    <col min="2318" max="2318" width="12" style="295" bestFit="1" customWidth="1"/>
    <col min="2319" max="2319" width="14" style="295" bestFit="1" customWidth="1"/>
    <col min="2320" max="2560" width="9" style="295"/>
    <col min="2561" max="2561" width="11.25" style="295" customWidth="1"/>
    <col min="2562" max="2562" width="12.625" style="295" customWidth="1"/>
    <col min="2563" max="2563" width="16.625" style="295" customWidth="1"/>
    <col min="2564" max="2564" width="13.625" style="295" customWidth="1"/>
    <col min="2565" max="2565" width="12.625" style="295" customWidth="1"/>
    <col min="2566" max="2566" width="16.625" style="295" customWidth="1"/>
    <col min="2567" max="2567" width="13.625" style="295" customWidth="1"/>
    <col min="2568" max="2568" width="12.625" style="295" customWidth="1"/>
    <col min="2569" max="2569" width="16.625" style="295" customWidth="1"/>
    <col min="2570" max="2570" width="13.625" style="295" customWidth="1"/>
    <col min="2571" max="2571" width="3.875" style="295" customWidth="1"/>
    <col min="2572" max="2573" width="12.625" style="295" customWidth="1"/>
    <col min="2574" max="2574" width="12" style="295" bestFit="1" customWidth="1"/>
    <col min="2575" max="2575" width="14" style="295" bestFit="1" customWidth="1"/>
    <col min="2576" max="2816" width="9" style="295"/>
    <col min="2817" max="2817" width="11.25" style="295" customWidth="1"/>
    <col min="2818" max="2818" width="12.625" style="295" customWidth="1"/>
    <col min="2819" max="2819" width="16.625" style="295" customWidth="1"/>
    <col min="2820" max="2820" width="13.625" style="295" customWidth="1"/>
    <col min="2821" max="2821" width="12.625" style="295" customWidth="1"/>
    <col min="2822" max="2822" width="16.625" style="295" customWidth="1"/>
    <col min="2823" max="2823" width="13.625" style="295" customWidth="1"/>
    <col min="2824" max="2824" width="12.625" style="295" customWidth="1"/>
    <col min="2825" max="2825" width="16.625" style="295" customWidth="1"/>
    <col min="2826" max="2826" width="13.625" style="295" customWidth="1"/>
    <col min="2827" max="2827" width="3.875" style="295" customWidth="1"/>
    <col min="2828" max="2829" width="12.625" style="295" customWidth="1"/>
    <col min="2830" max="2830" width="12" style="295" bestFit="1" customWidth="1"/>
    <col min="2831" max="2831" width="14" style="295" bestFit="1" customWidth="1"/>
    <col min="2832" max="3072" width="9" style="295"/>
    <col min="3073" max="3073" width="11.25" style="295" customWidth="1"/>
    <col min="3074" max="3074" width="12.625" style="295" customWidth="1"/>
    <col min="3075" max="3075" width="16.625" style="295" customWidth="1"/>
    <col min="3076" max="3076" width="13.625" style="295" customWidth="1"/>
    <col min="3077" max="3077" width="12.625" style="295" customWidth="1"/>
    <col min="3078" max="3078" width="16.625" style="295" customWidth="1"/>
    <col min="3079" max="3079" width="13.625" style="295" customWidth="1"/>
    <col min="3080" max="3080" width="12.625" style="295" customWidth="1"/>
    <col min="3081" max="3081" width="16.625" style="295" customWidth="1"/>
    <col min="3082" max="3082" width="13.625" style="295" customWidth="1"/>
    <col min="3083" max="3083" width="3.875" style="295" customWidth="1"/>
    <col min="3084" max="3085" width="12.625" style="295" customWidth="1"/>
    <col min="3086" max="3086" width="12" style="295" bestFit="1" customWidth="1"/>
    <col min="3087" max="3087" width="14" style="295" bestFit="1" customWidth="1"/>
    <col min="3088" max="3328" width="9" style="295"/>
    <col min="3329" max="3329" width="11.25" style="295" customWidth="1"/>
    <col min="3330" max="3330" width="12.625" style="295" customWidth="1"/>
    <col min="3331" max="3331" width="16.625" style="295" customWidth="1"/>
    <col min="3332" max="3332" width="13.625" style="295" customWidth="1"/>
    <col min="3333" max="3333" width="12.625" style="295" customWidth="1"/>
    <col min="3334" max="3334" width="16.625" style="295" customWidth="1"/>
    <col min="3335" max="3335" width="13.625" style="295" customWidth="1"/>
    <col min="3336" max="3336" width="12.625" style="295" customWidth="1"/>
    <col min="3337" max="3337" width="16.625" style="295" customWidth="1"/>
    <col min="3338" max="3338" width="13.625" style="295" customWidth="1"/>
    <col min="3339" max="3339" width="3.875" style="295" customWidth="1"/>
    <col min="3340" max="3341" width="12.625" style="295" customWidth="1"/>
    <col min="3342" max="3342" width="12" style="295" bestFit="1" customWidth="1"/>
    <col min="3343" max="3343" width="14" style="295" bestFit="1" customWidth="1"/>
    <col min="3344" max="3584" width="9" style="295"/>
    <col min="3585" max="3585" width="11.25" style="295" customWidth="1"/>
    <col min="3586" max="3586" width="12.625" style="295" customWidth="1"/>
    <col min="3587" max="3587" width="16.625" style="295" customWidth="1"/>
    <col min="3588" max="3588" width="13.625" style="295" customWidth="1"/>
    <col min="3589" max="3589" width="12.625" style="295" customWidth="1"/>
    <col min="3590" max="3590" width="16.625" style="295" customWidth="1"/>
    <col min="3591" max="3591" width="13.625" style="295" customWidth="1"/>
    <col min="3592" max="3592" width="12.625" style="295" customWidth="1"/>
    <col min="3593" max="3593" width="16.625" style="295" customWidth="1"/>
    <col min="3594" max="3594" width="13.625" style="295" customWidth="1"/>
    <col min="3595" max="3595" width="3.875" style="295" customWidth="1"/>
    <col min="3596" max="3597" width="12.625" style="295" customWidth="1"/>
    <col min="3598" max="3598" width="12" style="295" bestFit="1" customWidth="1"/>
    <col min="3599" max="3599" width="14" style="295" bestFit="1" customWidth="1"/>
    <col min="3600" max="3840" width="9" style="295"/>
    <col min="3841" max="3841" width="11.25" style="295" customWidth="1"/>
    <col min="3842" max="3842" width="12.625" style="295" customWidth="1"/>
    <col min="3843" max="3843" width="16.625" style="295" customWidth="1"/>
    <col min="3844" max="3844" width="13.625" style="295" customWidth="1"/>
    <col min="3845" max="3845" width="12.625" style="295" customWidth="1"/>
    <col min="3846" max="3846" width="16.625" style="295" customWidth="1"/>
    <col min="3847" max="3847" width="13.625" style="295" customWidth="1"/>
    <col min="3848" max="3848" width="12.625" style="295" customWidth="1"/>
    <col min="3849" max="3849" width="16.625" style="295" customWidth="1"/>
    <col min="3850" max="3850" width="13.625" style="295" customWidth="1"/>
    <col min="3851" max="3851" width="3.875" style="295" customWidth="1"/>
    <col min="3852" max="3853" width="12.625" style="295" customWidth="1"/>
    <col min="3854" max="3854" width="12" style="295" bestFit="1" customWidth="1"/>
    <col min="3855" max="3855" width="14" style="295" bestFit="1" customWidth="1"/>
    <col min="3856" max="4096" width="9" style="295"/>
    <col min="4097" max="4097" width="11.25" style="295" customWidth="1"/>
    <col min="4098" max="4098" width="12.625" style="295" customWidth="1"/>
    <col min="4099" max="4099" width="16.625" style="295" customWidth="1"/>
    <col min="4100" max="4100" width="13.625" style="295" customWidth="1"/>
    <col min="4101" max="4101" width="12.625" style="295" customWidth="1"/>
    <col min="4102" max="4102" width="16.625" style="295" customWidth="1"/>
    <col min="4103" max="4103" width="13.625" style="295" customWidth="1"/>
    <col min="4104" max="4104" width="12.625" style="295" customWidth="1"/>
    <col min="4105" max="4105" width="16.625" style="295" customWidth="1"/>
    <col min="4106" max="4106" width="13.625" style="295" customWidth="1"/>
    <col min="4107" max="4107" width="3.875" style="295" customWidth="1"/>
    <col min="4108" max="4109" width="12.625" style="295" customWidth="1"/>
    <col min="4110" max="4110" width="12" style="295" bestFit="1" customWidth="1"/>
    <col min="4111" max="4111" width="14" style="295" bestFit="1" customWidth="1"/>
    <col min="4112" max="4352" width="9" style="295"/>
    <col min="4353" max="4353" width="11.25" style="295" customWidth="1"/>
    <col min="4354" max="4354" width="12.625" style="295" customWidth="1"/>
    <col min="4355" max="4355" width="16.625" style="295" customWidth="1"/>
    <col min="4356" max="4356" width="13.625" style="295" customWidth="1"/>
    <col min="4357" max="4357" width="12.625" style="295" customWidth="1"/>
    <col min="4358" max="4358" width="16.625" style="295" customWidth="1"/>
    <col min="4359" max="4359" width="13.625" style="295" customWidth="1"/>
    <col min="4360" max="4360" width="12.625" style="295" customWidth="1"/>
    <col min="4361" max="4361" width="16.625" style="295" customWidth="1"/>
    <col min="4362" max="4362" width="13.625" style="295" customWidth="1"/>
    <col min="4363" max="4363" width="3.875" style="295" customWidth="1"/>
    <col min="4364" max="4365" width="12.625" style="295" customWidth="1"/>
    <col min="4366" max="4366" width="12" style="295" bestFit="1" customWidth="1"/>
    <col min="4367" max="4367" width="14" style="295" bestFit="1" customWidth="1"/>
    <col min="4368" max="4608" width="9" style="295"/>
    <col min="4609" max="4609" width="11.25" style="295" customWidth="1"/>
    <col min="4610" max="4610" width="12.625" style="295" customWidth="1"/>
    <col min="4611" max="4611" width="16.625" style="295" customWidth="1"/>
    <col min="4612" max="4612" width="13.625" style="295" customWidth="1"/>
    <col min="4613" max="4613" width="12.625" style="295" customWidth="1"/>
    <col min="4614" max="4614" width="16.625" style="295" customWidth="1"/>
    <col min="4615" max="4615" width="13.625" style="295" customWidth="1"/>
    <col min="4616" max="4616" width="12.625" style="295" customWidth="1"/>
    <col min="4617" max="4617" width="16.625" style="295" customWidth="1"/>
    <col min="4618" max="4618" width="13.625" style="295" customWidth="1"/>
    <col min="4619" max="4619" width="3.875" style="295" customWidth="1"/>
    <col min="4620" max="4621" width="12.625" style="295" customWidth="1"/>
    <col min="4622" max="4622" width="12" style="295" bestFit="1" customWidth="1"/>
    <col min="4623" max="4623" width="14" style="295" bestFit="1" customWidth="1"/>
    <col min="4624" max="4864" width="9" style="295"/>
    <col min="4865" max="4865" width="11.25" style="295" customWidth="1"/>
    <col min="4866" max="4866" width="12.625" style="295" customWidth="1"/>
    <col min="4867" max="4867" width="16.625" style="295" customWidth="1"/>
    <col min="4868" max="4868" width="13.625" style="295" customWidth="1"/>
    <col min="4869" max="4869" width="12.625" style="295" customWidth="1"/>
    <col min="4870" max="4870" width="16.625" style="295" customWidth="1"/>
    <col min="4871" max="4871" width="13.625" style="295" customWidth="1"/>
    <col min="4872" max="4872" width="12.625" style="295" customWidth="1"/>
    <col min="4873" max="4873" width="16.625" style="295" customWidth="1"/>
    <col min="4874" max="4874" width="13.625" style="295" customWidth="1"/>
    <col min="4875" max="4875" width="3.875" style="295" customWidth="1"/>
    <col min="4876" max="4877" width="12.625" style="295" customWidth="1"/>
    <col min="4878" max="4878" width="12" style="295" bestFit="1" customWidth="1"/>
    <col min="4879" max="4879" width="14" style="295" bestFit="1" customWidth="1"/>
    <col min="4880" max="5120" width="9" style="295"/>
    <col min="5121" max="5121" width="11.25" style="295" customWidth="1"/>
    <col min="5122" max="5122" width="12.625" style="295" customWidth="1"/>
    <col min="5123" max="5123" width="16.625" style="295" customWidth="1"/>
    <col min="5124" max="5124" width="13.625" style="295" customWidth="1"/>
    <col min="5125" max="5125" width="12.625" style="295" customWidth="1"/>
    <col min="5126" max="5126" width="16.625" style="295" customWidth="1"/>
    <col min="5127" max="5127" width="13.625" style="295" customWidth="1"/>
    <col min="5128" max="5128" width="12.625" style="295" customWidth="1"/>
    <col min="5129" max="5129" width="16.625" style="295" customWidth="1"/>
    <col min="5130" max="5130" width="13.625" style="295" customWidth="1"/>
    <col min="5131" max="5131" width="3.875" style="295" customWidth="1"/>
    <col min="5132" max="5133" width="12.625" style="295" customWidth="1"/>
    <col min="5134" max="5134" width="12" style="295" bestFit="1" customWidth="1"/>
    <col min="5135" max="5135" width="14" style="295" bestFit="1" customWidth="1"/>
    <col min="5136" max="5376" width="9" style="295"/>
    <col min="5377" max="5377" width="11.25" style="295" customWidth="1"/>
    <col min="5378" max="5378" width="12.625" style="295" customWidth="1"/>
    <col min="5379" max="5379" width="16.625" style="295" customWidth="1"/>
    <col min="5380" max="5380" width="13.625" style="295" customWidth="1"/>
    <col min="5381" max="5381" width="12.625" style="295" customWidth="1"/>
    <col min="5382" max="5382" width="16.625" style="295" customWidth="1"/>
    <col min="5383" max="5383" width="13.625" style="295" customWidth="1"/>
    <col min="5384" max="5384" width="12.625" style="295" customWidth="1"/>
    <col min="5385" max="5385" width="16.625" style="295" customWidth="1"/>
    <col min="5386" max="5386" width="13.625" style="295" customWidth="1"/>
    <col min="5387" max="5387" width="3.875" style="295" customWidth="1"/>
    <col min="5388" max="5389" width="12.625" style="295" customWidth="1"/>
    <col min="5390" max="5390" width="12" style="295" bestFit="1" customWidth="1"/>
    <col min="5391" max="5391" width="14" style="295" bestFit="1" customWidth="1"/>
    <col min="5392" max="5632" width="9" style="295"/>
    <col min="5633" max="5633" width="11.25" style="295" customWidth="1"/>
    <col min="5634" max="5634" width="12.625" style="295" customWidth="1"/>
    <col min="5635" max="5635" width="16.625" style="295" customWidth="1"/>
    <col min="5636" max="5636" width="13.625" style="295" customWidth="1"/>
    <col min="5637" max="5637" width="12.625" style="295" customWidth="1"/>
    <col min="5638" max="5638" width="16.625" style="295" customWidth="1"/>
    <col min="5639" max="5639" width="13.625" style="295" customWidth="1"/>
    <col min="5640" max="5640" width="12.625" style="295" customWidth="1"/>
    <col min="5641" max="5641" width="16.625" style="295" customWidth="1"/>
    <col min="5642" max="5642" width="13.625" style="295" customWidth="1"/>
    <col min="5643" max="5643" width="3.875" style="295" customWidth="1"/>
    <col min="5644" max="5645" width="12.625" style="295" customWidth="1"/>
    <col min="5646" max="5646" width="12" style="295" bestFit="1" customWidth="1"/>
    <col min="5647" max="5647" width="14" style="295" bestFit="1" customWidth="1"/>
    <col min="5648" max="5888" width="9" style="295"/>
    <col min="5889" max="5889" width="11.25" style="295" customWidth="1"/>
    <col min="5890" max="5890" width="12.625" style="295" customWidth="1"/>
    <col min="5891" max="5891" width="16.625" style="295" customWidth="1"/>
    <col min="5892" max="5892" width="13.625" style="295" customWidth="1"/>
    <col min="5893" max="5893" width="12.625" style="295" customWidth="1"/>
    <col min="5894" max="5894" width="16.625" style="295" customWidth="1"/>
    <col min="5895" max="5895" width="13.625" style="295" customWidth="1"/>
    <col min="5896" max="5896" width="12.625" style="295" customWidth="1"/>
    <col min="5897" max="5897" width="16.625" style="295" customWidth="1"/>
    <col min="5898" max="5898" width="13.625" style="295" customWidth="1"/>
    <col min="5899" max="5899" width="3.875" style="295" customWidth="1"/>
    <col min="5900" max="5901" width="12.625" style="295" customWidth="1"/>
    <col min="5902" max="5902" width="12" style="295" bestFit="1" customWidth="1"/>
    <col min="5903" max="5903" width="14" style="295" bestFit="1" customWidth="1"/>
    <col min="5904" max="6144" width="9" style="295"/>
    <col min="6145" max="6145" width="11.25" style="295" customWidth="1"/>
    <col min="6146" max="6146" width="12.625" style="295" customWidth="1"/>
    <col min="6147" max="6147" width="16.625" style="295" customWidth="1"/>
    <col min="6148" max="6148" width="13.625" style="295" customWidth="1"/>
    <col min="6149" max="6149" width="12.625" style="295" customWidth="1"/>
    <col min="6150" max="6150" width="16.625" style="295" customWidth="1"/>
    <col min="6151" max="6151" width="13.625" style="295" customWidth="1"/>
    <col min="6152" max="6152" width="12.625" style="295" customWidth="1"/>
    <col min="6153" max="6153" width="16.625" style="295" customWidth="1"/>
    <col min="6154" max="6154" width="13.625" style="295" customWidth="1"/>
    <col min="6155" max="6155" width="3.875" style="295" customWidth="1"/>
    <col min="6156" max="6157" width="12.625" style="295" customWidth="1"/>
    <col min="6158" max="6158" width="12" style="295" bestFit="1" customWidth="1"/>
    <col min="6159" max="6159" width="14" style="295" bestFit="1" customWidth="1"/>
    <col min="6160" max="6400" width="9" style="295"/>
    <col min="6401" max="6401" width="11.25" style="295" customWidth="1"/>
    <col min="6402" max="6402" width="12.625" style="295" customWidth="1"/>
    <col min="6403" max="6403" width="16.625" style="295" customWidth="1"/>
    <col min="6404" max="6404" width="13.625" style="295" customWidth="1"/>
    <col min="6405" max="6405" width="12.625" style="295" customWidth="1"/>
    <col min="6406" max="6406" width="16.625" style="295" customWidth="1"/>
    <col min="6407" max="6407" width="13.625" style="295" customWidth="1"/>
    <col min="6408" max="6408" width="12.625" style="295" customWidth="1"/>
    <col min="6409" max="6409" width="16.625" style="295" customWidth="1"/>
    <col min="6410" max="6410" width="13.625" style="295" customWidth="1"/>
    <col min="6411" max="6411" width="3.875" style="295" customWidth="1"/>
    <col min="6412" max="6413" width="12.625" style="295" customWidth="1"/>
    <col min="6414" max="6414" width="12" style="295" bestFit="1" customWidth="1"/>
    <col min="6415" max="6415" width="14" style="295" bestFit="1" customWidth="1"/>
    <col min="6416" max="6656" width="9" style="295"/>
    <col min="6657" max="6657" width="11.25" style="295" customWidth="1"/>
    <col min="6658" max="6658" width="12.625" style="295" customWidth="1"/>
    <col min="6659" max="6659" width="16.625" style="295" customWidth="1"/>
    <col min="6660" max="6660" width="13.625" style="295" customWidth="1"/>
    <col min="6661" max="6661" width="12.625" style="295" customWidth="1"/>
    <col min="6662" max="6662" width="16.625" style="295" customWidth="1"/>
    <col min="6663" max="6663" width="13.625" style="295" customWidth="1"/>
    <col min="6664" max="6664" width="12.625" style="295" customWidth="1"/>
    <col min="6665" max="6665" width="16.625" style="295" customWidth="1"/>
    <col min="6666" max="6666" width="13.625" style="295" customWidth="1"/>
    <col min="6667" max="6667" width="3.875" style="295" customWidth="1"/>
    <col min="6668" max="6669" width="12.625" style="295" customWidth="1"/>
    <col min="6670" max="6670" width="12" style="295" bestFit="1" customWidth="1"/>
    <col min="6671" max="6671" width="14" style="295" bestFit="1" customWidth="1"/>
    <col min="6672" max="6912" width="9" style="295"/>
    <col min="6913" max="6913" width="11.25" style="295" customWidth="1"/>
    <col min="6914" max="6914" width="12.625" style="295" customWidth="1"/>
    <col min="6915" max="6915" width="16.625" style="295" customWidth="1"/>
    <col min="6916" max="6916" width="13.625" style="295" customWidth="1"/>
    <col min="6917" max="6917" width="12.625" style="295" customWidth="1"/>
    <col min="6918" max="6918" width="16.625" style="295" customWidth="1"/>
    <col min="6919" max="6919" width="13.625" style="295" customWidth="1"/>
    <col min="6920" max="6920" width="12.625" style="295" customWidth="1"/>
    <col min="6921" max="6921" width="16.625" style="295" customWidth="1"/>
    <col min="6922" max="6922" width="13.625" style="295" customWidth="1"/>
    <col min="6923" max="6923" width="3.875" style="295" customWidth="1"/>
    <col min="6924" max="6925" width="12.625" style="295" customWidth="1"/>
    <col min="6926" max="6926" width="12" style="295" bestFit="1" customWidth="1"/>
    <col min="6927" max="6927" width="14" style="295" bestFit="1" customWidth="1"/>
    <col min="6928" max="7168" width="9" style="295"/>
    <col min="7169" max="7169" width="11.25" style="295" customWidth="1"/>
    <col min="7170" max="7170" width="12.625" style="295" customWidth="1"/>
    <col min="7171" max="7171" width="16.625" style="295" customWidth="1"/>
    <col min="7172" max="7172" width="13.625" style="295" customWidth="1"/>
    <col min="7173" max="7173" width="12.625" style="295" customWidth="1"/>
    <col min="7174" max="7174" width="16.625" style="295" customWidth="1"/>
    <col min="7175" max="7175" width="13.625" style="295" customWidth="1"/>
    <col min="7176" max="7176" width="12.625" style="295" customWidth="1"/>
    <col min="7177" max="7177" width="16.625" style="295" customWidth="1"/>
    <col min="7178" max="7178" width="13.625" style="295" customWidth="1"/>
    <col min="7179" max="7179" width="3.875" style="295" customWidth="1"/>
    <col min="7180" max="7181" width="12.625" style="295" customWidth="1"/>
    <col min="7182" max="7182" width="12" style="295" bestFit="1" customWidth="1"/>
    <col min="7183" max="7183" width="14" style="295" bestFit="1" customWidth="1"/>
    <col min="7184" max="7424" width="9" style="295"/>
    <col min="7425" max="7425" width="11.25" style="295" customWidth="1"/>
    <col min="7426" max="7426" width="12.625" style="295" customWidth="1"/>
    <col min="7427" max="7427" width="16.625" style="295" customWidth="1"/>
    <col min="7428" max="7428" width="13.625" style="295" customWidth="1"/>
    <col min="7429" max="7429" width="12.625" style="295" customWidth="1"/>
    <col min="7430" max="7430" width="16.625" style="295" customWidth="1"/>
    <col min="7431" max="7431" width="13.625" style="295" customWidth="1"/>
    <col min="7432" max="7432" width="12.625" style="295" customWidth="1"/>
    <col min="7433" max="7433" width="16.625" style="295" customWidth="1"/>
    <col min="7434" max="7434" width="13.625" style="295" customWidth="1"/>
    <col min="7435" max="7435" width="3.875" style="295" customWidth="1"/>
    <col min="7436" max="7437" width="12.625" style="295" customWidth="1"/>
    <col min="7438" max="7438" width="12" style="295" bestFit="1" customWidth="1"/>
    <col min="7439" max="7439" width="14" style="295" bestFit="1" customWidth="1"/>
    <col min="7440" max="7680" width="9" style="295"/>
    <col min="7681" max="7681" width="11.25" style="295" customWidth="1"/>
    <col min="7682" max="7682" width="12.625" style="295" customWidth="1"/>
    <col min="7683" max="7683" width="16.625" style="295" customWidth="1"/>
    <col min="7684" max="7684" width="13.625" style="295" customWidth="1"/>
    <col min="7685" max="7685" width="12.625" style="295" customWidth="1"/>
    <col min="7686" max="7686" width="16.625" style="295" customWidth="1"/>
    <col min="7687" max="7687" width="13.625" style="295" customWidth="1"/>
    <col min="7688" max="7688" width="12.625" style="295" customWidth="1"/>
    <col min="7689" max="7689" width="16.625" style="295" customWidth="1"/>
    <col min="7690" max="7690" width="13.625" style="295" customWidth="1"/>
    <col min="7691" max="7691" width="3.875" style="295" customWidth="1"/>
    <col min="7692" max="7693" width="12.625" style="295" customWidth="1"/>
    <col min="7694" max="7694" width="12" style="295" bestFit="1" customWidth="1"/>
    <col min="7695" max="7695" width="14" style="295" bestFit="1" customWidth="1"/>
    <col min="7696" max="7936" width="9" style="295"/>
    <col min="7937" max="7937" width="11.25" style="295" customWidth="1"/>
    <col min="7938" max="7938" width="12.625" style="295" customWidth="1"/>
    <col min="7939" max="7939" width="16.625" style="295" customWidth="1"/>
    <col min="7940" max="7940" width="13.625" style="295" customWidth="1"/>
    <col min="7941" max="7941" width="12.625" style="295" customWidth="1"/>
    <col min="7942" max="7942" width="16.625" style="295" customWidth="1"/>
    <col min="7943" max="7943" width="13.625" style="295" customWidth="1"/>
    <col min="7944" max="7944" width="12.625" style="295" customWidth="1"/>
    <col min="7945" max="7945" width="16.625" style="295" customWidth="1"/>
    <col min="7946" max="7946" width="13.625" style="295" customWidth="1"/>
    <col min="7947" max="7947" width="3.875" style="295" customWidth="1"/>
    <col min="7948" max="7949" width="12.625" style="295" customWidth="1"/>
    <col min="7950" max="7950" width="12" style="295" bestFit="1" customWidth="1"/>
    <col min="7951" max="7951" width="14" style="295" bestFit="1" customWidth="1"/>
    <col min="7952" max="8192" width="9" style="295"/>
    <col min="8193" max="8193" width="11.25" style="295" customWidth="1"/>
    <col min="8194" max="8194" width="12.625" style="295" customWidth="1"/>
    <col min="8195" max="8195" width="16.625" style="295" customWidth="1"/>
    <col min="8196" max="8196" width="13.625" style="295" customWidth="1"/>
    <col min="8197" max="8197" width="12.625" style="295" customWidth="1"/>
    <col min="8198" max="8198" width="16.625" style="295" customWidth="1"/>
    <col min="8199" max="8199" width="13.625" style="295" customWidth="1"/>
    <col min="8200" max="8200" width="12.625" style="295" customWidth="1"/>
    <col min="8201" max="8201" width="16.625" style="295" customWidth="1"/>
    <col min="8202" max="8202" width="13.625" style="295" customWidth="1"/>
    <col min="8203" max="8203" width="3.875" style="295" customWidth="1"/>
    <col min="8204" max="8205" width="12.625" style="295" customWidth="1"/>
    <col min="8206" max="8206" width="12" style="295" bestFit="1" customWidth="1"/>
    <col min="8207" max="8207" width="14" style="295" bestFit="1" customWidth="1"/>
    <col min="8208" max="8448" width="9" style="295"/>
    <col min="8449" max="8449" width="11.25" style="295" customWidth="1"/>
    <col min="8450" max="8450" width="12.625" style="295" customWidth="1"/>
    <col min="8451" max="8451" width="16.625" style="295" customWidth="1"/>
    <col min="8452" max="8452" width="13.625" style="295" customWidth="1"/>
    <col min="8453" max="8453" width="12.625" style="295" customWidth="1"/>
    <col min="8454" max="8454" width="16.625" style="295" customWidth="1"/>
    <col min="8455" max="8455" width="13.625" style="295" customWidth="1"/>
    <col min="8456" max="8456" width="12.625" style="295" customWidth="1"/>
    <col min="8457" max="8457" width="16.625" style="295" customWidth="1"/>
    <col min="8458" max="8458" width="13.625" style="295" customWidth="1"/>
    <col min="8459" max="8459" width="3.875" style="295" customWidth="1"/>
    <col min="8460" max="8461" width="12.625" style="295" customWidth="1"/>
    <col min="8462" max="8462" width="12" style="295" bestFit="1" customWidth="1"/>
    <col min="8463" max="8463" width="14" style="295" bestFit="1" customWidth="1"/>
    <col min="8464" max="8704" width="9" style="295"/>
    <col min="8705" max="8705" width="11.25" style="295" customWidth="1"/>
    <col min="8706" max="8706" width="12.625" style="295" customWidth="1"/>
    <col min="8707" max="8707" width="16.625" style="295" customWidth="1"/>
    <col min="8708" max="8708" width="13.625" style="295" customWidth="1"/>
    <col min="8709" max="8709" width="12.625" style="295" customWidth="1"/>
    <col min="8710" max="8710" width="16.625" style="295" customWidth="1"/>
    <col min="8711" max="8711" width="13.625" style="295" customWidth="1"/>
    <col min="8712" max="8712" width="12.625" style="295" customWidth="1"/>
    <col min="8713" max="8713" width="16.625" style="295" customWidth="1"/>
    <col min="8714" max="8714" width="13.625" style="295" customWidth="1"/>
    <col min="8715" max="8715" width="3.875" style="295" customWidth="1"/>
    <col min="8716" max="8717" width="12.625" style="295" customWidth="1"/>
    <col min="8718" max="8718" width="12" style="295" bestFit="1" customWidth="1"/>
    <col min="8719" max="8719" width="14" style="295" bestFit="1" customWidth="1"/>
    <col min="8720" max="8960" width="9" style="295"/>
    <col min="8961" max="8961" width="11.25" style="295" customWidth="1"/>
    <col min="8962" max="8962" width="12.625" style="295" customWidth="1"/>
    <col min="8963" max="8963" width="16.625" style="295" customWidth="1"/>
    <col min="8964" max="8964" width="13.625" style="295" customWidth="1"/>
    <col min="8965" max="8965" width="12.625" style="295" customWidth="1"/>
    <col min="8966" max="8966" width="16.625" style="295" customWidth="1"/>
    <col min="8967" max="8967" width="13.625" style="295" customWidth="1"/>
    <col min="8968" max="8968" width="12.625" style="295" customWidth="1"/>
    <col min="8969" max="8969" width="16.625" style="295" customWidth="1"/>
    <col min="8970" max="8970" width="13.625" style="295" customWidth="1"/>
    <col min="8971" max="8971" width="3.875" style="295" customWidth="1"/>
    <col min="8972" max="8973" width="12.625" style="295" customWidth="1"/>
    <col min="8974" max="8974" width="12" style="295" bestFit="1" customWidth="1"/>
    <col min="8975" max="8975" width="14" style="295" bestFit="1" customWidth="1"/>
    <col min="8976" max="9216" width="9" style="295"/>
    <col min="9217" max="9217" width="11.25" style="295" customWidth="1"/>
    <col min="9218" max="9218" width="12.625" style="295" customWidth="1"/>
    <col min="9219" max="9219" width="16.625" style="295" customWidth="1"/>
    <col min="9220" max="9220" width="13.625" style="295" customWidth="1"/>
    <col min="9221" max="9221" width="12.625" style="295" customWidth="1"/>
    <col min="9222" max="9222" width="16.625" style="295" customWidth="1"/>
    <col min="9223" max="9223" width="13.625" style="295" customWidth="1"/>
    <col min="9224" max="9224" width="12.625" style="295" customWidth="1"/>
    <col min="9225" max="9225" width="16.625" style="295" customWidth="1"/>
    <col min="9226" max="9226" width="13.625" style="295" customWidth="1"/>
    <col min="9227" max="9227" width="3.875" style="295" customWidth="1"/>
    <col min="9228" max="9229" width="12.625" style="295" customWidth="1"/>
    <col min="9230" max="9230" width="12" style="295" bestFit="1" customWidth="1"/>
    <col min="9231" max="9231" width="14" style="295" bestFit="1" customWidth="1"/>
    <col min="9232" max="9472" width="9" style="295"/>
    <col min="9473" max="9473" width="11.25" style="295" customWidth="1"/>
    <col min="9474" max="9474" width="12.625" style="295" customWidth="1"/>
    <col min="9475" max="9475" width="16.625" style="295" customWidth="1"/>
    <col min="9476" max="9476" width="13.625" style="295" customWidth="1"/>
    <col min="9477" max="9477" width="12.625" style="295" customWidth="1"/>
    <col min="9478" max="9478" width="16.625" style="295" customWidth="1"/>
    <col min="9479" max="9479" width="13.625" style="295" customWidth="1"/>
    <col min="9480" max="9480" width="12.625" style="295" customWidth="1"/>
    <col min="9481" max="9481" width="16.625" style="295" customWidth="1"/>
    <col min="9482" max="9482" width="13.625" style="295" customWidth="1"/>
    <col min="9483" max="9483" width="3.875" style="295" customWidth="1"/>
    <col min="9484" max="9485" width="12.625" style="295" customWidth="1"/>
    <col min="9486" max="9486" width="12" style="295" bestFit="1" customWidth="1"/>
    <col min="9487" max="9487" width="14" style="295" bestFit="1" customWidth="1"/>
    <col min="9488" max="9728" width="9" style="295"/>
    <col min="9729" max="9729" width="11.25" style="295" customWidth="1"/>
    <col min="9730" max="9730" width="12.625" style="295" customWidth="1"/>
    <col min="9731" max="9731" width="16.625" style="295" customWidth="1"/>
    <col min="9732" max="9732" width="13.625" style="295" customWidth="1"/>
    <col min="9733" max="9733" width="12.625" style="295" customWidth="1"/>
    <col min="9734" max="9734" width="16.625" style="295" customWidth="1"/>
    <col min="9735" max="9735" width="13.625" style="295" customWidth="1"/>
    <col min="9736" max="9736" width="12.625" style="295" customWidth="1"/>
    <col min="9737" max="9737" width="16.625" style="295" customWidth="1"/>
    <col min="9738" max="9738" width="13.625" style="295" customWidth="1"/>
    <col min="9739" max="9739" width="3.875" style="295" customWidth="1"/>
    <col min="9740" max="9741" width="12.625" style="295" customWidth="1"/>
    <col min="9742" max="9742" width="12" style="295" bestFit="1" customWidth="1"/>
    <col min="9743" max="9743" width="14" style="295" bestFit="1" customWidth="1"/>
    <col min="9744" max="9984" width="9" style="295"/>
    <col min="9985" max="9985" width="11.25" style="295" customWidth="1"/>
    <col min="9986" max="9986" width="12.625" style="295" customWidth="1"/>
    <col min="9987" max="9987" width="16.625" style="295" customWidth="1"/>
    <col min="9988" max="9988" width="13.625" style="295" customWidth="1"/>
    <col min="9989" max="9989" width="12.625" style="295" customWidth="1"/>
    <col min="9990" max="9990" width="16.625" style="295" customWidth="1"/>
    <col min="9991" max="9991" width="13.625" style="295" customWidth="1"/>
    <col min="9992" max="9992" width="12.625" style="295" customWidth="1"/>
    <col min="9993" max="9993" width="16.625" style="295" customWidth="1"/>
    <col min="9994" max="9994" width="13.625" style="295" customWidth="1"/>
    <col min="9995" max="9995" width="3.875" style="295" customWidth="1"/>
    <col min="9996" max="9997" width="12.625" style="295" customWidth="1"/>
    <col min="9998" max="9998" width="12" style="295" bestFit="1" customWidth="1"/>
    <col min="9999" max="9999" width="14" style="295" bestFit="1" customWidth="1"/>
    <col min="10000" max="10240" width="9" style="295"/>
    <col min="10241" max="10241" width="11.25" style="295" customWidth="1"/>
    <col min="10242" max="10242" width="12.625" style="295" customWidth="1"/>
    <col min="10243" max="10243" width="16.625" style="295" customWidth="1"/>
    <col min="10244" max="10244" width="13.625" style="295" customWidth="1"/>
    <col min="10245" max="10245" width="12.625" style="295" customWidth="1"/>
    <col min="10246" max="10246" width="16.625" style="295" customWidth="1"/>
    <col min="10247" max="10247" width="13.625" style="295" customWidth="1"/>
    <col min="10248" max="10248" width="12.625" style="295" customWidth="1"/>
    <col min="10249" max="10249" width="16.625" style="295" customWidth="1"/>
    <col min="10250" max="10250" width="13.625" style="295" customWidth="1"/>
    <col min="10251" max="10251" width="3.875" style="295" customWidth="1"/>
    <col min="10252" max="10253" width="12.625" style="295" customWidth="1"/>
    <col min="10254" max="10254" width="12" style="295" bestFit="1" customWidth="1"/>
    <col min="10255" max="10255" width="14" style="295" bestFit="1" customWidth="1"/>
    <col min="10256" max="10496" width="9" style="295"/>
    <col min="10497" max="10497" width="11.25" style="295" customWidth="1"/>
    <col min="10498" max="10498" width="12.625" style="295" customWidth="1"/>
    <col min="10499" max="10499" width="16.625" style="295" customWidth="1"/>
    <col min="10500" max="10500" width="13.625" style="295" customWidth="1"/>
    <col min="10501" max="10501" width="12.625" style="295" customWidth="1"/>
    <col min="10502" max="10502" width="16.625" style="295" customWidth="1"/>
    <col min="10503" max="10503" width="13.625" style="295" customWidth="1"/>
    <col min="10504" max="10504" width="12.625" style="295" customWidth="1"/>
    <col min="10505" max="10505" width="16.625" style="295" customWidth="1"/>
    <col min="10506" max="10506" width="13.625" style="295" customWidth="1"/>
    <col min="10507" max="10507" width="3.875" style="295" customWidth="1"/>
    <col min="10508" max="10509" width="12.625" style="295" customWidth="1"/>
    <col min="10510" max="10510" width="12" style="295" bestFit="1" customWidth="1"/>
    <col min="10511" max="10511" width="14" style="295" bestFit="1" customWidth="1"/>
    <col min="10512" max="10752" width="9" style="295"/>
    <col min="10753" max="10753" width="11.25" style="295" customWidth="1"/>
    <col min="10754" max="10754" width="12.625" style="295" customWidth="1"/>
    <col min="10755" max="10755" width="16.625" style="295" customWidth="1"/>
    <col min="10756" max="10756" width="13.625" style="295" customWidth="1"/>
    <col min="10757" max="10757" width="12.625" style="295" customWidth="1"/>
    <col min="10758" max="10758" width="16.625" style="295" customWidth="1"/>
    <col min="10759" max="10759" width="13.625" style="295" customWidth="1"/>
    <col min="10760" max="10760" width="12.625" style="295" customWidth="1"/>
    <col min="10761" max="10761" width="16.625" style="295" customWidth="1"/>
    <col min="10762" max="10762" width="13.625" style="295" customWidth="1"/>
    <col min="10763" max="10763" width="3.875" style="295" customWidth="1"/>
    <col min="10764" max="10765" width="12.625" style="295" customWidth="1"/>
    <col min="10766" max="10766" width="12" style="295" bestFit="1" customWidth="1"/>
    <col min="10767" max="10767" width="14" style="295" bestFit="1" customWidth="1"/>
    <col min="10768" max="11008" width="9" style="295"/>
    <col min="11009" max="11009" width="11.25" style="295" customWidth="1"/>
    <col min="11010" max="11010" width="12.625" style="295" customWidth="1"/>
    <col min="11011" max="11011" width="16.625" style="295" customWidth="1"/>
    <col min="11012" max="11012" width="13.625" style="295" customWidth="1"/>
    <col min="11013" max="11013" width="12.625" style="295" customWidth="1"/>
    <col min="11014" max="11014" width="16.625" style="295" customWidth="1"/>
    <col min="11015" max="11015" width="13.625" style="295" customWidth="1"/>
    <col min="11016" max="11016" width="12.625" style="295" customWidth="1"/>
    <col min="11017" max="11017" width="16.625" style="295" customWidth="1"/>
    <col min="11018" max="11018" width="13.625" style="295" customWidth="1"/>
    <col min="11019" max="11019" width="3.875" style="295" customWidth="1"/>
    <col min="11020" max="11021" width="12.625" style="295" customWidth="1"/>
    <col min="11022" max="11022" width="12" style="295" bestFit="1" customWidth="1"/>
    <col min="11023" max="11023" width="14" style="295" bestFit="1" customWidth="1"/>
    <col min="11024" max="11264" width="9" style="295"/>
    <col min="11265" max="11265" width="11.25" style="295" customWidth="1"/>
    <col min="11266" max="11266" width="12.625" style="295" customWidth="1"/>
    <col min="11267" max="11267" width="16.625" style="295" customWidth="1"/>
    <col min="11268" max="11268" width="13.625" style="295" customWidth="1"/>
    <col min="11269" max="11269" width="12.625" style="295" customWidth="1"/>
    <col min="11270" max="11270" width="16.625" style="295" customWidth="1"/>
    <col min="11271" max="11271" width="13.625" style="295" customWidth="1"/>
    <col min="11272" max="11272" width="12.625" style="295" customWidth="1"/>
    <col min="11273" max="11273" width="16.625" style="295" customWidth="1"/>
    <col min="11274" max="11274" width="13.625" style="295" customWidth="1"/>
    <col min="11275" max="11275" width="3.875" style="295" customWidth="1"/>
    <col min="11276" max="11277" width="12.625" style="295" customWidth="1"/>
    <col min="11278" max="11278" width="12" style="295" bestFit="1" customWidth="1"/>
    <col min="11279" max="11279" width="14" style="295" bestFit="1" customWidth="1"/>
    <col min="11280" max="11520" width="9" style="295"/>
    <col min="11521" max="11521" width="11.25" style="295" customWidth="1"/>
    <col min="11522" max="11522" width="12.625" style="295" customWidth="1"/>
    <col min="11523" max="11523" width="16.625" style="295" customWidth="1"/>
    <col min="11524" max="11524" width="13.625" style="295" customWidth="1"/>
    <col min="11525" max="11525" width="12.625" style="295" customWidth="1"/>
    <col min="11526" max="11526" width="16.625" style="295" customWidth="1"/>
    <col min="11527" max="11527" width="13.625" style="295" customWidth="1"/>
    <col min="11528" max="11528" width="12.625" style="295" customWidth="1"/>
    <col min="11529" max="11529" width="16.625" style="295" customWidth="1"/>
    <col min="11530" max="11530" width="13.625" style="295" customWidth="1"/>
    <col min="11531" max="11531" width="3.875" style="295" customWidth="1"/>
    <col min="11532" max="11533" width="12.625" style="295" customWidth="1"/>
    <col min="11534" max="11534" width="12" style="295" bestFit="1" customWidth="1"/>
    <col min="11535" max="11535" width="14" style="295" bestFit="1" customWidth="1"/>
    <col min="11536" max="11776" width="9" style="295"/>
    <col min="11777" max="11777" width="11.25" style="295" customWidth="1"/>
    <col min="11778" max="11778" width="12.625" style="295" customWidth="1"/>
    <col min="11779" max="11779" width="16.625" style="295" customWidth="1"/>
    <col min="11780" max="11780" width="13.625" style="295" customWidth="1"/>
    <col min="11781" max="11781" width="12.625" style="295" customWidth="1"/>
    <col min="11782" max="11782" width="16.625" style="295" customWidth="1"/>
    <col min="11783" max="11783" width="13.625" style="295" customWidth="1"/>
    <col min="11784" max="11784" width="12.625" style="295" customWidth="1"/>
    <col min="11785" max="11785" width="16.625" style="295" customWidth="1"/>
    <col min="11786" max="11786" width="13.625" style="295" customWidth="1"/>
    <col min="11787" max="11787" width="3.875" style="295" customWidth="1"/>
    <col min="11788" max="11789" width="12.625" style="295" customWidth="1"/>
    <col min="11790" max="11790" width="12" style="295" bestFit="1" customWidth="1"/>
    <col min="11791" max="11791" width="14" style="295" bestFit="1" customWidth="1"/>
    <col min="11792" max="12032" width="9" style="295"/>
    <col min="12033" max="12033" width="11.25" style="295" customWidth="1"/>
    <col min="12034" max="12034" width="12.625" style="295" customWidth="1"/>
    <col min="12035" max="12035" width="16.625" style="295" customWidth="1"/>
    <col min="12036" max="12036" width="13.625" style="295" customWidth="1"/>
    <col min="12037" max="12037" width="12.625" style="295" customWidth="1"/>
    <col min="12038" max="12038" width="16.625" style="295" customWidth="1"/>
    <col min="12039" max="12039" width="13.625" style="295" customWidth="1"/>
    <col min="12040" max="12040" width="12.625" style="295" customWidth="1"/>
    <col min="12041" max="12041" width="16.625" style="295" customWidth="1"/>
    <col min="12042" max="12042" width="13.625" style="295" customWidth="1"/>
    <col min="12043" max="12043" width="3.875" style="295" customWidth="1"/>
    <col min="12044" max="12045" width="12.625" style="295" customWidth="1"/>
    <col min="12046" max="12046" width="12" style="295" bestFit="1" customWidth="1"/>
    <col min="12047" max="12047" width="14" style="295" bestFit="1" customWidth="1"/>
    <col min="12048" max="12288" width="9" style="295"/>
    <col min="12289" max="12289" width="11.25" style="295" customWidth="1"/>
    <col min="12290" max="12290" width="12.625" style="295" customWidth="1"/>
    <col min="12291" max="12291" width="16.625" style="295" customWidth="1"/>
    <col min="12292" max="12292" width="13.625" style="295" customWidth="1"/>
    <col min="12293" max="12293" width="12.625" style="295" customWidth="1"/>
    <col min="12294" max="12294" width="16.625" style="295" customWidth="1"/>
    <col min="12295" max="12295" width="13.625" style="295" customWidth="1"/>
    <col min="12296" max="12296" width="12.625" style="295" customWidth="1"/>
    <col min="12297" max="12297" width="16.625" style="295" customWidth="1"/>
    <col min="12298" max="12298" width="13.625" style="295" customWidth="1"/>
    <col min="12299" max="12299" width="3.875" style="295" customWidth="1"/>
    <col min="12300" max="12301" width="12.625" style="295" customWidth="1"/>
    <col min="12302" max="12302" width="12" style="295" bestFit="1" customWidth="1"/>
    <col min="12303" max="12303" width="14" style="295" bestFit="1" customWidth="1"/>
    <col min="12304" max="12544" width="9" style="295"/>
    <col min="12545" max="12545" width="11.25" style="295" customWidth="1"/>
    <col min="12546" max="12546" width="12.625" style="295" customWidth="1"/>
    <col min="12547" max="12547" width="16.625" style="295" customWidth="1"/>
    <col min="12548" max="12548" width="13.625" style="295" customWidth="1"/>
    <col min="12549" max="12549" width="12.625" style="295" customWidth="1"/>
    <col min="12550" max="12550" width="16.625" style="295" customWidth="1"/>
    <col min="12551" max="12551" width="13.625" style="295" customWidth="1"/>
    <col min="12552" max="12552" width="12.625" style="295" customWidth="1"/>
    <col min="12553" max="12553" width="16.625" style="295" customWidth="1"/>
    <col min="12554" max="12554" width="13.625" style="295" customWidth="1"/>
    <col min="12555" max="12555" width="3.875" style="295" customWidth="1"/>
    <col min="12556" max="12557" width="12.625" style="295" customWidth="1"/>
    <col min="12558" max="12558" width="12" style="295" bestFit="1" customWidth="1"/>
    <col min="12559" max="12559" width="14" style="295" bestFit="1" customWidth="1"/>
    <col min="12560" max="12800" width="9" style="295"/>
    <col min="12801" max="12801" width="11.25" style="295" customWidth="1"/>
    <col min="12802" max="12802" width="12.625" style="295" customWidth="1"/>
    <col min="12803" max="12803" width="16.625" style="295" customWidth="1"/>
    <col min="12804" max="12804" width="13.625" style="295" customWidth="1"/>
    <col min="12805" max="12805" width="12.625" style="295" customWidth="1"/>
    <col min="12806" max="12806" width="16.625" style="295" customWidth="1"/>
    <col min="12807" max="12807" width="13.625" style="295" customWidth="1"/>
    <col min="12808" max="12808" width="12.625" style="295" customWidth="1"/>
    <col min="12809" max="12809" width="16.625" style="295" customWidth="1"/>
    <col min="12810" max="12810" width="13.625" style="295" customWidth="1"/>
    <col min="12811" max="12811" width="3.875" style="295" customWidth="1"/>
    <col min="12812" max="12813" width="12.625" style="295" customWidth="1"/>
    <col min="12814" max="12814" width="12" style="295" bestFit="1" customWidth="1"/>
    <col min="12815" max="12815" width="14" style="295" bestFit="1" customWidth="1"/>
    <col min="12816" max="13056" width="9" style="295"/>
    <col min="13057" max="13057" width="11.25" style="295" customWidth="1"/>
    <col min="13058" max="13058" width="12.625" style="295" customWidth="1"/>
    <col min="13059" max="13059" width="16.625" style="295" customWidth="1"/>
    <col min="13060" max="13060" width="13.625" style="295" customWidth="1"/>
    <col min="13061" max="13061" width="12.625" style="295" customWidth="1"/>
    <col min="13062" max="13062" width="16.625" style="295" customWidth="1"/>
    <col min="13063" max="13063" width="13.625" style="295" customWidth="1"/>
    <col min="13064" max="13064" width="12.625" style="295" customWidth="1"/>
    <col min="13065" max="13065" width="16.625" style="295" customWidth="1"/>
    <col min="13066" max="13066" width="13.625" style="295" customWidth="1"/>
    <col min="13067" max="13067" width="3.875" style="295" customWidth="1"/>
    <col min="13068" max="13069" width="12.625" style="295" customWidth="1"/>
    <col min="13070" max="13070" width="12" style="295" bestFit="1" customWidth="1"/>
    <col min="13071" max="13071" width="14" style="295" bestFit="1" customWidth="1"/>
    <col min="13072" max="13312" width="9" style="295"/>
    <col min="13313" max="13313" width="11.25" style="295" customWidth="1"/>
    <col min="13314" max="13314" width="12.625" style="295" customWidth="1"/>
    <col min="13315" max="13315" width="16.625" style="295" customWidth="1"/>
    <col min="13316" max="13316" width="13.625" style="295" customWidth="1"/>
    <col min="13317" max="13317" width="12.625" style="295" customWidth="1"/>
    <col min="13318" max="13318" width="16.625" style="295" customWidth="1"/>
    <col min="13319" max="13319" width="13.625" style="295" customWidth="1"/>
    <col min="13320" max="13320" width="12.625" style="295" customWidth="1"/>
    <col min="13321" max="13321" width="16.625" style="295" customWidth="1"/>
    <col min="13322" max="13322" width="13.625" style="295" customWidth="1"/>
    <col min="13323" max="13323" width="3.875" style="295" customWidth="1"/>
    <col min="13324" max="13325" width="12.625" style="295" customWidth="1"/>
    <col min="13326" max="13326" width="12" style="295" bestFit="1" customWidth="1"/>
    <col min="13327" max="13327" width="14" style="295" bestFit="1" customWidth="1"/>
    <col min="13328" max="13568" width="9" style="295"/>
    <col min="13569" max="13569" width="11.25" style="295" customWidth="1"/>
    <col min="13570" max="13570" width="12.625" style="295" customWidth="1"/>
    <col min="13571" max="13571" width="16.625" style="295" customWidth="1"/>
    <col min="13572" max="13572" width="13.625" style="295" customWidth="1"/>
    <col min="13573" max="13573" width="12.625" style="295" customWidth="1"/>
    <col min="13574" max="13574" width="16.625" style="295" customWidth="1"/>
    <col min="13575" max="13575" width="13.625" style="295" customWidth="1"/>
    <col min="13576" max="13576" width="12.625" style="295" customWidth="1"/>
    <col min="13577" max="13577" width="16.625" style="295" customWidth="1"/>
    <col min="13578" max="13578" width="13.625" style="295" customWidth="1"/>
    <col min="13579" max="13579" width="3.875" style="295" customWidth="1"/>
    <col min="13580" max="13581" width="12.625" style="295" customWidth="1"/>
    <col min="13582" max="13582" width="12" style="295" bestFit="1" customWidth="1"/>
    <col min="13583" max="13583" width="14" style="295" bestFit="1" customWidth="1"/>
    <col min="13584" max="13824" width="9" style="295"/>
    <col min="13825" max="13825" width="11.25" style="295" customWidth="1"/>
    <col min="13826" max="13826" width="12.625" style="295" customWidth="1"/>
    <col min="13827" max="13827" width="16.625" style="295" customWidth="1"/>
    <col min="13828" max="13828" width="13.625" style="295" customWidth="1"/>
    <col min="13829" max="13829" width="12.625" style="295" customWidth="1"/>
    <col min="13830" max="13830" width="16.625" style="295" customWidth="1"/>
    <col min="13831" max="13831" width="13.625" style="295" customWidth="1"/>
    <col min="13832" max="13832" width="12.625" style="295" customWidth="1"/>
    <col min="13833" max="13833" width="16.625" style="295" customWidth="1"/>
    <col min="13834" max="13834" width="13.625" style="295" customWidth="1"/>
    <col min="13835" max="13835" width="3.875" style="295" customWidth="1"/>
    <col min="13836" max="13837" width="12.625" style="295" customWidth="1"/>
    <col min="13838" max="13838" width="12" style="295" bestFit="1" customWidth="1"/>
    <col min="13839" max="13839" width="14" style="295" bestFit="1" customWidth="1"/>
    <col min="13840" max="14080" width="9" style="295"/>
    <col min="14081" max="14081" width="11.25" style="295" customWidth="1"/>
    <col min="14082" max="14082" width="12.625" style="295" customWidth="1"/>
    <col min="14083" max="14083" width="16.625" style="295" customWidth="1"/>
    <col min="14084" max="14084" width="13.625" style="295" customWidth="1"/>
    <col min="14085" max="14085" width="12.625" style="295" customWidth="1"/>
    <col min="14086" max="14086" width="16.625" style="295" customWidth="1"/>
    <col min="14087" max="14087" width="13.625" style="295" customWidth="1"/>
    <col min="14088" max="14088" width="12.625" style="295" customWidth="1"/>
    <col min="14089" max="14089" width="16.625" style="295" customWidth="1"/>
    <col min="14090" max="14090" width="13.625" style="295" customWidth="1"/>
    <col min="14091" max="14091" width="3.875" style="295" customWidth="1"/>
    <col min="14092" max="14093" width="12.625" style="295" customWidth="1"/>
    <col min="14094" max="14094" width="12" style="295" bestFit="1" customWidth="1"/>
    <col min="14095" max="14095" width="14" style="295" bestFit="1" customWidth="1"/>
    <col min="14096" max="14336" width="9" style="295"/>
    <col min="14337" max="14337" width="11.25" style="295" customWidth="1"/>
    <col min="14338" max="14338" width="12.625" style="295" customWidth="1"/>
    <col min="14339" max="14339" width="16.625" style="295" customWidth="1"/>
    <col min="14340" max="14340" width="13.625" style="295" customWidth="1"/>
    <col min="14341" max="14341" width="12.625" style="295" customWidth="1"/>
    <col min="14342" max="14342" width="16.625" style="295" customWidth="1"/>
    <col min="14343" max="14343" width="13.625" style="295" customWidth="1"/>
    <col min="14344" max="14344" width="12.625" style="295" customWidth="1"/>
    <col min="14345" max="14345" width="16.625" style="295" customWidth="1"/>
    <col min="14346" max="14346" width="13.625" style="295" customWidth="1"/>
    <col min="14347" max="14347" width="3.875" style="295" customWidth="1"/>
    <col min="14348" max="14349" width="12.625" style="295" customWidth="1"/>
    <col min="14350" max="14350" width="12" style="295" bestFit="1" customWidth="1"/>
    <col min="14351" max="14351" width="14" style="295" bestFit="1" customWidth="1"/>
    <col min="14352" max="14592" width="9" style="295"/>
    <col min="14593" max="14593" width="11.25" style="295" customWidth="1"/>
    <col min="14594" max="14594" width="12.625" style="295" customWidth="1"/>
    <col min="14595" max="14595" width="16.625" style="295" customWidth="1"/>
    <col min="14596" max="14596" width="13.625" style="295" customWidth="1"/>
    <col min="14597" max="14597" width="12.625" style="295" customWidth="1"/>
    <col min="14598" max="14598" width="16.625" style="295" customWidth="1"/>
    <col min="14599" max="14599" width="13.625" style="295" customWidth="1"/>
    <col min="14600" max="14600" width="12.625" style="295" customWidth="1"/>
    <col min="14601" max="14601" width="16.625" style="295" customWidth="1"/>
    <col min="14602" max="14602" width="13.625" style="295" customWidth="1"/>
    <col min="14603" max="14603" width="3.875" style="295" customWidth="1"/>
    <col min="14604" max="14605" width="12.625" style="295" customWidth="1"/>
    <col min="14606" max="14606" width="12" style="295" bestFit="1" customWidth="1"/>
    <col min="14607" max="14607" width="14" style="295" bestFit="1" customWidth="1"/>
    <col min="14608" max="14848" width="9" style="295"/>
    <col min="14849" max="14849" width="11.25" style="295" customWidth="1"/>
    <col min="14850" max="14850" width="12.625" style="295" customWidth="1"/>
    <col min="14851" max="14851" width="16.625" style="295" customWidth="1"/>
    <col min="14852" max="14852" width="13.625" style="295" customWidth="1"/>
    <col min="14853" max="14853" width="12.625" style="295" customWidth="1"/>
    <col min="14854" max="14854" width="16.625" style="295" customWidth="1"/>
    <col min="14855" max="14855" width="13.625" style="295" customWidth="1"/>
    <col min="14856" max="14856" width="12.625" style="295" customWidth="1"/>
    <col min="14857" max="14857" width="16.625" style="295" customWidth="1"/>
    <col min="14858" max="14858" width="13.625" style="295" customWidth="1"/>
    <col min="14859" max="14859" width="3.875" style="295" customWidth="1"/>
    <col min="14860" max="14861" width="12.625" style="295" customWidth="1"/>
    <col min="14862" max="14862" width="12" style="295" bestFit="1" customWidth="1"/>
    <col min="14863" max="14863" width="14" style="295" bestFit="1" customWidth="1"/>
    <col min="14864" max="15104" width="9" style="295"/>
    <col min="15105" max="15105" width="11.25" style="295" customWidth="1"/>
    <col min="15106" max="15106" width="12.625" style="295" customWidth="1"/>
    <col min="15107" max="15107" width="16.625" style="295" customWidth="1"/>
    <col min="15108" max="15108" width="13.625" style="295" customWidth="1"/>
    <col min="15109" max="15109" width="12.625" style="295" customWidth="1"/>
    <col min="15110" max="15110" width="16.625" style="295" customWidth="1"/>
    <col min="15111" max="15111" width="13.625" style="295" customWidth="1"/>
    <col min="15112" max="15112" width="12.625" style="295" customWidth="1"/>
    <col min="15113" max="15113" width="16.625" style="295" customWidth="1"/>
    <col min="15114" max="15114" width="13.625" style="295" customWidth="1"/>
    <col min="15115" max="15115" width="3.875" style="295" customWidth="1"/>
    <col min="15116" max="15117" width="12.625" style="295" customWidth="1"/>
    <col min="15118" max="15118" width="12" style="295" bestFit="1" customWidth="1"/>
    <col min="15119" max="15119" width="14" style="295" bestFit="1" customWidth="1"/>
    <col min="15120" max="15360" width="9" style="295"/>
    <col min="15361" max="15361" width="11.25" style="295" customWidth="1"/>
    <col min="15362" max="15362" width="12.625" style="295" customWidth="1"/>
    <col min="15363" max="15363" width="16.625" style="295" customWidth="1"/>
    <col min="15364" max="15364" width="13.625" style="295" customWidth="1"/>
    <col min="15365" max="15365" width="12.625" style="295" customWidth="1"/>
    <col min="15366" max="15366" width="16.625" style="295" customWidth="1"/>
    <col min="15367" max="15367" width="13.625" style="295" customWidth="1"/>
    <col min="15368" max="15368" width="12.625" style="295" customWidth="1"/>
    <col min="15369" max="15369" width="16.625" style="295" customWidth="1"/>
    <col min="15370" max="15370" width="13.625" style="295" customWidth="1"/>
    <col min="15371" max="15371" width="3.875" style="295" customWidth="1"/>
    <col min="15372" max="15373" width="12.625" style="295" customWidth="1"/>
    <col min="15374" max="15374" width="12" style="295" bestFit="1" customWidth="1"/>
    <col min="15375" max="15375" width="14" style="295" bestFit="1" customWidth="1"/>
    <col min="15376" max="15616" width="9" style="295"/>
    <col min="15617" max="15617" width="11.25" style="295" customWidth="1"/>
    <col min="15618" max="15618" width="12.625" style="295" customWidth="1"/>
    <col min="15619" max="15619" width="16.625" style="295" customWidth="1"/>
    <col min="15620" max="15620" width="13.625" style="295" customWidth="1"/>
    <col min="15621" max="15621" width="12.625" style="295" customWidth="1"/>
    <col min="15622" max="15622" width="16.625" style="295" customWidth="1"/>
    <col min="15623" max="15623" width="13.625" style="295" customWidth="1"/>
    <col min="15624" max="15624" width="12.625" style="295" customWidth="1"/>
    <col min="15625" max="15625" width="16.625" style="295" customWidth="1"/>
    <col min="15626" max="15626" width="13.625" style="295" customWidth="1"/>
    <col min="15627" max="15627" width="3.875" style="295" customWidth="1"/>
    <col min="15628" max="15629" width="12.625" style="295" customWidth="1"/>
    <col min="15630" max="15630" width="12" style="295" bestFit="1" customWidth="1"/>
    <col min="15631" max="15631" width="14" style="295" bestFit="1" customWidth="1"/>
    <col min="15632" max="15872" width="9" style="295"/>
    <col min="15873" max="15873" width="11.25" style="295" customWidth="1"/>
    <col min="15874" max="15874" width="12.625" style="295" customWidth="1"/>
    <col min="15875" max="15875" width="16.625" style="295" customWidth="1"/>
    <col min="15876" max="15876" width="13.625" style="295" customWidth="1"/>
    <col min="15877" max="15877" width="12.625" style="295" customWidth="1"/>
    <col min="15878" max="15878" width="16.625" style="295" customWidth="1"/>
    <col min="15879" max="15879" width="13.625" style="295" customWidth="1"/>
    <col min="15880" max="15880" width="12.625" style="295" customWidth="1"/>
    <col min="15881" max="15881" width="16.625" style="295" customWidth="1"/>
    <col min="15882" max="15882" width="13.625" style="295" customWidth="1"/>
    <col min="15883" max="15883" width="3.875" style="295" customWidth="1"/>
    <col min="15884" max="15885" width="12.625" style="295" customWidth="1"/>
    <col min="15886" max="15886" width="12" style="295" bestFit="1" customWidth="1"/>
    <col min="15887" max="15887" width="14" style="295" bestFit="1" customWidth="1"/>
    <col min="15888" max="16128" width="9" style="295"/>
    <col min="16129" max="16129" width="11.25" style="295" customWidth="1"/>
    <col min="16130" max="16130" width="12.625" style="295" customWidth="1"/>
    <col min="16131" max="16131" width="16.625" style="295" customWidth="1"/>
    <col min="16132" max="16132" width="13.625" style="295" customWidth="1"/>
    <col min="16133" max="16133" width="12.625" style="295" customWidth="1"/>
    <col min="16134" max="16134" width="16.625" style="295" customWidth="1"/>
    <col min="16135" max="16135" width="13.625" style="295" customWidth="1"/>
    <col min="16136" max="16136" width="12.625" style="295" customWidth="1"/>
    <col min="16137" max="16137" width="16.625" style="295" customWidth="1"/>
    <col min="16138" max="16138" width="13.625" style="295" customWidth="1"/>
    <col min="16139" max="16139" width="3.875" style="295" customWidth="1"/>
    <col min="16140" max="16141" width="12.625" style="295" customWidth="1"/>
    <col min="16142" max="16142" width="12" style="295" bestFit="1" customWidth="1"/>
    <col min="16143" max="16143" width="14" style="295" bestFit="1" customWidth="1"/>
    <col min="16144" max="16384" width="9" style="295"/>
  </cols>
  <sheetData>
    <row r="1" spans="1:15" ht="30" customHeight="1">
      <c r="A1" s="1517" t="s">
        <v>1007</v>
      </c>
      <c r="D1" s="1520"/>
      <c r="F1" s="330"/>
    </row>
    <row r="2" spans="1:15" ht="6" customHeight="1" thickBot="1">
      <c r="A2" s="1521"/>
    </row>
    <row r="3" spans="1:15" ht="24.95" customHeight="1">
      <c r="A3" s="2051" t="s">
        <v>276</v>
      </c>
      <c r="B3" s="2053" t="s">
        <v>495</v>
      </c>
      <c r="C3" s="2054"/>
      <c r="D3" s="2055"/>
      <c r="E3" s="2056" t="s">
        <v>496</v>
      </c>
      <c r="F3" s="2054"/>
      <c r="G3" s="2057"/>
      <c r="H3" s="2053" t="s">
        <v>277</v>
      </c>
      <c r="I3" s="2054"/>
      <c r="J3" s="2058"/>
      <c r="L3" s="1518" t="s">
        <v>497</v>
      </c>
      <c r="M3" s="296" t="s">
        <v>498</v>
      </c>
    </row>
    <row r="4" spans="1:15" ht="24.95" customHeight="1" thickBot="1">
      <c r="A4" s="2052"/>
      <c r="B4" s="1522" t="s">
        <v>499</v>
      </c>
      <c r="C4" s="1523" t="s">
        <v>500</v>
      </c>
      <c r="D4" s="1524" t="s">
        <v>501</v>
      </c>
      <c r="E4" s="1525" t="s">
        <v>499</v>
      </c>
      <c r="F4" s="1523" t="s">
        <v>500</v>
      </c>
      <c r="G4" s="1526" t="s">
        <v>501</v>
      </c>
      <c r="H4" s="1525" t="s">
        <v>499</v>
      </c>
      <c r="I4" s="1523" t="s">
        <v>500</v>
      </c>
      <c r="J4" s="1527" t="s">
        <v>501</v>
      </c>
    </row>
    <row r="5" spans="1:15" ht="24.95" customHeight="1" thickBot="1">
      <c r="A5" s="1528" t="s">
        <v>375</v>
      </c>
      <c r="B5" s="1529"/>
      <c r="C5" s="1530"/>
      <c r="D5" s="1531"/>
      <c r="E5" s="1532"/>
      <c r="F5" s="1530"/>
      <c r="G5" s="1533"/>
      <c r="H5" s="1529">
        <v>5297</v>
      </c>
      <c r="I5" s="1530">
        <v>1141029256.8944321</v>
      </c>
      <c r="J5" s="1534">
        <v>215410.46949111423</v>
      </c>
    </row>
    <row r="6" spans="1:15" ht="24.95" customHeight="1">
      <c r="A6" s="2059" t="s">
        <v>502</v>
      </c>
      <c r="B6" s="1535">
        <v>13755.14</v>
      </c>
      <c r="C6" s="1536">
        <v>3046009840</v>
      </c>
      <c r="D6" s="1537">
        <f>C6/B6</f>
        <v>221445.20811856515</v>
      </c>
      <c r="E6" s="1538"/>
      <c r="F6" s="1536"/>
      <c r="G6" s="1539"/>
      <c r="H6" s="1540">
        <f>H5+B6</f>
        <v>19052.14</v>
      </c>
      <c r="I6" s="1541">
        <f>I5+C6</f>
        <v>4187039096.8944321</v>
      </c>
      <c r="J6" s="1542">
        <f t="shared" ref="J6" si="0">I6/H6</f>
        <v>219767.39079675209</v>
      </c>
      <c r="L6" s="1518" t="s">
        <v>1008</v>
      </c>
      <c r="M6" s="296" t="s">
        <v>279</v>
      </c>
    </row>
    <row r="7" spans="1:15" ht="24.95" customHeight="1">
      <c r="A7" s="2049"/>
      <c r="B7" s="1543">
        <v>14143.48</v>
      </c>
      <c r="C7" s="1544">
        <v>3007749288</v>
      </c>
      <c r="D7" s="1545">
        <f>C7/B7</f>
        <v>212659.77595330146</v>
      </c>
      <c r="E7" s="1546"/>
      <c r="F7" s="1544"/>
      <c r="G7" s="1547"/>
      <c r="H7" s="1543">
        <f>H6+B7</f>
        <v>33195.619999999995</v>
      </c>
      <c r="I7" s="1544">
        <f>I6+C7</f>
        <v>7194788384.8944321</v>
      </c>
      <c r="J7" s="1548">
        <f>I7/H7</f>
        <v>216739.08741256929</v>
      </c>
      <c r="L7" s="1518" t="s">
        <v>1109</v>
      </c>
      <c r="M7" s="296" t="s">
        <v>279</v>
      </c>
    </row>
    <row r="8" spans="1:15" ht="24.95" customHeight="1" thickBot="1">
      <c r="A8" s="2049"/>
      <c r="B8" s="1549"/>
      <c r="C8" s="1550"/>
      <c r="D8" s="1551"/>
      <c r="E8" s="1552">
        <f>H7-H8</f>
        <v>27197.619999999995</v>
      </c>
      <c r="F8" s="1550">
        <f>G8*E8</f>
        <v>5894787338.5938416</v>
      </c>
      <c r="G8" s="1553">
        <f>J7</f>
        <v>216739.08741256929</v>
      </c>
      <c r="H8" s="1549">
        <v>5998</v>
      </c>
      <c r="I8" s="1550">
        <f>H8*J7</f>
        <v>1300001046.3005905</v>
      </c>
      <c r="J8" s="1554">
        <f>I8/H8</f>
        <v>216739.08741256926</v>
      </c>
      <c r="L8" s="295"/>
      <c r="N8" s="1555"/>
    </row>
    <row r="9" spans="1:15" ht="24.95" customHeight="1" thickTop="1">
      <c r="A9" s="2050"/>
      <c r="B9" s="1556">
        <f>SUM(B6:B8)</f>
        <v>27898.62</v>
      </c>
      <c r="C9" s="1557">
        <f>SUM(C6:C8)</f>
        <v>6053759128</v>
      </c>
      <c r="D9" s="1558">
        <f>C9/B9</f>
        <v>216991.34681213624</v>
      </c>
      <c r="E9" s="1556">
        <f>SUM(E7:E8)</f>
        <v>27197.619999999995</v>
      </c>
      <c r="F9" s="1557">
        <f>SUM(F7:F8)</f>
        <v>5894787338.5938416</v>
      </c>
      <c r="G9" s="1559">
        <f>F9/E9</f>
        <v>216739.08741256929</v>
      </c>
      <c r="H9" s="1560">
        <f>H8</f>
        <v>5998</v>
      </c>
      <c r="I9" s="1557">
        <f>I8</f>
        <v>1300001046.3005905</v>
      </c>
      <c r="J9" s="1561">
        <f>J8</f>
        <v>216739.08741256926</v>
      </c>
      <c r="O9" s="1562"/>
    </row>
    <row r="10" spans="1:15" ht="24.95" customHeight="1">
      <c r="A10" s="2048" t="s">
        <v>278</v>
      </c>
      <c r="B10" s="1535">
        <v>12228.9</v>
      </c>
      <c r="C10" s="1536">
        <v>2723890199</v>
      </c>
      <c r="D10" s="1537">
        <f>C10/B10</f>
        <v>222742.04540064928</v>
      </c>
      <c r="E10" s="1538"/>
      <c r="F10" s="1536"/>
      <c r="G10" s="1539"/>
      <c r="H10" s="1746">
        <f>H9+B10</f>
        <v>18226.900000000001</v>
      </c>
      <c r="I10" s="1747">
        <f t="shared" ref="H10:I11" si="1">I9+C10</f>
        <v>4023891245.3005905</v>
      </c>
      <c r="J10" s="1748">
        <f t="shared" ref="J10:J12" si="2">I10/H10</f>
        <v>220766.6276383033</v>
      </c>
      <c r="L10" s="1518" t="s">
        <v>1008</v>
      </c>
      <c r="M10" s="296" t="s">
        <v>1095</v>
      </c>
      <c r="O10" s="1562"/>
    </row>
    <row r="11" spans="1:15" ht="24.95" customHeight="1">
      <c r="A11" s="2049"/>
      <c r="B11" s="1749">
        <v>12624.24</v>
      </c>
      <c r="C11" s="1750">
        <v>2713422615</v>
      </c>
      <c r="D11" s="1751">
        <f>C11/B11</f>
        <v>214937.50237638067</v>
      </c>
      <c r="E11" s="1752"/>
      <c r="F11" s="1750"/>
      <c r="G11" s="1753"/>
      <c r="H11" s="1752">
        <f t="shared" si="1"/>
        <v>30851.14</v>
      </c>
      <c r="I11" s="1750">
        <f t="shared" si="1"/>
        <v>6737313860.3005905</v>
      </c>
      <c r="J11" s="1754">
        <f>I11/H11</f>
        <v>218381.35836473436</v>
      </c>
      <c r="L11" s="1518" t="s">
        <v>1109</v>
      </c>
      <c r="M11" s="296" t="s">
        <v>1094</v>
      </c>
      <c r="O11" s="1562"/>
    </row>
    <row r="12" spans="1:15" ht="24.95" customHeight="1" thickBot="1">
      <c r="A12" s="2049"/>
      <c r="B12" s="1755"/>
      <c r="C12" s="1756"/>
      <c r="D12" s="1757"/>
      <c r="E12" s="1755">
        <f>H11-H12</f>
        <v>24549.14</v>
      </c>
      <c r="F12" s="1756">
        <f>G12*E12</f>
        <v>5361074539.886035</v>
      </c>
      <c r="G12" s="1758">
        <f>J11</f>
        <v>218381.35836473436</v>
      </c>
      <c r="H12" s="1759">
        <v>6302</v>
      </c>
      <c r="I12" s="1756">
        <f>H12*J11</f>
        <v>1376239320.414556</v>
      </c>
      <c r="J12" s="1760">
        <f t="shared" si="2"/>
        <v>218381.35836473436</v>
      </c>
      <c r="O12" s="1562"/>
    </row>
    <row r="13" spans="1:15" ht="24.95" customHeight="1" thickTop="1">
      <c r="A13" s="2050"/>
      <c r="B13" s="1556">
        <f>SUM(B10:B12)</f>
        <v>24853.14</v>
      </c>
      <c r="C13" s="1557">
        <f>SUM(C10:C12)</f>
        <v>5437312814</v>
      </c>
      <c r="D13" s="1558">
        <f>C13/B13</f>
        <v>218777.70028253976</v>
      </c>
      <c r="E13" s="1556">
        <f>SUM(E10:E12)</f>
        <v>24549.14</v>
      </c>
      <c r="F13" s="1557">
        <f>SUM(F10:F12)</f>
        <v>5361074539.886035</v>
      </c>
      <c r="G13" s="1559">
        <f>F13/E13</f>
        <v>218381.35836473436</v>
      </c>
      <c r="H13" s="1560">
        <f>H12</f>
        <v>6302</v>
      </c>
      <c r="I13" s="1557">
        <f>I12</f>
        <v>1376239320.414556</v>
      </c>
      <c r="J13" s="1561">
        <f>J12</f>
        <v>218381.35836473436</v>
      </c>
      <c r="O13" s="1562"/>
    </row>
    <row r="14" spans="1:15" ht="24.95" customHeight="1">
      <c r="A14" s="2048" t="s">
        <v>39</v>
      </c>
      <c r="B14" s="1535">
        <v>15224.54</v>
      </c>
      <c r="C14" s="1536">
        <v>3407294391</v>
      </c>
      <c r="D14" s="1537">
        <f>C14/B14</f>
        <v>223802.78097072226</v>
      </c>
      <c r="E14" s="1538"/>
      <c r="F14" s="1536"/>
      <c r="G14" s="1539"/>
      <c r="H14" s="1535">
        <f t="shared" ref="H14:I14" si="3">H13+B14</f>
        <v>21526.54</v>
      </c>
      <c r="I14" s="1536">
        <f t="shared" si="3"/>
        <v>4783533711.4145565</v>
      </c>
      <c r="J14" s="1563">
        <f t="shared" ref="J14:J16" si="4">I14/H14</f>
        <v>222215.63295423027</v>
      </c>
      <c r="L14" s="1518" t="s">
        <v>1008</v>
      </c>
      <c r="M14" s="296" t="s">
        <v>279</v>
      </c>
      <c r="N14" s="1564"/>
      <c r="O14" s="1562"/>
    </row>
    <row r="15" spans="1:15" ht="24.95" customHeight="1">
      <c r="A15" s="2049"/>
      <c r="B15" s="1565">
        <v>10272</v>
      </c>
      <c r="C15" s="1566">
        <v>2236341013</v>
      </c>
      <c r="D15" s="1567">
        <f>C15/B15</f>
        <v>217712.32603193147</v>
      </c>
      <c r="E15" s="1568"/>
      <c r="F15" s="1566"/>
      <c r="G15" s="1569"/>
      <c r="H15" s="1565">
        <f>H14+B15</f>
        <v>31798.54</v>
      </c>
      <c r="I15" s="1566">
        <f>I14+C15</f>
        <v>7019874724.4145565</v>
      </c>
      <c r="J15" s="1570">
        <f t="shared" si="4"/>
        <v>220760.9130612461</v>
      </c>
      <c r="L15" s="1518" t="s">
        <v>1109</v>
      </c>
      <c r="M15" s="296" t="s">
        <v>1256</v>
      </c>
      <c r="N15" s="1564"/>
      <c r="O15" s="1562"/>
    </row>
    <row r="16" spans="1:15" ht="24.95" customHeight="1" thickBot="1">
      <c r="A16" s="2060"/>
      <c r="B16" s="1571"/>
      <c r="C16" s="1572"/>
      <c r="D16" s="1573"/>
      <c r="E16" s="1574">
        <f>H15-H16</f>
        <v>26577.54</v>
      </c>
      <c r="F16" s="1572">
        <f>G16*E16</f>
        <v>5867281997.3217907</v>
      </c>
      <c r="G16" s="1575">
        <f>J15</f>
        <v>220760.9130612461</v>
      </c>
      <c r="H16" s="1571">
        <v>5221</v>
      </c>
      <c r="I16" s="1572">
        <f>H16*J15</f>
        <v>1152592727.0927658</v>
      </c>
      <c r="J16" s="1576">
        <f t="shared" si="4"/>
        <v>220760.91306124607</v>
      </c>
      <c r="O16" s="1562"/>
    </row>
    <row r="17" spans="1:15" ht="24.95" customHeight="1" thickTop="1">
      <c r="A17" s="2061"/>
      <c r="B17" s="1556">
        <f>SUM(B14:B16)</f>
        <v>25496.54</v>
      </c>
      <c r="C17" s="1557">
        <f>SUM(C14:C16)</f>
        <v>5643635404</v>
      </c>
      <c r="D17" s="1558">
        <f>C17/B17</f>
        <v>221349.06948158456</v>
      </c>
      <c r="E17" s="1556">
        <f>SUM(E14:E16)</f>
        <v>26577.54</v>
      </c>
      <c r="F17" s="1557">
        <f>SUM(F14:F16)</f>
        <v>5867281997.3217907</v>
      </c>
      <c r="G17" s="1559">
        <f>F17/E17</f>
        <v>220760.9130612461</v>
      </c>
      <c r="H17" s="1560">
        <f>H16</f>
        <v>5221</v>
      </c>
      <c r="I17" s="1557">
        <f>J17*H17</f>
        <v>1152592727.0927658</v>
      </c>
      <c r="J17" s="1561">
        <f>J16</f>
        <v>220760.91306124607</v>
      </c>
      <c r="O17" s="1562"/>
    </row>
    <row r="18" spans="1:15" ht="24.95" customHeight="1">
      <c r="A18" s="2048" t="s">
        <v>503</v>
      </c>
      <c r="B18" s="1565">
        <v>9829.26</v>
      </c>
      <c r="C18" s="1566">
        <v>2285826962</v>
      </c>
      <c r="D18" s="1567">
        <f>C18/B18</f>
        <v>232553.31143951832</v>
      </c>
      <c r="E18" s="1568"/>
      <c r="F18" s="1566"/>
      <c r="G18" s="1569"/>
      <c r="H18" s="1565">
        <f t="shared" ref="H18:I19" si="5">H17+B18</f>
        <v>15050.26</v>
      </c>
      <c r="I18" s="1566">
        <f t="shared" si="5"/>
        <v>3438419689.0927658</v>
      </c>
      <c r="J18" s="1570">
        <f t="shared" ref="J18:J20" si="6">I18/H18</f>
        <v>228462.47766435702</v>
      </c>
      <c r="L18" s="1518" t="s">
        <v>1008</v>
      </c>
      <c r="M18" s="296" t="s">
        <v>279</v>
      </c>
      <c r="N18" s="1564"/>
      <c r="O18" s="1562"/>
    </row>
    <row r="19" spans="1:15" ht="24.95" customHeight="1">
      <c r="A19" s="2049"/>
      <c r="B19" s="1565">
        <v>14241.42</v>
      </c>
      <c r="C19" s="1566">
        <v>3146948962</v>
      </c>
      <c r="D19" s="1567">
        <f>C19/B19</f>
        <v>220971.57179550917</v>
      </c>
      <c r="E19" s="1568"/>
      <c r="F19" s="1566"/>
      <c r="G19" s="1569"/>
      <c r="H19" s="1565">
        <f t="shared" si="5"/>
        <v>29291.68</v>
      </c>
      <c r="I19" s="1566">
        <f t="shared" si="5"/>
        <v>6585368651.0927658</v>
      </c>
      <c r="J19" s="1570">
        <f t="shared" si="6"/>
        <v>224820.44905218019</v>
      </c>
      <c r="L19" s="1518" t="s">
        <v>1109</v>
      </c>
      <c r="M19" s="296" t="s">
        <v>1257</v>
      </c>
      <c r="N19" s="1564"/>
      <c r="O19" s="1562"/>
    </row>
    <row r="20" spans="1:15" ht="24.95" customHeight="1" thickBot="1">
      <c r="A20" s="2049"/>
      <c r="B20" s="1549"/>
      <c r="C20" s="1550"/>
      <c r="D20" s="1551"/>
      <c r="E20" s="1552">
        <f>H19-H20</f>
        <v>24248.68</v>
      </c>
      <c r="F20" s="1550">
        <f>G20*E20</f>
        <v>5451599126.5226212</v>
      </c>
      <c r="G20" s="1553">
        <f>J19</f>
        <v>224820.44905218019</v>
      </c>
      <c r="H20" s="1549">
        <v>5043</v>
      </c>
      <c r="I20" s="1550">
        <f>H20*J19</f>
        <v>1133769524.5701447</v>
      </c>
      <c r="J20" s="1554">
        <f t="shared" si="6"/>
        <v>224820.44905218019</v>
      </c>
      <c r="O20" s="1562"/>
    </row>
    <row r="21" spans="1:15" ht="24.95" customHeight="1" thickTop="1">
      <c r="A21" s="2050"/>
      <c r="B21" s="1556">
        <f>SUM(B18:B20)</f>
        <v>24070.68</v>
      </c>
      <c r="C21" s="1557">
        <f>SUM(C18:C20)</f>
        <v>5432775924</v>
      </c>
      <c r="D21" s="1558">
        <f>C21/B21</f>
        <v>225700.97413118367</v>
      </c>
      <c r="E21" s="1556">
        <f>SUM(E18:E20)</f>
        <v>24248.68</v>
      </c>
      <c r="F21" s="1557">
        <f>SUM(F18:F20)</f>
        <v>5451599126.5226212</v>
      </c>
      <c r="G21" s="1559">
        <f>F21/E21</f>
        <v>224820.44905218019</v>
      </c>
      <c r="H21" s="1560">
        <f>H20</f>
        <v>5043</v>
      </c>
      <c r="I21" s="1557">
        <f>J21*H21</f>
        <v>1133769524.5701447</v>
      </c>
      <c r="J21" s="1561">
        <f>J20</f>
        <v>224820.44905218019</v>
      </c>
      <c r="O21" s="1562"/>
    </row>
    <row r="22" spans="1:15" ht="24.95" customHeight="1">
      <c r="A22" s="2048" t="s">
        <v>915</v>
      </c>
      <c r="B22" s="1535">
        <v>6815.4</v>
      </c>
      <c r="C22" s="1536">
        <v>1534159095</v>
      </c>
      <c r="D22" s="1537">
        <f>C22/B22</f>
        <v>225101.84215159787</v>
      </c>
      <c r="E22" s="1538"/>
      <c r="F22" s="1536"/>
      <c r="G22" s="1539"/>
      <c r="H22" s="1535">
        <f t="shared" ref="H22:I23" si="7">H21+B22</f>
        <v>11858.4</v>
      </c>
      <c r="I22" s="1536">
        <f t="shared" si="7"/>
        <v>2667928619.5701447</v>
      </c>
      <c r="J22" s="1563">
        <f t="shared" ref="J22:J24" si="8">I22/H22</f>
        <v>224982.1746247508</v>
      </c>
      <c r="L22" s="1518" t="s">
        <v>1008</v>
      </c>
      <c r="M22" s="296" t="s">
        <v>279</v>
      </c>
      <c r="O22" s="1562"/>
    </row>
    <row r="23" spans="1:15" ht="24.95" customHeight="1">
      <c r="A23" s="2049"/>
      <c r="B23" s="1565">
        <v>4245.4799999999996</v>
      </c>
      <c r="C23" s="1566">
        <v>929201421</v>
      </c>
      <c r="D23" s="1567">
        <f>C23/B23</f>
        <v>218868.40145283929</v>
      </c>
      <c r="E23" s="1568"/>
      <c r="F23" s="1566"/>
      <c r="G23" s="1569"/>
      <c r="H23" s="1565">
        <f t="shared" si="7"/>
        <v>16103.88</v>
      </c>
      <c r="I23" s="1566">
        <f t="shared" si="7"/>
        <v>3597130040.5701447</v>
      </c>
      <c r="J23" s="1570">
        <f t="shared" si="8"/>
        <v>223370.39524450907</v>
      </c>
      <c r="L23" s="1518" t="s">
        <v>1109</v>
      </c>
      <c r="M23" s="296" t="s">
        <v>279</v>
      </c>
      <c r="O23" s="1562"/>
    </row>
    <row r="24" spans="1:15" ht="24.95" customHeight="1" thickBot="1">
      <c r="A24" s="2049"/>
      <c r="B24" s="1571"/>
      <c r="C24" s="1572"/>
      <c r="D24" s="1573"/>
      <c r="E24" s="1574">
        <f>H23-H24</f>
        <v>9620.3799999999992</v>
      </c>
      <c r="F24" s="1572">
        <f>G24*E24</f>
        <v>2148908083.0023699</v>
      </c>
      <c r="G24" s="1575">
        <f>J23</f>
        <v>223370.39524450907</v>
      </c>
      <c r="H24" s="1571">
        <v>6483.5</v>
      </c>
      <c r="I24" s="1572">
        <f>H24*J23</f>
        <v>1448221957.5677745</v>
      </c>
      <c r="J24" s="1576">
        <f t="shared" si="8"/>
        <v>223370.39524450907</v>
      </c>
      <c r="O24" s="1562"/>
    </row>
    <row r="25" spans="1:15" ht="24.95" customHeight="1" thickTop="1">
      <c r="A25" s="2050"/>
      <c r="B25" s="1556">
        <f>SUM(B22:B24)</f>
        <v>11060.88</v>
      </c>
      <c r="C25" s="1557">
        <f>SUM(C22:C24)</f>
        <v>2463360516</v>
      </c>
      <c r="D25" s="1558">
        <f t="shared" ref="D25:D32" si="9">C25/B25</f>
        <v>222709.27051012218</v>
      </c>
      <c r="E25" s="1556">
        <f>SUM(E22:E24)</f>
        <v>9620.3799999999992</v>
      </c>
      <c r="F25" s="1557">
        <f>F24</f>
        <v>2148908083.0023699</v>
      </c>
      <c r="G25" s="1559">
        <f>F25/E25</f>
        <v>223370.39524450907</v>
      </c>
      <c r="H25" s="1560">
        <f>H24</f>
        <v>6483.5</v>
      </c>
      <c r="I25" s="1557">
        <f>I24</f>
        <v>1448221957.5677745</v>
      </c>
      <c r="J25" s="1561">
        <f>J24</f>
        <v>223370.39524450907</v>
      </c>
      <c r="O25" s="1562"/>
    </row>
    <row r="26" spans="1:15" ht="24.95" customHeight="1">
      <c r="A26" s="2062" t="s">
        <v>921</v>
      </c>
      <c r="B26" s="1902">
        <v>2743.02</v>
      </c>
      <c r="C26" s="1903">
        <v>642592574</v>
      </c>
      <c r="D26" s="1904">
        <f t="shared" si="9"/>
        <v>234264.6331415739</v>
      </c>
      <c r="E26" s="1905"/>
      <c r="F26" s="1903">
        <f>ROUND(G13*$G$18/F13,0)</f>
        <v>0</v>
      </c>
      <c r="G26" s="1906"/>
      <c r="H26" s="1902">
        <f t="shared" ref="H26:I27" si="10">H25+B26</f>
        <v>9226.52</v>
      </c>
      <c r="I26" s="1903">
        <f t="shared" si="10"/>
        <v>2090814531.5677745</v>
      </c>
      <c r="J26" s="1907">
        <f t="shared" ref="J26:J29" si="11">I26/H26</f>
        <v>226609.22336566489</v>
      </c>
      <c r="L26" s="1518" t="s">
        <v>1255</v>
      </c>
      <c r="M26" s="296" t="s">
        <v>279</v>
      </c>
      <c r="O26" s="1562"/>
    </row>
    <row r="27" spans="1:15" ht="24.95" customHeight="1">
      <c r="A27" s="2049"/>
      <c r="B27" s="1908">
        <v>13696.78</v>
      </c>
      <c r="C27" s="1566">
        <v>3024099685</v>
      </c>
      <c r="D27" s="1897">
        <f t="shared" si="9"/>
        <v>220789.09678041114</v>
      </c>
      <c r="E27" s="1909"/>
      <c r="F27" s="1566"/>
      <c r="G27" s="1910"/>
      <c r="H27" s="1908">
        <f t="shared" si="10"/>
        <v>22923.300000000003</v>
      </c>
      <c r="I27" s="1566">
        <f t="shared" si="10"/>
        <v>5114914216.5677748</v>
      </c>
      <c r="J27" s="1578">
        <f t="shared" si="11"/>
        <v>223131.67024676962</v>
      </c>
      <c r="L27" s="1518" t="s">
        <v>1109</v>
      </c>
      <c r="M27" s="296" t="s">
        <v>279</v>
      </c>
      <c r="N27" s="1579"/>
      <c r="O27" s="1562"/>
    </row>
    <row r="28" spans="1:15" ht="24.95" customHeight="1">
      <c r="A28" s="2049"/>
      <c r="B28" s="1895">
        <v>7519.72</v>
      </c>
      <c r="C28" s="1896">
        <v>1733868409</v>
      </c>
      <c r="D28" s="1897">
        <f t="shared" si="9"/>
        <v>230576.19286356407</v>
      </c>
      <c r="E28" s="1898"/>
      <c r="F28" s="1896"/>
      <c r="G28" s="1899"/>
      <c r="H28" s="1908">
        <f t="shared" ref="H28" si="12">H27+B28</f>
        <v>30443.020000000004</v>
      </c>
      <c r="I28" s="1566">
        <f t="shared" ref="I28" si="13">I27+C28</f>
        <v>6848782625.5677748</v>
      </c>
      <c r="J28" s="1578">
        <f t="shared" ref="J28" si="14">I28/H28</f>
        <v>224970.53924241991</v>
      </c>
      <c r="L28" s="1518" t="s">
        <v>1254</v>
      </c>
      <c r="M28" s="296" t="s">
        <v>279</v>
      </c>
      <c r="N28" s="1579"/>
      <c r="O28" s="1562"/>
    </row>
    <row r="29" spans="1:15" ht="24.95" customHeight="1" thickBot="1">
      <c r="A29" s="2049"/>
      <c r="B29" s="1549"/>
      <c r="C29" s="1911"/>
      <c r="D29" s="1897"/>
      <c r="E29" s="1912">
        <f>H28-H29</f>
        <v>24763.020000000004</v>
      </c>
      <c r="F29" s="1911">
        <f>G29*E29</f>
        <v>5570949962.6708298</v>
      </c>
      <c r="G29" s="1913">
        <f>J28</f>
        <v>224970.53924241991</v>
      </c>
      <c r="H29" s="1549">
        <v>5680</v>
      </c>
      <c r="I29" s="1911">
        <f>H29*J28</f>
        <v>1277832662.896945</v>
      </c>
      <c r="J29" s="1914">
        <f t="shared" si="11"/>
        <v>224970.53924241988</v>
      </c>
      <c r="O29" s="1562"/>
    </row>
    <row r="30" spans="1:15" ht="24.95" customHeight="1" thickTop="1">
      <c r="A30" s="2063"/>
      <c r="B30" s="1556">
        <f>SUM(B26:B29)</f>
        <v>23959.52</v>
      </c>
      <c r="C30" s="1915">
        <f>SUM(C26:C29)</f>
        <v>5400560668</v>
      </c>
      <c r="D30" s="1558">
        <f t="shared" si="9"/>
        <v>225403.54180718143</v>
      </c>
      <c r="E30" s="1556">
        <f>SUM(E26:E29)</f>
        <v>24763.020000000004</v>
      </c>
      <c r="F30" s="1915">
        <f>SUM(F26:F29)</f>
        <v>5570949962.6708298</v>
      </c>
      <c r="G30" s="1559">
        <f>F30/E30</f>
        <v>224970.53924241991</v>
      </c>
      <c r="H30" s="1560">
        <f>H29</f>
        <v>5680</v>
      </c>
      <c r="I30" s="1915">
        <f>I29</f>
        <v>1277832662.896945</v>
      </c>
      <c r="J30" s="1916">
        <f>J29</f>
        <v>224970.53924241988</v>
      </c>
      <c r="O30" s="1562"/>
    </row>
    <row r="31" spans="1:15" ht="24.95" customHeight="1">
      <c r="A31" s="2048" t="s">
        <v>922</v>
      </c>
      <c r="B31" s="1535">
        <f>19780.28+3668.78</f>
        <v>23449.059999999998</v>
      </c>
      <c r="C31" s="1536">
        <f>4540025620+723888299</f>
        <v>5263913919</v>
      </c>
      <c r="D31" s="1537">
        <f t="shared" si="9"/>
        <v>224482.93957199139</v>
      </c>
      <c r="E31" s="1538"/>
      <c r="F31" s="1536">
        <f t="shared" ref="F31" si="15">ROUND(G17*$G$18/F17,0)</f>
        <v>0</v>
      </c>
      <c r="G31" s="1539"/>
      <c r="H31" s="1535">
        <f t="shared" ref="H31:I32" si="16">H30+B31</f>
        <v>29129.059999999998</v>
      </c>
      <c r="I31" s="1536">
        <f t="shared" si="16"/>
        <v>6541746581.896945</v>
      </c>
      <c r="J31" s="1577">
        <f t="shared" ref="J31:J33" si="17">I31/H31</f>
        <v>224578.01871728594</v>
      </c>
      <c r="L31" s="1518" t="s">
        <v>1309</v>
      </c>
      <c r="M31" s="296" t="s">
        <v>279</v>
      </c>
      <c r="O31" s="1562"/>
    </row>
    <row r="32" spans="1:15" ht="24.95" customHeight="1">
      <c r="A32" s="2049"/>
      <c r="B32" s="1543">
        <v>4692.18</v>
      </c>
      <c r="C32" s="1544">
        <v>911661573</v>
      </c>
      <c r="D32" s="1567">
        <f t="shared" si="9"/>
        <v>194293.81929082004</v>
      </c>
      <c r="E32" s="1546"/>
      <c r="F32" s="1544"/>
      <c r="G32" s="1580"/>
      <c r="H32" s="1543">
        <f t="shared" si="16"/>
        <v>33821.24</v>
      </c>
      <c r="I32" s="1544">
        <f t="shared" si="16"/>
        <v>7453408154.896945</v>
      </c>
      <c r="J32" s="1581">
        <f t="shared" si="17"/>
        <v>220376.54902354098</v>
      </c>
      <c r="L32" s="1518" t="s">
        <v>1109</v>
      </c>
      <c r="M32" s="296" t="s">
        <v>279</v>
      </c>
      <c r="O32" s="1562"/>
    </row>
    <row r="33" spans="1:15" ht="24.95" customHeight="1" thickBot="1">
      <c r="A33" s="2049"/>
      <c r="B33" s="1571"/>
      <c r="C33" s="1572"/>
      <c r="D33" s="1573"/>
      <c r="E33" s="1574">
        <f>H32-H33</f>
        <v>27333.239999999998</v>
      </c>
      <c r="F33" s="1572">
        <f>G33*E33</f>
        <v>6023605104.8322105</v>
      </c>
      <c r="G33" s="1575">
        <f>J32</f>
        <v>220376.54902354098</v>
      </c>
      <c r="H33" s="1571">
        <v>6488</v>
      </c>
      <c r="I33" s="1572">
        <f>H33*J32</f>
        <v>1429803050.064734</v>
      </c>
      <c r="J33" s="1582">
        <f t="shared" si="17"/>
        <v>220376.54902354098</v>
      </c>
      <c r="O33" s="1562"/>
    </row>
    <row r="34" spans="1:15" ht="24.95" customHeight="1" thickTop="1">
      <c r="A34" s="2050"/>
      <c r="B34" s="1556">
        <f>SUM(B31:B33)</f>
        <v>28141.239999999998</v>
      </c>
      <c r="C34" s="1557">
        <f>SUM(C31:C33)</f>
        <v>6175575492</v>
      </c>
      <c r="D34" s="1558">
        <f>C34/B34</f>
        <v>219449.30258936709</v>
      </c>
      <c r="E34" s="1556">
        <f>SUM(E31:E33)</f>
        <v>27333.239999999998</v>
      </c>
      <c r="F34" s="1557">
        <f>SUM(F31:F33)</f>
        <v>6023605104.8322105</v>
      </c>
      <c r="G34" s="1559">
        <f>F34/E34</f>
        <v>220376.54902354098</v>
      </c>
      <c r="H34" s="1560">
        <f>H33</f>
        <v>6488</v>
      </c>
      <c r="I34" s="1557">
        <f>I33</f>
        <v>1429803050.064734</v>
      </c>
      <c r="J34" s="1561">
        <f>J33</f>
        <v>220376.54902354098</v>
      </c>
      <c r="O34" s="1562"/>
    </row>
    <row r="35" spans="1:15" ht="24.95" customHeight="1">
      <c r="A35" s="2048" t="s">
        <v>34</v>
      </c>
      <c r="B35" s="1535"/>
      <c r="C35" s="1536"/>
      <c r="D35" s="1537" t="e">
        <f>C35/B35</f>
        <v>#DIV/0!</v>
      </c>
      <c r="E35" s="1538"/>
      <c r="F35" s="1536"/>
      <c r="G35" s="1539"/>
      <c r="H35" s="1535">
        <f t="shared" ref="H35:I36" si="18">H34+B35</f>
        <v>6488</v>
      </c>
      <c r="I35" s="1536">
        <f t="shared" si="18"/>
        <v>1429803050.064734</v>
      </c>
      <c r="J35" s="1563">
        <f t="shared" ref="J35:J37" si="19">I35/H35</f>
        <v>220376.54902354098</v>
      </c>
      <c r="L35" s="1518" t="s">
        <v>1008</v>
      </c>
      <c r="M35" s="296" t="s">
        <v>279</v>
      </c>
      <c r="O35" s="1562"/>
    </row>
    <row r="36" spans="1:15" ht="24.95" customHeight="1">
      <c r="A36" s="2049"/>
      <c r="B36" s="1565"/>
      <c r="C36" s="1566"/>
      <c r="D36" s="1567" t="e">
        <f>C36/B36</f>
        <v>#DIV/0!</v>
      </c>
      <c r="E36" s="1568"/>
      <c r="F36" s="1566"/>
      <c r="G36" s="1569"/>
      <c r="H36" s="1565">
        <f t="shared" si="18"/>
        <v>6488</v>
      </c>
      <c r="I36" s="1566">
        <f t="shared" si="18"/>
        <v>1429803050.064734</v>
      </c>
      <c r="J36" s="1570">
        <f t="shared" si="19"/>
        <v>220376.54902354098</v>
      </c>
      <c r="L36" s="1518" t="s">
        <v>1109</v>
      </c>
      <c r="M36" s="296" t="s">
        <v>279</v>
      </c>
      <c r="O36" s="1562"/>
    </row>
    <row r="37" spans="1:15" ht="24.95" customHeight="1" thickBot="1">
      <c r="A37" s="2049"/>
      <c r="B37" s="1549"/>
      <c r="C37" s="1550"/>
      <c r="D37" s="1551"/>
      <c r="E37" s="1552">
        <f>H36-H37</f>
        <v>6488</v>
      </c>
      <c r="F37" s="1550">
        <f>G37*E37</f>
        <v>1429803050.064734</v>
      </c>
      <c r="G37" s="1553">
        <f>J36</f>
        <v>220376.54902354098</v>
      </c>
      <c r="H37" s="1549"/>
      <c r="I37" s="1550">
        <f>H37*J36</f>
        <v>0</v>
      </c>
      <c r="J37" s="1554" t="e">
        <f t="shared" si="19"/>
        <v>#DIV/0!</v>
      </c>
      <c r="O37" s="1562"/>
    </row>
    <row r="38" spans="1:15" s="297" customFormat="1" ht="24.95" customHeight="1" thickTop="1">
      <c r="A38" s="2050"/>
      <c r="B38" s="1556">
        <f>SUM(B35:B37)</f>
        <v>0</v>
      </c>
      <c r="C38" s="1557">
        <f>SUM(C35:C37)</f>
        <v>0</v>
      </c>
      <c r="D38" s="1558" t="e">
        <f>C38/B38</f>
        <v>#DIV/0!</v>
      </c>
      <c r="E38" s="1556">
        <f>SUM(E35:E37)</f>
        <v>6488</v>
      </c>
      <c r="F38" s="1557">
        <f>SUM(F35:F37)</f>
        <v>1429803050.064734</v>
      </c>
      <c r="G38" s="1559">
        <f>F38/E38</f>
        <v>220376.54902354098</v>
      </c>
      <c r="H38" s="1560">
        <f>H37</f>
        <v>0</v>
      </c>
      <c r="I38" s="1557">
        <f>I37</f>
        <v>0</v>
      </c>
      <c r="J38" s="1561" t="e">
        <f>J37</f>
        <v>#DIV/0!</v>
      </c>
      <c r="K38" s="1583"/>
      <c r="L38" s="1583"/>
      <c r="M38" s="1584"/>
      <c r="N38" s="1584"/>
      <c r="O38" s="1562"/>
    </row>
    <row r="39" spans="1:15" ht="24.95" customHeight="1">
      <c r="A39" s="2048" t="s">
        <v>1009</v>
      </c>
      <c r="B39" s="1535"/>
      <c r="C39" s="1536"/>
      <c r="D39" s="1537" t="e">
        <f>C39/B39</f>
        <v>#DIV/0!</v>
      </c>
      <c r="E39" s="1538"/>
      <c r="F39" s="1536"/>
      <c r="G39" s="1539"/>
      <c r="H39" s="1535">
        <f>H38+B39</f>
        <v>0</v>
      </c>
      <c r="I39" s="1536">
        <f>I38+C39</f>
        <v>0</v>
      </c>
      <c r="J39" s="1563" t="e">
        <f>I39/H39</f>
        <v>#DIV/0!</v>
      </c>
      <c r="L39" s="1518" t="s">
        <v>1008</v>
      </c>
      <c r="M39" s="296" t="s">
        <v>279</v>
      </c>
      <c r="O39" s="1562"/>
    </row>
    <row r="40" spans="1:15" ht="24.95" customHeight="1">
      <c r="A40" s="2049"/>
      <c r="B40" s="1565"/>
      <c r="C40" s="1566"/>
      <c r="D40" s="1567" t="e">
        <f>C40/B40</f>
        <v>#DIV/0!</v>
      </c>
      <c r="E40" s="1568"/>
      <c r="F40" s="1566"/>
      <c r="G40" s="1569"/>
      <c r="H40" s="1565">
        <f>H39+B40</f>
        <v>0</v>
      </c>
      <c r="I40" s="1566">
        <f t="shared" ref="I40" si="20">I39+C40</f>
        <v>0</v>
      </c>
      <c r="J40" s="1570" t="e">
        <f>I40/H40</f>
        <v>#DIV/0!</v>
      </c>
      <c r="L40" s="1518" t="s">
        <v>1109</v>
      </c>
      <c r="M40" s="296" t="s">
        <v>279</v>
      </c>
      <c r="O40" s="1562"/>
    </row>
    <row r="41" spans="1:15" ht="24.95" customHeight="1" thickBot="1">
      <c r="A41" s="2049"/>
      <c r="B41" s="1549"/>
      <c r="C41" s="1550"/>
      <c r="D41" s="1551"/>
      <c r="E41" s="1552">
        <f>H40-H41</f>
        <v>0</v>
      </c>
      <c r="F41" s="1550" t="e">
        <f>G41*E41</f>
        <v>#DIV/0!</v>
      </c>
      <c r="G41" s="1553" t="e">
        <f>J40</f>
        <v>#DIV/0!</v>
      </c>
      <c r="H41" s="1549"/>
      <c r="I41" s="1550" t="e">
        <f>H41*J40</f>
        <v>#DIV/0!</v>
      </c>
      <c r="J41" s="1554" t="e">
        <f t="shared" ref="J41" si="21">I41/H41</f>
        <v>#DIV/0!</v>
      </c>
      <c r="O41" s="1562"/>
    </row>
    <row r="42" spans="1:15" s="297" customFormat="1" ht="24.95" customHeight="1" thickTop="1">
      <c r="A42" s="2050"/>
      <c r="B42" s="1556">
        <f>SUM(B39:B41)</f>
        <v>0</v>
      </c>
      <c r="C42" s="1557">
        <f>SUM(C39:C41)</f>
        <v>0</v>
      </c>
      <c r="D42" s="1558" t="e">
        <f>C42/B42</f>
        <v>#DIV/0!</v>
      </c>
      <c r="E42" s="1556">
        <f>SUM(E39:E41)</f>
        <v>0</v>
      </c>
      <c r="F42" s="1557" t="e">
        <f>SUM(F39:F41)</f>
        <v>#DIV/0!</v>
      </c>
      <c r="G42" s="1559" t="e">
        <f>F42/E42</f>
        <v>#DIV/0!</v>
      </c>
      <c r="H42" s="1560">
        <f>H41</f>
        <v>0</v>
      </c>
      <c r="I42" s="1557" t="e">
        <f>I41</f>
        <v>#DIV/0!</v>
      </c>
      <c r="J42" s="1561" t="e">
        <f>J41</f>
        <v>#DIV/0!</v>
      </c>
      <c r="K42" s="1583"/>
      <c r="L42" s="1583"/>
      <c r="M42" s="1584"/>
      <c r="N42" s="1584"/>
      <c r="O42" s="1562"/>
    </row>
    <row r="43" spans="1:15" ht="24.95" customHeight="1">
      <c r="A43" s="2048" t="s">
        <v>1010</v>
      </c>
      <c r="B43" s="1535"/>
      <c r="C43" s="1536"/>
      <c r="D43" s="1537" t="e">
        <f>C43/B43</f>
        <v>#DIV/0!</v>
      </c>
      <c r="E43" s="1538"/>
      <c r="F43" s="1536"/>
      <c r="G43" s="1539"/>
      <c r="H43" s="1535">
        <f t="shared" ref="H43:I44" si="22">H42+B43</f>
        <v>0</v>
      </c>
      <c r="I43" s="1536" t="e">
        <f t="shared" si="22"/>
        <v>#DIV/0!</v>
      </c>
      <c r="J43" s="1563" t="e">
        <f t="shared" ref="J43:J45" si="23">I43/H43</f>
        <v>#DIV/0!</v>
      </c>
      <c r="L43" s="1518" t="s">
        <v>1008</v>
      </c>
      <c r="M43" s="296" t="s">
        <v>279</v>
      </c>
      <c r="O43" s="1562"/>
    </row>
    <row r="44" spans="1:15" ht="24.95" customHeight="1">
      <c r="A44" s="2049"/>
      <c r="B44" s="1565"/>
      <c r="C44" s="1566"/>
      <c r="D44" s="1567" t="e">
        <f>C44/B44</f>
        <v>#DIV/0!</v>
      </c>
      <c r="E44" s="1568"/>
      <c r="F44" s="1566"/>
      <c r="G44" s="1569"/>
      <c r="H44" s="1565">
        <f t="shared" si="22"/>
        <v>0</v>
      </c>
      <c r="I44" s="1566" t="e">
        <f t="shared" si="22"/>
        <v>#DIV/0!</v>
      </c>
      <c r="J44" s="1570" t="e">
        <f t="shared" si="23"/>
        <v>#DIV/0!</v>
      </c>
      <c r="L44" s="1518" t="s">
        <v>1109</v>
      </c>
      <c r="M44" s="296" t="s">
        <v>279</v>
      </c>
      <c r="O44" s="1562"/>
    </row>
    <row r="45" spans="1:15" ht="24.95" customHeight="1" thickBot="1">
      <c r="A45" s="2049"/>
      <c r="B45" s="1549"/>
      <c r="C45" s="1550"/>
      <c r="D45" s="1551"/>
      <c r="E45" s="1552">
        <f>H44-H45</f>
        <v>0</v>
      </c>
      <c r="F45" s="1550" t="e">
        <f>G45*E45</f>
        <v>#DIV/0!</v>
      </c>
      <c r="G45" s="1553" t="e">
        <f>J44</f>
        <v>#DIV/0!</v>
      </c>
      <c r="H45" s="1549"/>
      <c r="I45" s="1550" t="e">
        <f>H45*J44</f>
        <v>#DIV/0!</v>
      </c>
      <c r="J45" s="1554" t="e">
        <f t="shared" si="23"/>
        <v>#DIV/0!</v>
      </c>
      <c r="O45" s="1562"/>
    </row>
    <row r="46" spans="1:15" s="297" customFormat="1" ht="24.95" customHeight="1" thickTop="1">
      <c r="A46" s="2050"/>
      <c r="B46" s="1556">
        <f>SUM(B43:B45)</f>
        <v>0</v>
      </c>
      <c r="C46" s="1557">
        <f>SUM(C43:C45)</f>
        <v>0</v>
      </c>
      <c r="D46" s="1558" t="e">
        <f>C46/B46</f>
        <v>#DIV/0!</v>
      </c>
      <c r="E46" s="1556">
        <f>SUM(E43:E45)</f>
        <v>0</v>
      </c>
      <c r="F46" s="1557" t="e">
        <f>SUM(F43:F45)</f>
        <v>#DIV/0!</v>
      </c>
      <c r="G46" s="1559" t="e">
        <f>F46/E46</f>
        <v>#DIV/0!</v>
      </c>
      <c r="H46" s="1560">
        <f>H45</f>
        <v>0</v>
      </c>
      <c r="I46" s="1557" t="e">
        <f>I45</f>
        <v>#DIV/0!</v>
      </c>
      <c r="J46" s="1561" t="e">
        <f>J45</f>
        <v>#DIV/0!</v>
      </c>
      <c r="K46" s="1583"/>
      <c r="L46" s="1583"/>
      <c r="M46" s="1584"/>
      <c r="N46" s="1584"/>
      <c r="O46" s="1562"/>
    </row>
    <row r="47" spans="1:15" ht="24.95" customHeight="1">
      <c r="A47" s="2048" t="s">
        <v>1011</v>
      </c>
      <c r="B47" s="1535"/>
      <c r="C47" s="1536"/>
      <c r="D47" s="1537" t="e">
        <f>C47/B47</f>
        <v>#DIV/0!</v>
      </c>
      <c r="E47" s="1538"/>
      <c r="F47" s="1536"/>
      <c r="G47" s="1539"/>
      <c r="H47" s="1535">
        <f t="shared" ref="H47:I48" si="24">H46+B47</f>
        <v>0</v>
      </c>
      <c r="I47" s="1536" t="e">
        <f t="shared" si="24"/>
        <v>#DIV/0!</v>
      </c>
      <c r="J47" s="1563" t="e">
        <f t="shared" ref="J47:J49" si="25">I47/H47</f>
        <v>#DIV/0!</v>
      </c>
      <c r="L47" s="1518" t="s">
        <v>1008</v>
      </c>
      <c r="M47" s="296" t="s">
        <v>279</v>
      </c>
      <c r="O47" s="1562"/>
    </row>
    <row r="48" spans="1:15" ht="24.95" customHeight="1">
      <c r="A48" s="2049"/>
      <c r="B48" s="1565"/>
      <c r="C48" s="1566"/>
      <c r="D48" s="1567" t="e">
        <f>C48/B48</f>
        <v>#DIV/0!</v>
      </c>
      <c r="E48" s="1568"/>
      <c r="F48" s="1566"/>
      <c r="G48" s="1569"/>
      <c r="H48" s="1565">
        <f t="shared" si="24"/>
        <v>0</v>
      </c>
      <c r="I48" s="1566" t="e">
        <f t="shared" si="24"/>
        <v>#DIV/0!</v>
      </c>
      <c r="J48" s="1570" t="e">
        <f t="shared" si="25"/>
        <v>#DIV/0!</v>
      </c>
      <c r="L48" s="1518" t="s">
        <v>1109</v>
      </c>
      <c r="M48" s="296" t="s">
        <v>279</v>
      </c>
      <c r="O48" s="1562"/>
    </row>
    <row r="49" spans="1:15" ht="24.95" customHeight="1" thickBot="1">
      <c r="A49" s="2049"/>
      <c r="B49" s="1549"/>
      <c r="C49" s="1550"/>
      <c r="D49" s="1551"/>
      <c r="E49" s="1552">
        <f>H48-H49</f>
        <v>0</v>
      </c>
      <c r="F49" s="1550" t="e">
        <f>G49*E49</f>
        <v>#DIV/0!</v>
      </c>
      <c r="G49" s="1553" t="e">
        <f>J48</f>
        <v>#DIV/0!</v>
      </c>
      <c r="H49" s="1549"/>
      <c r="I49" s="1550" t="e">
        <f>H49*J48</f>
        <v>#DIV/0!</v>
      </c>
      <c r="J49" s="1554" t="e">
        <f t="shared" si="25"/>
        <v>#DIV/0!</v>
      </c>
      <c r="O49" s="1562"/>
    </row>
    <row r="50" spans="1:15" s="297" customFormat="1" ht="24.95" customHeight="1" thickTop="1">
      <c r="A50" s="2050"/>
      <c r="B50" s="1556">
        <f>SUM(B47:B49)</f>
        <v>0</v>
      </c>
      <c r="C50" s="1557">
        <f>SUM(C47:C49)</f>
        <v>0</v>
      </c>
      <c r="D50" s="1558" t="e">
        <f>C50/B50</f>
        <v>#DIV/0!</v>
      </c>
      <c r="E50" s="1556">
        <f>SUM(E47:E49)</f>
        <v>0</v>
      </c>
      <c r="F50" s="1557" t="e">
        <f>SUM(F47:F49)</f>
        <v>#DIV/0!</v>
      </c>
      <c r="G50" s="1559" t="e">
        <f>F50/E50</f>
        <v>#DIV/0!</v>
      </c>
      <c r="H50" s="1560">
        <f>H49</f>
        <v>0</v>
      </c>
      <c r="I50" s="1557" t="e">
        <f>I49</f>
        <v>#DIV/0!</v>
      </c>
      <c r="J50" s="1561" t="e">
        <f>J49</f>
        <v>#DIV/0!</v>
      </c>
      <c r="K50" s="1583"/>
      <c r="L50" s="1583"/>
      <c r="M50" s="1584"/>
      <c r="N50" s="1584"/>
      <c r="O50" s="1562"/>
    </row>
    <row r="51" spans="1:15" ht="24.95" customHeight="1">
      <c r="A51" s="2048" t="s">
        <v>1012</v>
      </c>
      <c r="B51" s="1535"/>
      <c r="C51" s="1536"/>
      <c r="D51" s="1537" t="e">
        <f>C51/B51</f>
        <v>#DIV/0!</v>
      </c>
      <c r="E51" s="1538"/>
      <c r="F51" s="1536"/>
      <c r="G51" s="1539"/>
      <c r="H51" s="1535">
        <f t="shared" ref="H51:I52" si="26">H50+B51</f>
        <v>0</v>
      </c>
      <c r="I51" s="1536" t="e">
        <f t="shared" si="26"/>
        <v>#DIV/0!</v>
      </c>
      <c r="J51" s="1563" t="e">
        <f t="shared" ref="J51:J53" si="27">I51/H51</f>
        <v>#DIV/0!</v>
      </c>
      <c r="L51" s="1518" t="s">
        <v>1008</v>
      </c>
      <c r="M51" s="296" t="s">
        <v>279</v>
      </c>
      <c r="O51" s="1562"/>
    </row>
    <row r="52" spans="1:15" ht="24.95" customHeight="1">
      <c r="A52" s="2049"/>
      <c r="B52" s="1565"/>
      <c r="C52" s="1566"/>
      <c r="D52" s="1567" t="e">
        <f>C52/B52</f>
        <v>#DIV/0!</v>
      </c>
      <c r="E52" s="1568"/>
      <c r="F52" s="1566"/>
      <c r="G52" s="1569"/>
      <c r="H52" s="1565">
        <f t="shared" si="26"/>
        <v>0</v>
      </c>
      <c r="I52" s="1566" t="e">
        <f t="shared" si="26"/>
        <v>#DIV/0!</v>
      </c>
      <c r="J52" s="1570" t="e">
        <f t="shared" si="27"/>
        <v>#DIV/0!</v>
      </c>
      <c r="L52" s="1518" t="s">
        <v>1109</v>
      </c>
      <c r="M52" s="296" t="s">
        <v>279</v>
      </c>
      <c r="O52" s="1562"/>
    </row>
    <row r="53" spans="1:15" ht="24.95" customHeight="1" thickBot="1">
      <c r="A53" s="2049"/>
      <c r="B53" s="1549"/>
      <c r="C53" s="1550"/>
      <c r="D53" s="1551"/>
      <c r="E53" s="1552">
        <f>H52-H53</f>
        <v>0</v>
      </c>
      <c r="F53" s="1550" t="e">
        <f>G53*E53</f>
        <v>#DIV/0!</v>
      </c>
      <c r="G53" s="1553" t="e">
        <f>J52</f>
        <v>#DIV/0!</v>
      </c>
      <c r="H53" s="1549"/>
      <c r="I53" s="1550" t="e">
        <f>H53*J52</f>
        <v>#DIV/0!</v>
      </c>
      <c r="J53" s="1554" t="e">
        <f t="shared" si="27"/>
        <v>#DIV/0!</v>
      </c>
      <c r="O53" s="1562"/>
    </row>
    <row r="54" spans="1:15" s="297" customFormat="1" ht="24.95" customHeight="1" thickTop="1" thickBot="1">
      <c r="A54" s="2050"/>
      <c r="B54" s="1556">
        <f>SUM(B51:B53)</f>
        <v>0</v>
      </c>
      <c r="C54" s="1557">
        <f>SUM(C51:C53)</f>
        <v>0</v>
      </c>
      <c r="D54" s="1558" t="e">
        <f>C54/B54</f>
        <v>#DIV/0!</v>
      </c>
      <c r="E54" s="1556">
        <f>SUM(E51:E53)</f>
        <v>0</v>
      </c>
      <c r="F54" s="1557" t="e">
        <f>SUM(F51:F53)</f>
        <v>#DIV/0!</v>
      </c>
      <c r="G54" s="1559" t="e">
        <f>F54/E54</f>
        <v>#DIV/0!</v>
      </c>
      <c r="H54" s="1560">
        <f>H53</f>
        <v>0</v>
      </c>
      <c r="I54" s="1557" t="e">
        <f>I53</f>
        <v>#DIV/0!</v>
      </c>
      <c r="J54" s="1561" t="e">
        <f>J53</f>
        <v>#DIV/0!</v>
      </c>
      <c r="K54" s="1583"/>
      <c r="L54" s="1583"/>
      <c r="M54" s="1584"/>
      <c r="N54" s="1584"/>
      <c r="O54" s="1562"/>
    </row>
    <row r="55" spans="1:15" s="297" customFormat="1" ht="24.95" customHeight="1" thickTop="1" thickBot="1">
      <c r="A55" s="1585" t="s">
        <v>504</v>
      </c>
      <c r="B55" s="1586">
        <f>B9+B13+B17+B21+B25+B30+B34+B38+B42+B46+B50+B54</f>
        <v>165480.61999999997</v>
      </c>
      <c r="C55" s="1587">
        <f>C9+C13+C17+C21+C25+C30+C34+C38+C42+C46+C50+C54</f>
        <v>36606979946</v>
      </c>
      <c r="D55" s="1588">
        <f>C55/B55</f>
        <v>221216.11549437031</v>
      </c>
      <c r="E55" s="1589">
        <f>E9+E13+E17+E21+E25+E30+E34+E38+E42+E46+E50+E54</f>
        <v>170777.62</v>
      </c>
      <c r="F55" s="1587" t="e">
        <f>F9+F13+F17+F21+F25+F30+F34+F38+F42+F46+F50+F54</f>
        <v>#DIV/0!</v>
      </c>
      <c r="G55" s="1590" t="e">
        <f>F55/E55</f>
        <v>#DIV/0!</v>
      </c>
      <c r="H55" s="1586">
        <f>H5+B55-E55</f>
        <v>0</v>
      </c>
      <c r="I55" s="1587" t="e">
        <f>I5+C55-F55</f>
        <v>#DIV/0!</v>
      </c>
      <c r="J55" s="1591" t="e">
        <f>I55/H55</f>
        <v>#DIV/0!</v>
      </c>
      <c r="K55" s="1583"/>
      <c r="M55" s="1584"/>
      <c r="N55" s="1584"/>
    </row>
    <row r="56" spans="1:15" s="297" customFormat="1" ht="24.95" customHeight="1">
      <c r="A56" s="1592"/>
      <c r="B56" s="1583"/>
      <c r="C56" s="1583"/>
      <c r="D56" s="1583"/>
      <c r="E56" s="1583"/>
      <c r="F56" s="1583"/>
      <c r="G56" s="1583"/>
      <c r="H56" s="1583"/>
      <c r="I56" s="1593"/>
      <c r="J56" s="1583"/>
      <c r="K56" s="1583"/>
      <c r="L56" s="297" t="s">
        <v>1013</v>
      </c>
      <c r="M56" s="1584"/>
      <c r="N56" s="1584"/>
    </row>
    <row r="57" spans="1:15" s="297" customFormat="1" ht="24.95" customHeight="1">
      <c r="B57" s="1518"/>
      <c r="C57" s="1519"/>
      <c r="D57" s="1518"/>
      <c r="E57" s="1518"/>
      <c r="F57" s="1518"/>
      <c r="G57" s="1518"/>
      <c r="H57" s="1518"/>
      <c r="I57" s="1519"/>
      <c r="K57" s="1518"/>
      <c r="L57" s="1594" t="s">
        <v>1107</v>
      </c>
      <c r="M57" s="1595">
        <f>B6+B10+B14+B18+B22+B26+B31+B35+B39+B43+B47+B51</f>
        <v>84045.32</v>
      </c>
      <c r="N57" s="1595">
        <f>C6+C10+C14+C18+C22+C26+C31+C35+C39+C43+C47+C51</f>
        <v>18903686980</v>
      </c>
    </row>
    <row r="58" spans="1:15" s="297" customFormat="1" ht="24.95" customHeight="1">
      <c r="B58" s="1518"/>
      <c r="C58" s="1519"/>
      <c r="D58" s="1518"/>
      <c r="E58" s="1518"/>
      <c r="F58" s="1519"/>
      <c r="G58" s="1518"/>
      <c r="H58" s="1518"/>
      <c r="I58" s="1519"/>
      <c r="J58" s="1518"/>
      <c r="K58" s="1518"/>
      <c r="L58" s="1594" t="s">
        <v>1108</v>
      </c>
      <c r="M58" s="1596">
        <f>B7+B11+B15+B19+B23+B27+B32+B36+B40+B44+B48+B52</f>
        <v>73915.579999999987</v>
      </c>
      <c r="N58" s="1596">
        <f>C7+C11+C15+C19+C23+C27+C32+C36+C40+C44+C48+C52</f>
        <v>15969424557</v>
      </c>
    </row>
    <row r="59" spans="1:15" s="297" customFormat="1" ht="20.100000000000001" customHeight="1">
      <c r="B59" s="1518"/>
      <c r="C59" s="1519"/>
      <c r="D59" s="1518"/>
      <c r="E59" s="1518"/>
      <c r="F59" s="1519"/>
      <c r="G59" s="1518"/>
      <c r="H59" s="1518"/>
      <c r="I59" s="1519"/>
      <c r="J59" s="1518"/>
      <c r="K59" s="1518"/>
      <c r="M59" s="1597">
        <f>SUM(M57:M58)</f>
        <v>157960.9</v>
      </c>
      <c r="N59" s="1598">
        <f>SUM(N57:N58)</f>
        <v>34873111537</v>
      </c>
    </row>
    <row r="60" spans="1:15" s="297" customFormat="1" ht="20.100000000000001" customHeight="1">
      <c r="B60" s="1518"/>
      <c r="C60" s="1519"/>
      <c r="D60" s="1518"/>
      <c r="E60" s="1518"/>
      <c r="F60" s="1519"/>
      <c r="G60" s="1518"/>
      <c r="H60" s="1518"/>
      <c r="I60" s="1519"/>
      <c r="J60" s="1518"/>
      <c r="K60" s="1518"/>
      <c r="L60" s="1518"/>
      <c r="M60" s="1584"/>
      <c r="N60" s="1584"/>
    </row>
    <row r="61" spans="1:15" s="297" customFormat="1" ht="20.100000000000001" customHeight="1">
      <c r="B61" s="1518"/>
      <c r="C61" s="1519"/>
      <c r="D61" s="1518"/>
      <c r="E61" s="1518"/>
      <c r="F61" s="1519"/>
      <c r="G61" s="1518"/>
      <c r="H61" s="1518"/>
      <c r="I61" s="1519"/>
      <c r="J61" s="1518"/>
      <c r="K61" s="1518"/>
      <c r="L61" s="1518"/>
      <c r="M61" s="1597" t="b">
        <f>M59=B55</f>
        <v>0</v>
      </c>
      <c r="N61" s="1599" t="b">
        <f>N59=C55</f>
        <v>0</v>
      </c>
    </row>
    <row r="62" spans="1:15" s="297" customFormat="1" ht="20.100000000000001" customHeight="1">
      <c r="B62" s="1518"/>
      <c r="C62" s="1519"/>
      <c r="D62" s="1518"/>
      <c r="E62" s="1518"/>
      <c r="F62" s="1519"/>
      <c r="G62" s="1518"/>
      <c r="H62" s="1518"/>
      <c r="I62" s="1519"/>
      <c r="J62" s="1518"/>
      <c r="K62" s="1518"/>
      <c r="L62" s="1518"/>
      <c r="M62" s="1584"/>
      <c r="N62" s="1584"/>
    </row>
    <row r="63" spans="1:15" s="297" customFormat="1" ht="20.100000000000001" customHeight="1">
      <c r="B63" s="1518"/>
      <c r="C63" s="1519"/>
      <c r="D63" s="1518"/>
      <c r="E63" s="1518"/>
      <c r="F63" s="1519"/>
      <c r="G63" s="1518"/>
      <c r="H63" s="1518"/>
      <c r="I63" s="1519"/>
      <c r="J63" s="1518"/>
      <c r="K63" s="1518"/>
      <c r="L63" s="1518"/>
      <c r="M63" s="1584"/>
      <c r="N63" s="1584"/>
    </row>
    <row r="64" spans="1:15" s="297" customFormat="1" ht="20.100000000000001" customHeight="1">
      <c r="B64" s="1518"/>
      <c r="C64" s="1519"/>
      <c r="D64" s="1518"/>
      <c r="E64" s="1518"/>
      <c r="F64" s="1519"/>
      <c r="G64" s="1518"/>
      <c r="H64" s="1518"/>
      <c r="I64" s="1519"/>
      <c r="J64" s="1518"/>
      <c r="K64" s="1518"/>
      <c r="L64" s="1518"/>
      <c r="M64" s="1584"/>
      <c r="N64" s="1584"/>
    </row>
    <row r="65" spans="2:14" s="297" customFormat="1" ht="20.100000000000001" customHeight="1">
      <c r="B65" s="1518"/>
      <c r="C65" s="1519"/>
      <c r="D65" s="1518"/>
      <c r="E65" s="1518"/>
      <c r="F65" s="1519"/>
      <c r="G65" s="1518"/>
      <c r="H65" s="1518"/>
      <c r="I65" s="1519"/>
      <c r="J65" s="1518"/>
      <c r="K65" s="1518"/>
      <c r="L65" s="1518"/>
      <c r="M65" s="1584"/>
      <c r="N65" s="1584"/>
    </row>
    <row r="66" spans="2:14" s="297" customFormat="1" ht="20.100000000000001" customHeight="1">
      <c r="B66" s="1518"/>
      <c r="C66" s="1519"/>
      <c r="D66" s="1518"/>
      <c r="E66" s="1518"/>
      <c r="F66" s="1519"/>
      <c r="G66" s="1518"/>
      <c r="H66" s="1518"/>
      <c r="I66" s="1519"/>
      <c r="J66" s="1518"/>
      <c r="K66" s="1518"/>
      <c r="L66" s="1518"/>
      <c r="M66" s="1584"/>
      <c r="N66" s="1584"/>
    </row>
    <row r="67" spans="2:14" s="297" customFormat="1" ht="20.100000000000001" customHeight="1">
      <c r="B67" s="1518"/>
      <c r="C67" s="1519"/>
      <c r="D67" s="1518"/>
      <c r="E67" s="1518"/>
      <c r="F67" s="1519"/>
      <c r="G67" s="1518"/>
      <c r="H67" s="1518"/>
      <c r="I67" s="1519"/>
      <c r="J67" s="1518"/>
      <c r="K67" s="1518"/>
      <c r="L67" s="1518"/>
      <c r="M67" s="1584"/>
      <c r="N67" s="1584"/>
    </row>
    <row r="68" spans="2:14" s="297" customFormat="1" ht="20.100000000000001" customHeight="1">
      <c r="B68" s="1518"/>
      <c r="C68" s="1519"/>
      <c r="D68" s="1518"/>
      <c r="E68" s="1518"/>
      <c r="F68" s="1519"/>
      <c r="G68" s="1518"/>
      <c r="H68" s="1518"/>
      <c r="I68" s="1519"/>
      <c r="J68" s="1518"/>
      <c r="K68" s="1518"/>
      <c r="L68" s="1518"/>
      <c r="M68" s="1584"/>
      <c r="N68" s="1584"/>
    </row>
    <row r="69" spans="2:14" s="297" customFormat="1" ht="20.100000000000001" customHeight="1">
      <c r="B69" s="1518"/>
      <c r="C69" s="1519"/>
      <c r="D69" s="1518"/>
      <c r="E69" s="1518"/>
      <c r="F69" s="1519"/>
      <c r="G69" s="1518"/>
      <c r="H69" s="1518"/>
      <c r="I69" s="1519"/>
      <c r="J69" s="1518"/>
      <c r="K69" s="1518"/>
      <c r="L69" s="1518"/>
      <c r="M69" s="1584"/>
      <c r="N69" s="1584"/>
    </row>
    <row r="70" spans="2:14" s="297" customFormat="1" ht="20.100000000000001" customHeight="1">
      <c r="B70" s="1518"/>
      <c r="C70" s="1519"/>
      <c r="D70" s="1518"/>
      <c r="E70" s="1518"/>
      <c r="F70" s="1519"/>
      <c r="G70" s="1518"/>
      <c r="H70" s="1518"/>
      <c r="I70" s="1519"/>
      <c r="J70" s="1518"/>
      <c r="K70" s="1518"/>
      <c r="L70" s="1518"/>
      <c r="M70" s="1584"/>
      <c r="N70" s="1584"/>
    </row>
    <row r="71" spans="2:14" s="297" customFormat="1" ht="20.100000000000001" customHeight="1">
      <c r="B71" s="1518"/>
      <c r="C71" s="1519"/>
      <c r="D71" s="1518"/>
      <c r="E71" s="1518"/>
      <c r="F71" s="1519"/>
      <c r="G71" s="1518"/>
      <c r="H71" s="1518"/>
      <c r="I71" s="1519"/>
      <c r="J71" s="1518"/>
      <c r="K71" s="1518"/>
      <c r="L71" s="1518"/>
      <c r="M71" s="1584"/>
      <c r="N71" s="1584"/>
    </row>
    <row r="72" spans="2:14" s="297" customFormat="1" ht="20.100000000000001" customHeight="1">
      <c r="B72" s="1518"/>
      <c r="C72" s="1519"/>
      <c r="D72" s="1518"/>
      <c r="E72" s="1518"/>
      <c r="F72" s="1519"/>
      <c r="G72" s="1518"/>
      <c r="H72" s="1518"/>
      <c r="I72" s="1519"/>
      <c r="J72" s="1518"/>
      <c r="K72" s="1518"/>
      <c r="L72" s="1518"/>
      <c r="M72" s="1584"/>
      <c r="N72" s="1584"/>
    </row>
    <row r="73" spans="2:14" s="297" customFormat="1" ht="20.100000000000001" customHeight="1">
      <c r="B73" s="1518"/>
      <c r="C73" s="1519"/>
      <c r="D73" s="1518"/>
      <c r="E73" s="1518"/>
      <c r="F73" s="1519"/>
      <c r="G73" s="1518"/>
      <c r="H73" s="1518"/>
      <c r="I73" s="1519"/>
      <c r="J73" s="1518"/>
      <c r="K73" s="1518"/>
      <c r="L73" s="1518"/>
      <c r="M73" s="1584"/>
      <c r="N73" s="1584"/>
    </row>
    <row r="74" spans="2:14" s="297" customFormat="1" ht="20.100000000000001" customHeight="1">
      <c r="B74" s="1518"/>
      <c r="C74" s="1519"/>
      <c r="D74" s="1518"/>
      <c r="E74" s="1518"/>
      <c r="F74" s="1519"/>
      <c r="G74" s="1518"/>
      <c r="H74" s="1518"/>
      <c r="I74" s="1519"/>
      <c r="J74" s="1518"/>
      <c r="K74" s="1518"/>
      <c r="L74" s="1518"/>
      <c r="M74" s="1584"/>
      <c r="N74" s="1584"/>
    </row>
    <row r="75" spans="2:14" s="297" customFormat="1" ht="20.100000000000001" customHeight="1">
      <c r="B75" s="1518"/>
      <c r="C75" s="1519"/>
      <c r="D75" s="1518"/>
      <c r="E75" s="1518"/>
      <c r="F75" s="1519"/>
      <c r="G75" s="1518"/>
      <c r="H75" s="1518"/>
      <c r="I75" s="1519"/>
      <c r="J75" s="1518"/>
      <c r="K75" s="1518"/>
      <c r="L75" s="1518"/>
      <c r="M75" s="1584"/>
      <c r="N75" s="1584"/>
    </row>
    <row r="76" spans="2:14" s="297" customFormat="1" ht="20.100000000000001" customHeight="1">
      <c r="B76" s="1518"/>
      <c r="C76" s="1519"/>
      <c r="D76" s="1518"/>
      <c r="E76" s="1518"/>
      <c r="F76" s="1519"/>
      <c r="G76" s="1518"/>
      <c r="H76" s="1518"/>
      <c r="I76" s="1519"/>
      <c r="J76" s="1518"/>
      <c r="K76" s="1518"/>
      <c r="L76" s="1518"/>
      <c r="M76" s="1584"/>
      <c r="N76" s="1584"/>
    </row>
    <row r="77" spans="2:14" s="297" customFormat="1" ht="20.100000000000001" customHeight="1">
      <c r="B77" s="1518"/>
      <c r="C77" s="1519"/>
      <c r="D77" s="1518"/>
      <c r="E77" s="1518"/>
      <c r="F77" s="1519"/>
      <c r="G77" s="1518"/>
      <c r="H77" s="1518"/>
      <c r="I77" s="1519"/>
      <c r="J77" s="1518"/>
      <c r="K77" s="1518"/>
      <c r="L77" s="1518"/>
      <c r="M77" s="1584"/>
      <c r="N77" s="1584"/>
    </row>
    <row r="78" spans="2:14" s="297" customFormat="1" ht="20.100000000000001" customHeight="1">
      <c r="B78" s="1518"/>
      <c r="C78" s="1519"/>
      <c r="D78" s="1518"/>
      <c r="E78" s="1518"/>
      <c r="F78" s="1519"/>
      <c r="G78" s="1518"/>
      <c r="H78" s="1518"/>
      <c r="I78" s="1519"/>
      <c r="J78" s="1518"/>
      <c r="K78" s="1518"/>
      <c r="L78" s="1518"/>
      <c r="M78" s="1584"/>
      <c r="N78" s="1584"/>
    </row>
    <row r="79" spans="2:14" s="297" customFormat="1" ht="20.100000000000001" customHeight="1">
      <c r="B79" s="1518"/>
      <c r="C79" s="1519"/>
      <c r="D79" s="1518"/>
      <c r="E79" s="1518"/>
      <c r="F79" s="1519"/>
      <c r="G79" s="1518"/>
      <c r="H79" s="1518"/>
      <c r="I79" s="1519"/>
      <c r="J79" s="1518"/>
      <c r="K79" s="1518"/>
      <c r="L79" s="1518"/>
      <c r="M79" s="1584"/>
      <c r="N79" s="1584"/>
    </row>
    <row r="80" spans="2:14" s="297" customFormat="1" ht="20.100000000000001" customHeight="1">
      <c r="B80" s="1518"/>
      <c r="C80" s="1519"/>
      <c r="D80" s="1518"/>
      <c r="E80" s="1518"/>
      <c r="F80" s="1519"/>
      <c r="G80" s="1518"/>
      <c r="H80" s="1518"/>
      <c r="I80" s="1519"/>
      <c r="J80" s="1518"/>
      <c r="K80" s="1518"/>
      <c r="L80" s="1518"/>
      <c r="M80" s="1584"/>
      <c r="N80" s="1584"/>
    </row>
    <row r="81" spans="2:14" s="297" customFormat="1" ht="20.100000000000001" customHeight="1">
      <c r="B81" s="1518"/>
      <c r="C81" s="1519"/>
      <c r="D81" s="1518"/>
      <c r="E81" s="1518"/>
      <c r="F81" s="1519"/>
      <c r="G81" s="1518"/>
      <c r="H81" s="1518"/>
      <c r="I81" s="1519"/>
      <c r="J81" s="1518"/>
      <c r="K81" s="1518"/>
      <c r="L81" s="1518"/>
      <c r="M81" s="1584"/>
      <c r="N81" s="1584"/>
    </row>
    <row r="82" spans="2:14" s="297" customFormat="1" ht="20.100000000000001" customHeight="1">
      <c r="B82" s="1518"/>
      <c r="C82" s="1519"/>
      <c r="D82" s="1518"/>
      <c r="E82" s="1518"/>
      <c r="F82" s="1519"/>
      <c r="G82" s="1518"/>
      <c r="H82" s="1518"/>
      <c r="I82" s="1519"/>
      <c r="J82" s="1518"/>
      <c r="K82" s="1518"/>
      <c r="L82" s="1518"/>
      <c r="M82" s="1584"/>
      <c r="N82" s="1584"/>
    </row>
    <row r="83" spans="2:14" s="297" customFormat="1" ht="20.100000000000001" customHeight="1">
      <c r="B83" s="1518"/>
      <c r="C83" s="1519"/>
      <c r="D83" s="1518"/>
      <c r="E83" s="1518"/>
      <c r="F83" s="1519"/>
      <c r="G83" s="1518"/>
      <c r="H83" s="1518"/>
      <c r="I83" s="1519"/>
      <c r="J83" s="1518"/>
      <c r="K83" s="1518"/>
      <c r="L83" s="1518"/>
      <c r="M83" s="1584"/>
      <c r="N83" s="1584"/>
    </row>
    <row r="84" spans="2:14" s="297" customFormat="1" ht="20.100000000000001" customHeight="1">
      <c r="B84" s="1518"/>
      <c r="C84" s="1519"/>
      <c r="D84" s="1518"/>
      <c r="E84" s="1518"/>
      <c r="F84" s="1519"/>
      <c r="G84" s="1518"/>
      <c r="H84" s="1518"/>
      <c r="I84" s="1519"/>
      <c r="J84" s="1518"/>
      <c r="K84" s="1518"/>
      <c r="L84" s="1518"/>
      <c r="M84" s="1584"/>
      <c r="N84" s="1584"/>
    </row>
    <row r="85" spans="2:14" s="297" customFormat="1" ht="20.100000000000001" customHeight="1">
      <c r="B85" s="1518"/>
      <c r="C85" s="1519"/>
      <c r="D85" s="1518"/>
      <c r="E85" s="1518"/>
      <c r="F85" s="1519"/>
      <c r="G85" s="1518"/>
      <c r="H85" s="1518"/>
      <c r="I85" s="1519"/>
      <c r="J85" s="1518"/>
      <c r="K85" s="1518"/>
      <c r="L85" s="1518"/>
      <c r="M85" s="1584"/>
      <c r="N85" s="1584"/>
    </row>
    <row r="86" spans="2:14" s="297" customFormat="1" ht="20.100000000000001" customHeight="1">
      <c r="B86" s="1518"/>
      <c r="C86" s="1519"/>
      <c r="D86" s="1518"/>
      <c r="E86" s="1518"/>
      <c r="F86" s="1519"/>
      <c r="G86" s="1518"/>
      <c r="H86" s="1518"/>
      <c r="I86" s="1519"/>
      <c r="J86" s="1518"/>
      <c r="K86" s="1518"/>
      <c r="L86" s="1518"/>
      <c r="M86" s="1584"/>
      <c r="N86" s="1584"/>
    </row>
    <row r="87" spans="2:14" s="297" customFormat="1" ht="20.100000000000001" customHeight="1">
      <c r="B87" s="1518"/>
      <c r="C87" s="1519"/>
      <c r="D87" s="1518"/>
      <c r="E87" s="1518"/>
      <c r="F87" s="1519"/>
      <c r="G87" s="1518"/>
      <c r="H87" s="1518"/>
      <c r="I87" s="1519"/>
      <c r="J87" s="1518"/>
      <c r="K87" s="1518"/>
      <c r="L87" s="1518"/>
      <c r="M87" s="1584"/>
      <c r="N87" s="1584"/>
    </row>
    <row r="88" spans="2:14" s="297" customFormat="1" ht="20.100000000000001" customHeight="1">
      <c r="B88" s="1518"/>
      <c r="C88" s="1519"/>
      <c r="D88" s="1518"/>
      <c r="E88" s="1518"/>
      <c r="F88" s="1519"/>
      <c r="G88" s="1518"/>
      <c r="H88" s="1518"/>
      <c r="I88" s="1519"/>
      <c r="J88" s="1518"/>
      <c r="K88" s="1518"/>
      <c r="L88" s="1518"/>
      <c r="M88" s="1584"/>
      <c r="N88" s="1584"/>
    </row>
    <row r="89" spans="2:14" s="297" customFormat="1" ht="20.100000000000001" customHeight="1">
      <c r="B89" s="1518"/>
      <c r="C89" s="1519"/>
      <c r="D89" s="1518"/>
      <c r="E89" s="1518"/>
      <c r="F89" s="1519"/>
      <c r="G89" s="1518"/>
      <c r="H89" s="1518"/>
      <c r="I89" s="1519"/>
      <c r="J89" s="1518"/>
      <c r="K89" s="1518"/>
      <c r="L89" s="1518"/>
      <c r="M89" s="1584"/>
      <c r="N89" s="1584"/>
    </row>
    <row r="90" spans="2:14" s="297" customFormat="1" ht="20.100000000000001" customHeight="1">
      <c r="B90" s="1518"/>
      <c r="C90" s="1519"/>
      <c r="D90" s="1518"/>
      <c r="E90" s="1518"/>
      <c r="F90" s="1519"/>
      <c r="G90" s="1518"/>
      <c r="H90" s="1518"/>
      <c r="I90" s="1519"/>
      <c r="J90" s="1518"/>
      <c r="K90" s="1518"/>
      <c r="L90" s="1518"/>
      <c r="M90" s="1584"/>
      <c r="N90" s="1584"/>
    </row>
    <row r="91" spans="2:14" s="297" customFormat="1" ht="20.100000000000001" customHeight="1">
      <c r="B91" s="1518"/>
      <c r="C91" s="1519"/>
      <c r="D91" s="1518"/>
      <c r="E91" s="1518"/>
      <c r="F91" s="1519"/>
      <c r="G91" s="1518"/>
      <c r="H91" s="1518"/>
      <c r="I91" s="1519"/>
      <c r="J91" s="1518"/>
      <c r="K91" s="1518"/>
      <c r="L91" s="1518"/>
      <c r="M91" s="1584"/>
      <c r="N91" s="1584"/>
    </row>
    <row r="92" spans="2:14" s="297" customFormat="1" ht="20.100000000000001" customHeight="1">
      <c r="B92" s="1518"/>
      <c r="C92" s="1519"/>
      <c r="D92" s="1518"/>
      <c r="E92" s="1518"/>
      <c r="F92" s="1519"/>
      <c r="G92" s="1518"/>
      <c r="H92" s="1518"/>
      <c r="I92" s="1519"/>
      <c r="J92" s="1518"/>
      <c r="K92" s="1518"/>
      <c r="L92" s="1518"/>
      <c r="M92" s="1584"/>
      <c r="N92" s="1584"/>
    </row>
    <row r="93" spans="2:14" s="297" customFormat="1" ht="20.100000000000001" customHeight="1">
      <c r="B93" s="1518"/>
      <c r="C93" s="1519"/>
      <c r="D93" s="1518"/>
      <c r="E93" s="1518"/>
      <c r="F93" s="1519"/>
      <c r="G93" s="1518"/>
      <c r="H93" s="1518"/>
      <c r="I93" s="1519"/>
      <c r="J93" s="1518"/>
      <c r="K93" s="1518"/>
      <c r="L93" s="1518"/>
      <c r="M93" s="1584"/>
      <c r="N93" s="1584"/>
    </row>
    <row r="94" spans="2:14" s="297" customFormat="1" ht="20.100000000000001" customHeight="1">
      <c r="B94" s="1518"/>
      <c r="C94" s="1519"/>
      <c r="D94" s="1518"/>
      <c r="E94" s="1518"/>
      <c r="F94" s="1519"/>
      <c r="G94" s="1518"/>
      <c r="H94" s="1518"/>
      <c r="I94" s="1519"/>
      <c r="J94" s="1518"/>
      <c r="K94" s="1518"/>
      <c r="L94" s="1518"/>
      <c r="M94" s="1584"/>
      <c r="N94" s="1584"/>
    </row>
    <row r="95" spans="2:14" s="297" customFormat="1" ht="20.100000000000001" customHeight="1">
      <c r="B95" s="1518"/>
      <c r="C95" s="1519"/>
      <c r="D95" s="1518"/>
      <c r="E95" s="1518"/>
      <c r="F95" s="1519"/>
      <c r="G95" s="1518"/>
      <c r="H95" s="1518"/>
      <c r="I95" s="1519"/>
      <c r="J95" s="1518"/>
      <c r="K95" s="1518"/>
      <c r="L95" s="1518"/>
      <c r="M95" s="1584"/>
      <c r="N95" s="1584"/>
    </row>
    <row r="96" spans="2:14" s="297" customFormat="1" ht="20.100000000000001" customHeight="1">
      <c r="B96" s="1518"/>
      <c r="C96" s="1519"/>
      <c r="D96" s="1518"/>
      <c r="E96" s="1518"/>
      <c r="F96" s="1519"/>
      <c r="G96" s="1518"/>
      <c r="H96" s="1518"/>
      <c r="I96" s="1519"/>
      <c r="J96" s="1518"/>
      <c r="K96" s="1518"/>
      <c r="L96" s="1518"/>
      <c r="M96" s="1584"/>
      <c r="N96" s="1584"/>
    </row>
    <row r="97" spans="2:14" s="297" customFormat="1" ht="20.100000000000001" customHeight="1">
      <c r="B97" s="1518"/>
      <c r="C97" s="1519"/>
      <c r="D97" s="1518"/>
      <c r="E97" s="1518"/>
      <c r="F97" s="1519"/>
      <c r="G97" s="1518"/>
      <c r="H97" s="1518"/>
      <c r="I97" s="1519"/>
      <c r="J97" s="1518"/>
      <c r="K97" s="1518"/>
      <c r="L97" s="1518"/>
      <c r="M97" s="1584"/>
      <c r="N97" s="1584"/>
    </row>
    <row r="98" spans="2:14" s="297" customFormat="1" ht="20.100000000000001" customHeight="1">
      <c r="B98" s="1518"/>
      <c r="C98" s="1519"/>
      <c r="D98" s="1518"/>
      <c r="E98" s="1518"/>
      <c r="F98" s="1519"/>
      <c r="G98" s="1518"/>
      <c r="H98" s="1518"/>
      <c r="I98" s="1519"/>
      <c r="J98" s="1518"/>
      <c r="K98" s="1518"/>
      <c r="L98" s="1518"/>
      <c r="M98" s="1584"/>
      <c r="N98" s="1584"/>
    </row>
    <row r="99" spans="2:14" s="297" customFormat="1" ht="20.100000000000001" customHeight="1">
      <c r="B99" s="1518"/>
      <c r="C99" s="1519"/>
      <c r="D99" s="1518"/>
      <c r="E99" s="1518"/>
      <c r="F99" s="1519"/>
      <c r="G99" s="1518"/>
      <c r="H99" s="1518"/>
      <c r="I99" s="1519"/>
      <c r="J99" s="1518"/>
      <c r="K99" s="1518"/>
      <c r="L99" s="1518"/>
      <c r="M99" s="1584"/>
      <c r="N99" s="1584"/>
    </row>
    <row r="100" spans="2:14" s="297" customFormat="1" ht="20.100000000000001" customHeight="1">
      <c r="B100" s="1518"/>
      <c r="C100" s="1519"/>
      <c r="D100" s="1518"/>
      <c r="E100" s="1518"/>
      <c r="F100" s="1519"/>
      <c r="G100" s="1518"/>
      <c r="H100" s="1518"/>
      <c r="I100" s="1519"/>
      <c r="J100" s="1518"/>
      <c r="K100" s="1518"/>
      <c r="L100" s="1518"/>
      <c r="M100" s="1584"/>
      <c r="N100" s="1584"/>
    </row>
    <row r="101" spans="2:14" s="297" customFormat="1" ht="20.100000000000001" customHeight="1">
      <c r="B101" s="1518"/>
      <c r="C101" s="1519"/>
      <c r="D101" s="1518"/>
      <c r="E101" s="1518"/>
      <c r="F101" s="1519"/>
      <c r="G101" s="1518"/>
      <c r="H101" s="1518"/>
      <c r="I101" s="1519"/>
      <c r="J101" s="1518"/>
      <c r="K101" s="1518"/>
      <c r="L101" s="1518"/>
      <c r="M101" s="1584"/>
      <c r="N101" s="1584"/>
    </row>
    <row r="102" spans="2:14" s="297" customFormat="1" ht="20.100000000000001" customHeight="1">
      <c r="B102" s="1518"/>
      <c r="C102" s="1519"/>
      <c r="D102" s="1518"/>
      <c r="E102" s="1518"/>
      <c r="F102" s="1519"/>
      <c r="G102" s="1518"/>
      <c r="H102" s="1518"/>
      <c r="I102" s="1519"/>
      <c r="J102" s="1518"/>
      <c r="K102" s="1518"/>
      <c r="L102" s="1518"/>
      <c r="M102" s="1584"/>
      <c r="N102" s="1584"/>
    </row>
    <row r="103" spans="2:14" s="297" customFormat="1" ht="20.100000000000001" customHeight="1">
      <c r="B103" s="1518"/>
      <c r="C103" s="1519"/>
      <c r="D103" s="1518"/>
      <c r="E103" s="1518"/>
      <c r="F103" s="1519"/>
      <c r="G103" s="1518"/>
      <c r="H103" s="1518"/>
      <c r="I103" s="1519"/>
      <c r="J103" s="1518"/>
      <c r="K103" s="1518"/>
      <c r="L103" s="1518"/>
      <c r="M103" s="1584"/>
      <c r="N103" s="1584"/>
    </row>
    <row r="104" spans="2:14" s="297" customFormat="1" ht="20.100000000000001" customHeight="1">
      <c r="B104" s="1518"/>
      <c r="C104" s="1519"/>
      <c r="D104" s="1518"/>
      <c r="E104" s="1518"/>
      <c r="F104" s="1519"/>
      <c r="G104" s="1518"/>
      <c r="H104" s="1518"/>
      <c r="I104" s="1519"/>
      <c r="J104" s="1518"/>
      <c r="K104" s="1518"/>
      <c r="L104" s="1518"/>
      <c r="M104" s="1584"/>
      <c r="N104" s="1584"/>
    </row>
    <row r="105" spans="2:14" s="297" customFormat="1" ht="20.100000000000001" customHeight="1">
      <c r="B105" s="1518"/>
      <c r="C105" s="1519"/>
      <c r="D105" s="1518"/>
      <c r="E105" s="1518"/>
      <c r="F105" s="1519"/>
      <c r="G105" s="1518"/>
      <c r="H105" s="1518"/>
      <c r="I105" s="1519"/>
      <c r="J105" s="1518"/>
      <c r="K105" s="1518"/>
      <c r="L105" s="1518"/>
      <c r="M105" s="1584"/>
      <c r="N105" s="1584"/>
    </row>
    <row r="106" spans="2:14" s="297" customFormat="1" ht="20.100000000000001" customHeight="1">
      <c r="B106" s="1518"/>
      <c r="C106" s="1519"/>
      <c r="D106" s="1518"/>
      <c r="E106" s="1518"/>
      <c r="F106" s="1519"/>
      <c r="G106" s="1518"/>
      <c r="H106" s="1518"/>
      <c r="I106" s="1519"/>
      <c r="J106" s="1518"/>
      <c r="K106" s="1518"/>
      <c r="L106" s="1518"/>
      <c r="M106" s="1584"/>
      <c r="N106" s="1584"/>
    </row>
    <row r="107" spans="2:14" s="297" customFormat="1" ht="20.100000000000001" customHeight="1">
      <c r="B107" s="1518"/>
      <c r="C107" s="1519"/>
      <c r="D107" s="1518"/>
      <c r="E107" s="1518"/>
      <c r="F107" s="1519"/>
      <c r="G107" s="1518"/>
      <c r="H107" s="1518"/>
      <c r="I107" s="1519"/>
      <c r="J107" s="1518"/>
      <c r="K107" s="1518"/>
      <c r="L107" s="1518"/>
      <c r="M107" s="1584"/>
      <c r="N107" s="1584"/>
    </row>
    <row r="108" spans="2:14" s="297" customFormat="1" ht="20.100000000000001" customHeight="1">
      <c r="B108" s="1518"/>
      <c r="C108" s="1519"/>
      <c r="D108" s="1518"/>
      <c r="E108" s="1518"/>
      <c r="F108" s="1519"/>
      <c r="G108" s="1518"/>
      <c r="H108" s="1518"/>
      <c r="I108" s="1519"/>
      <c r="J108" s="1518"/>
      <c r="K108" s="1518"/>
      <c r="L108" s="1518"/>
      <c r="M108" s="1584"/>
      <c r="N108" s="1584"/>
    </row>
    <row r="109" spans="2:14" s="297" customFormat="1" ht="20.100000000000001" customHeight="1">
      <c r="B109" s="1518"/>
      <c r="C109" s="1519"/>
      <c r="D109" s="1518"/>
      <c r="E109" s="1518"/>
      <c r="F109" s="1519"/>
      <c r="G109" s="1518"/>
      <c r="H109" s="1518"/>
      <c r="I109" s="1519"/>
      <c r="J109" s="1518"/>
      <c r="K109" s="1518"/>
      <c r="L109" s="1518"/>
      <c r="M109" s="1584"/>
      <c r="N109" s="1584"/>
    </row>
    <row r="110" spans="2:14" s="297" customFormat="1" ht="20.100000000000001" customHeight="1">
      <c r="B110" s="1518"/>
      <c r="C110" s="1519"/>
      <c r="D110" s="1518"/>
      <c r="E110" s="1518"/>
      <c r="F110" s="1519"/>
      <c r="G110" s="1518"/>
      <c r="H110" s="1518"/>
      <c r="I110" s="1519"/>
      <c r="J110" s="1518"/>
      <c r="K110" s="1518"/>
      <c r="L110" s="1518"/>
      <c r="M110" s="1584"/>
      <c r="N110" s="1584"/>
    </row>
    <row r="111" spans="2:14" s="297" customFormat="1" ht="20.100000000000001" customHeight="1">
      <c r="B111" s="1518"/>
      <c r="C111" s="1519"/>
      <c r="D111" s="1518"/>
      <c r="E111" s="1518"/>
      <c r="F111" s="1519"/>
      <c r="G111" s="1518"/>
      <c r="H111" s="1518"/>
      <c r="I111" s="1519"/>
      <c r="J111" s="1518"/>
      <c r="K111" s="1518"/>
      <c r="L111" s="1518"/>
      <c r="M111" s="1584"/>
      <c r="N111" s="1584"/>
    </row>
    <row r="112" spans="2:14" s="297" customFormat="1" ht="20.100000000000001" customHeight="1">
      <c r="B112" s="1518"/>
      <c r="C112" s="1519"/>
      <c r="D112" s="1518"/>
      <c r="E112" s="1518"/>
      <c r="F112" s="1519"/>
      <c r="G112" s="1518"/>
      <c r="H112" s="1518"/>
      <c r="I112" s="1519"/>
      <c r="J112" s="1518"/>
      <c r="K112" s="1518"/>
      <c r="L112" s="1518"/>
      <c r="M112" s="1584"/>
      <c r="N112" s="1584"/>
    </row>
    <row r="113" spans="2:14" s="297" customFormat="1" ht="20.100000000000001" customHeight="1">
      <c r="B113" s="1518"/>
      <c r="C113" s="1519"/>
      <c r="D113" s="1518"/>
      <c r="E113" s="1518"/>
      <c r="F113" s="1519"/>
      <c r="G113" s="1518"/>
      <c r="H113" s="1518"/>
      <c r="I113" s="1519"/>
      <c r="J113" s="1518"/>
      <c r="K113" s="1518"/>
      <c r="L113" s="1518"/>
      <c r="M113" s="1584"/>
      <c r="N113" s="1584"/>
    </row>
    <row r="114" spans="2:14" s="297" customFormat="1" ht="20.100000000000001" customHeight="1">
      <c r="B114" s="1518"/>
      <c r="C114" s="1519"/>
      <c r="D114" s="1518"/>
      <c r="E114" s="1518"/>
      <c r="F114" s="1519"/>
      <c r="G114" s="1518"/>
      <c r="H114" s="1518"/>
      <c r="I114" s="1519"/>
      <c r="J114" s="1518"/>
      <c r="K114" s="1518"/>
      <c r="L114" s="1518"/>
      <c r="M114" s="1584"/>
      <c r="N114" s="1584"/>
    </row>
    <row r="115" spans="2:14" s="297" customFormat="1" ht="20.100000000000001" customHeight="1">
      <c r="B115" s="1518"/>
      <c r="C115" s="1519"/>
      <c r="D115" s="1518"/>
      <c r="E115" s="1518"/>
      <c r="F115" s="1519"/>
      <c r="G115" s="1518"/>
      <c r="H115" s="1518"/>
      <c r="I115" s="1519"/>
      <c r="J115" s="1518"/>
      <c r="K115" s="1518"/>
      <c r="L115" s="1518"/>
      <c r="M115" s="1584"/>
      <c r="N115" s="1584"/>
    </row>
    <row r="116" spans="2:14" s="297" customFormat="1" ht="20.100000000000001" customHeight="1">
      <c r="B116" s="1518"/>
      <c r="C116" s="1519"/>
      <c r="D116" s="1518"/>
      <c r="E116" s="1518"/>
      <c r="F116" s="1519"/>
      <c r="G116" s="1518"/>
      <c r="H116" s="1518"/>
      <c r="I116" s="1519"/>
      <c r="J116" s="1518"/>
      <c r="K116" s="1518"/>
      <c r="L116" s="1518"/>
      <c r="M116" s="1584"/>
      <c r="N116" s="1584"/>
    </row>
    <row r="117" spans="2:14" s="297" customFormat="1" ht="20.100000000000001" customHeight="1">
      <c r="B117" s="1518"/>
      <c r="C117" s="1519"/>
      <c r="D117" s="1518"/>
      <c r="E117" s="1518"/>
      <c r="F117" s="1519"/>
      <c r="G117" s="1518"/>
      <c r="H117" s="1518"/>
      <c r="I117" s="1519"/>
      <c r="J117" s="1518"/>
      <c r="K117" s="1518"/>
      <c r="L117" s="1518"/>
      <c r="M117" s="1584"/>
      <c r="N117" s="1584"/>
    </row>
    <row r="118" spans="2:14" s="297" customFormat="1" ht="20.100000000000001" customHeight="1">
      <c r="B118" s="1518"/>
      <c r="C118" s="1519"/>
      <c r="D118" s="1518"/>
      <c r="E118" s="1518"/>
      <c r="F118" s="1519"/>
      <c r="G118" s="1518"/>
      <c r="H118" s="1518"/>
      <c r="I118" s="1519"/>
      <c r="J118" s="1518"/>
      <c r="K118" s="1518"/>
      <c r="L118" s="1518"/>
      <c r="M118" s="1584"/>
      <c r="N118" s="1584"/>
    </row>
    <row r="119" spans="2:14" s="297" customFormat="1" ht="20.100000000000001" customHeight="1">
      <c r="B119" s="1518"/>
      <c r="C119" s="1519"/>
      <c r="D119" s="1518"/>
      <c r="E119" s="1518"/>
      <c r="F119" s="1519"/>
      <c r="G119" s="1518"/>
      <c r="H119" s="1518"/>
      <c r="I119" s="1519"/>
      <c r="J119" s="1518"/>
      <c r="K119" s="1518"/>
      <c r="L119" s="1518"/>
      <c r="M119" s="1584"/>
      <c r="N119" s="1584"/>
    </row>
    <row r="120" spans="2:14" s="297" customFormat="1" ht="20.100000000000001" customHeight="1">
      <c r="B120" s="1518"/>
      <c r="C120" s="1519"/>
      <c r="D120" s="1518"/>
      <c r="E120" s="1518"/>
      <c r="F120" s="1519"/>
      <c r="G120" s="1518"/>
      <c r="H120" s="1518"/>
      <c r="I120" s="1519"/>
      <c r="J120" s="1518"/>
      <c r="K120" s="1518"/>
      <c r="L120" s="1518"/>
      <c r="M120" s="1584"/>
      <c r="N120" s="1584"/>
    </row>
    <row r="121" spans="2:14" s="297" customFormat="1" ht="20.100000000000001" customHeight="1">
      <c r="B121" s="1518"/>
      <c r="C121" s="1519"/>
      <c r="D121" s="1518"/>
      <c r="E121" s="1518"/>
      <c r="F121" s="1519"/>
      <c r="G121" s="1518"/>
      <c r="H121" s="1518"/>
      <c r="I121" s="1519"/>
      <c r="J121" s="1518"/>
      <c r="K121" s="1518"/>
      <c r="L121" s="1518"/>
      <c r="M121" s="1584"/>
      <c r="N121" s="1584"/>
    </row>
    <row r="122" spans="2:14" s="297" customFormat="1" ht="20.100000000000001" customHeight="1">
      <c r="B122" s="1518"/>
      <c r="C122" s="1519"/>
      <c r="D122" s="1518"/>
      <c r="E122" s="1518"/>
      <c r="F122" s="1519"/>
      <c r="G122" s="1518"/>
      <c r="H122" s="1518"/>
      <c r="I122" s="1519"/>
      <c r="J122" s="1518"/>
      <c r="K122" s="1518"/>
      <c r="L122" s="1518"/>
      <c r="M122" s="1584"/>
      <c r="N122" s="1584"/>
    </row>
    <row r="123" spans="2:14" s="297" customFormat="1" ht="20.100000000000001" customHeight="1">
      <c r="B123" s="1518"/>
      <c r="C123" s="1519"/>
      <c r="D123" s="1518"/>
      <c r="E123" s="1518"/>
      <c r="F123" s="1519"/>
      <c r="G123" s="1518"/>
      <c r="H123" s="1518"/>
      <c r="I123" s="1519"/>
      <c r="J123" s="1518"/>
      <c r="K123" s="1518"/>
      <c r="L123" s="1518"/>
      <c r="M123" s="1584"/>
      <c r="N123" s="1584"/>
    </row>
    <row r="124" spans="2:14" s="297" customFormat="1" ht="20.100000000000001" customHeight="1">
      <c r="B124" s="1518"/>
      <c r="C124" s="1519"/>
      <c r="D124" s="1518"/>
      <c r="E124" s="1518"/>
      <c r="F124" s="1519"/>
      <c r="G124" s="1518"/>
      <c r="H124" s="1518"/>
      <c r="I124" s="1519"/>
      <c r="J124" s="1518"/>
      <c r="K124" s="1518"/>
      <c r="L124" s="1518"/>
      <c r="M124" s="1584"/>
      <c r="N124" s="1584"/>
    </row>
    <row r="125" spans="2:14" s="297" customFormat="1" ht="20.100000000000001" customHeight="1">
      <c r="B125" s="1518"/>
      <c r="C125" s="1519"/>
      <c r="D125" s="1518"/>
      <c r="E125" s="1518"/>
      <c r="F125" s="1519"/>
      <c r="G125" s="1518"/>
      <c r="H125" s="1518"/>
      <c r="I125" s="1519"/>
      <c r="J125" s="1518"/>
      <c r="K125" s="1518"/>
      <c r="L125" s="1518"/>
      <c r="M125" s="1584"/>
      <c r="N125" s="1584"/>
    </row>
    <row r="126" spans="2:14" s="297" customFormat="1" ht="20.100000000000001" customHeight="1">
      <c r="B126" s="1518"/>
      <c r="C126" s="1519"/>
      <c r="D126" s="1518"/>
      <c r="E126" s="1518"/>
      <c r="F126" s="1519"/>
      <c r="G126" s="1518"/>
      <c r="H126" s="1518"/>
      <c r="I126" s="1519"/>
      <c r="J126" s="1518"/>
      <c r="K126" s="1518"/>
      <c r="L126" s="1518"/>
      <c r="M126" s="1584"/>
      <c r="N126" s="1584"/>
    </row>
    <row r="127" spans="2:14" s="297" customFormat="1" ht="20.100000000000001" customHeight="1">
      <c r="B127" s="1518"/>
      <c r="C127" s="1519"/>
      <c r="D127" s="1518"/>
      <c r="E127" s="1518"/>
      <c r="F127" s="1519"/>
      <c r="G127" s="1518"/>
      <c r="H127" s="1518"/>
      <c r="I127" s="1519"/>
      <c r="J127" s="1518"/>
      <c r="K127" s="1518"/>
      <c r="L127" s="1518"/>
      <c r="M127" s="1584"/>
      <c r="N127" s="1584"/>
    </row>
    <row r="128" spans="2:14" s="297" customFormat="1" ht="20.100000000000001" customHeight="1">
      <c r="B128" s="1518"/>
      <c r="C128" s="1519"/>
      <c r="D128" s="1518"/>
      <c r="E128" s="1518"/>
      <c r="F128" s="1519"/>
      <c r="G128" s="1518"/>
      <c r="H128" s="1518"/>
      <c r="I128" s="1519"/>
      <c r="J128" s="1518"/>
      <c r="K128" s="1518"/>
      <c r="L128" s="1518"/>
      <c r="M128" s="1584"/>
      <c r="N128" s="1584"/>
    </row>
    <row r="129" spans="2:14" s="297" customFormat="1" ht="20.100000000000001" customHeight="1">
      <c r="B129" s="1518"/>
      <c r="C129" s="1519"/>
      <c r="D129" s="1518"/>
      <c r="E129" s="1518"/>
      <c r="F129" s="1519"/>
      <c r="G129" s="1518"/>
      <c r="H129" s="1518"/>
      <c r="I129" s="1519"/>
      <c r="J129" s="1518"/>
      <c r="K129" s="1518"/>
      <c r="L129" s="1518"/>
      <c r="M129" s="1584"/>
      <c r="N129" s="1584"/>
    </row>
    <row r="130" spans="2:14" s="297" customFormat="1" ht="20.100000000000001" customHeight="1">
      <c r="B130" s="1518"/>
      <c r="C130" s="1519"/>
      <c r="D130" s="1518"/>
      <c r="E130" s="1518"/>
      <c r="F130" s="1519"/>
      <c r="G130" s="1518"/>
      <c r="H130" s="1518"/>
      <c r="I130" s="1519"/>
      <c r="J130" s="1518"/>
      <c r="K130" s="1518"/>
      <c r="L130" s="1518"/>
      <c r="M130" s="1584"/>
      <c r="N130" s="1584"/>
    </row>
    <row r="131" spans="2:14" s="297" customFormat="1" ht="20.100000000000001" customHeight="1">
      <c r="B131" s="1518"/>
      <c r="C131" s="1519"/>
      <c r="D131" s="1518"/>
      <c r="E131" s="1518"/>
      <c r="F131" s="1519"/>
      <c r="G131" s="1518"/>
      <c r="H131" s="1518"/>
      <c r="I131" s="1519"/>
      <c r="J131" s="1518"/>
      <c r="K131" s="1518"/>
      <c r="L131" s="1518"/>
      <c r="M131" s="1584"/>
      <c r="N131" s="1584"/>
    </row>
    <row r="132" spans="2:14" s="297" customFormat="1" ht="20.100000000000001" customHeight="1">
      <c r="B132" s="1518"/>
      <c r="C132" s="1519"/>
      <c r="D132" s="1518"/>
      <c r="E132" s="1518"/>
      <c r="F132" s="1519"/>
      <c r="G132" s="1518"/>
      <c r="H132" s="1518"/>
      <c r="I132" s="1519"/>
      <c r="J132" s="1518"/>
      <c r="K132" s="1518"/>
      <c r="L132" s="1518"/>
      <c r="M132" s="1584"/>
      <c r="N132" s="1584"/>
    </row>
    <row r="133" spans="2:14" s="297" customFormat="1" ht="20.100000000000001" customHeight="1">
      <c r="B133" s="1518"/>
      <c r="C133" s="1519"/>
      <c r="D133" s="1518"/>
      <c r="E133" s="1518"/>
      <c r="F133" s="1519"/>
      <c r="G133" s="1518"/>
      <c r="H133" s="1518"/>
      <c r="I133" s="1519"/>
      <c r="J133" s="1518"/>
      <c r="K133" s="1518"/>
      <c r="L133" s="1518"/>
      <c r="M133" s="1584"/>
      <c r="N133" s="1584"/>
    </row>
    <row r="134" spans="2:14" s="297" customFormat="1" ht="20.100000000000001" customHeight="1">
      <c r="B134" s="1518"/>
      <c r="C134" s="1519"/>
      <c r="D134" s="1518"/>
      <c r="E134" s="1518"/>
      <c r="F134" s="1519"/>
      <c r="G134" s="1518"/>
      <c r="H134" s="1518"/>
      <c r="I134" s="1519"/>
      <c r="J134" s="1518"/>
      <c r="K134" s="1518"/>
      <c r="L134" s="1518"/>
      <c r="M134" s="1584"/>
      <c r="N134" s="1584"/>
    </row>
    <row r="135" spans="2:14" s="297" customFormat="1" ht="20.100000000000001" customHeight="1">
      <c r="B135" s="1518"/>
      <c r="C135" s="1519"/>
      <c r="D135" s="1518"/>
      <c r="E135" s="1518"/>
      <c r="F135" s="1519"/>
      <c r="G135" s="1518"/>
      <c r="H135" s="1518"/>
      <c r="I135" s="1519"/>
      <c r="J135" s="1518"/>
      <c r="K135" s="1518"/>
      <c r="L135" s="1518"/>
      <c r="M135" s="1584"/>
      <c r="N135" s="1584"/>
    </row>
    <row r="136" spans="2:14" s="297" customFormat="1" ht="20.100000000000001" customHeight="1">
      <c r="B136" s="1518"/>
      <c r="C136" s="1519"/>
      <c r="D136" s="1518"/>
      <c r="E136" s="1518"/>
      <c r="F136" s="1519"/>
      <c r="G136" s="1518"/>
      <c r="H136" s="1518"/>
      <c r="I136" s="1519"/>
      <c r="J136" s="1518"/>
      <c r="K136" s="1518"/>
      <c r="L136" s="1518"/>
      <c r="M136" s="1584"/>
      <c r="N136" s="1584"/>
    </row>
    <row r="137" spans="2:14" s="297" customFormat="1" ht="20.100000000000001" customHeight="1">
      <c r="B137" s="1518"/>
      <c r="C137" s="1519"/>
      <c r="D137" s="1518"/>
      <c r="E137" s="1518"/>
      <c r="F137" s="1519"/>
      <c r="G137" s="1518"/>
      <c r="H137" s="1518"/>
      <c r="I137" s="1519"/>
      <c r="J137" s="1518"/>
      <c r="K137" s="1518"/>
      <c r="L137" s="1518"/>
      <c r="M137" s="1584"/>
      <c r="N137" s="1584"/>
    </row>
    <row r="138" spans="2:14" s="297" customFormat="1" ht="20.100000000000001" customHeight="1">
      <c r="B138" s="1518"/>
      <c r="C138" s="1519"/>
      <c r="D138" s="1518"/>
      <c r="E138" s="1518"/>
      <c r="F138" s="1519"/>
      <c r="G138" s="1518"/>
      <c r="H138" s="1518"/>
      <c r="I138" s="1519"/>
      <c r="J138" s="1518"/>
      <c r="K138" s="1518"/>
      <c r="L138" s="1518"/>
      <c r="M138" s="1584"/>
      <c r="N138" s="1584"/>
    </row>
    <row r="139" spans="2:14" s="297" customFormat="1" ht="20.100000000000001" customHeight="1">
      <c r="B139" s="1518"/>
      <c r="C139" s="1519"/>
      <c r="D139" s="1518"/>
      <c r="E139" s="1518"/>
      <c r="F139" s="1519"/>
      <c r="G139" s="1518"/>
      <c r="H139" s="1518"/>
      <c r="I139" s="1519"/>
      <c r="J139" s="1518"/>
      <c r="K139" s="1518"/>
      <c r="L139" s="1518"/>
      <c r="M139" s="1584"/>
      <c r="N139" s="1584"/>
    </row>
    <row r="140" spans="2:14" s="297" customFormat="1" ht="20.100000000000001" customHeight="1">
      <c r="B140" s="1518"/>
      <c r="C140" s="1519"/>
      <c r="D140" s="1518"/>
      <c r="E140" s="1518"/>
      <c r="F140" s="1519"/>
      <c r="G140" s="1518"/>
      <c r="H140" s="1518"/>
      <c r="I140" s="1519"/>
      <c r="J140" s="1518"/>
      <c r="K140" s="1518"/>
      <c r="L140" s="1518"/>
      <c r="M140" s="1584"/>
      <c r="N140" s="1584"/>
    </row>
    <row r="141" spans="2:14" s="297" customFormat="1" ht="20.100000000000001" customHeight="1">
      <c r="B141" s="1518"/>
      <c r="C141" s="1519"/>
      <c r="D141" s="1518"/>
      <c r="E141" s="1518"/>
      <c r="F141" s="1519"/>
      <c r="G141" s="1518"/>
      <c r="H141" s="1518"/>
      <c r="I141" s="1519"/>
      <c r="J141" s="1518"/>
      <c r="K141" s="1518"/>
      <c r="L141" s="1518"/>
      <c r="M141" s="1584"/>
      <c r="N141" s="1584"/>
    </row>
    <row r="142" spans="2:14" s="297" customFormat="1" ht="20.100000000000001" customHeight="1">
      <c r="B142" s="1518"/>
      <c r="C142" s="1519"/>
      <c r="D142" s="1518"/>
      <c r="E142" s="1518"/>
      <c r="F142" s="1519"/>
      <c r="G142" s="1518"/>
      <c r="H142" s="1518"/>
      <c r="I142" s="1519"/>
      <c r="J142" s="1518"/>
      <c r="K142" s="1518"/>
      <c r="L142" s="1518"/>
      <c r="M142" s="1584"/>
      <c r="N142" s="1584"/>
    </row>
    <row r="143" spans="2:14" s="297" customFormat="1" ht="20.100000000000001" customHeight="1">
      <c r="B143" s="1518"/>
      <c r="C143" s="1519"/>
      <c r="D143" s="1518"/>
      <c r="E143" s="1518"/>
      <c r="F143" s="1519"/>
      <c r="G143" s="1518"/>
      <c r="H143" s="1518"/>
      <c r="I143" s="1519"/>
      <c r="J143" s="1518"/>
      <c r="K143" s="1518"/>
      <c r="L143" s="1518"/>
      <c r="M143" s="1584"/>
      <c r="N143" s="1584"/>
    </row>
    <row r="144" spans="2:14" s="297" customFormat="1" ht="20.100000000000001" customHeight="1">
      <c r="B144" s="1518"/>
      <c r="C144" s="1519"/>
      <c r="D144" s="1518"/>
      <c r="E144" s="1518"/>
      <c r="F144" s="1519"/>
      <c r="G144" s="1518"/>
      <c r="H144" s="1518"/>
      <c r="I144" s="1519"/>
      <c r="J144" s="1518"/>
      <c r="K144" s="1518"/>
      <c r="L144" s="1518"/>
      <c r="M144" s="1584"/>
      <c r="N144" s="1584"/>
    </row>
    <row r="145" spans="2:14" s="297" customFormat="1" ht="20.100000000000001" customHeight="1">
      <c r="B145" s="1518"/>
      <c r="C145" s="1519"/>
      <c r="D145" s="1518"/>
      <c r="E145" s="1518"/>
      <c r="F145" s="1519"/>
      <c r="G145" s="1518"/>
      <c r="H145" s="1518"/>
      <c r="I145" s="1519"/>
      <c r="J145" s="1518"/>
      <c r="K145" s="1518"/>
      <c r="L145" s="1518"/>
      <c r="M145" s="1584"/>
      <c r="N145" s="1584"/>
    </row>
    <row r="146" spans="2:14" s="297" customFormat="1" ht="20.100000000000001" customHeight="1">
      <c r="B146" s="1518"/>
      <c r="C146" s="1519"/>
      <c r="D146" s="1518"/>
      <c r="E146" s="1518"/>
      <c r="F146" s="1519"/>
      <c r="G146" s="1518"/>
      <c r="H146" s="1518"/>
      <c r="I146" s="1519"/>
      <c r="J146" s="1518"/>
      <c r="K146" s="1518"/>
      <c r="L146" s="1518"/>
      <c r="M146" s="1584"/>
      <c r="N146" s="1584"/>
    </row>
    <row r="147" spans="2:14" s="297" customFormat="1" ht="20.100000000000001" customHeight="1">
      <c r="B147" s="1518"/>
      <c r="C147" s="1519"/>
      <c r="D147" s="1518"/>
      <c r="E147" s="1518"/>
      <c r="F147" s="1519"/>
      <c r="G147" s="1518"/>
      <c r="H147" s="1518"/>
      <c r="I147" s="1519"/>
      <c r="J147" s="1518"/>
      <c r="K147" s="1518"/>
      <c r="L147" s="1518"/>
      <c r="M147" s="1584"/>
      <c r="N147" s="1584"/>
    </row>
    <row r="148" spans="2:14" s="297" customFormat="1" ht="20.100000000000001" customHeight="1">
      <c r="B148" s="1518"/>
      <c r="C148" s="1519"/>
      <c r="D148" s="1518"/>
      <c r="E148" s="1518"/>
      <c r="F148" s="1519"/>
      <c r="G148" s="1518"/>
      <c r="H148" s="1518"/>
      <c r="I148" s="1519"/>
      <c r="J148" s="1518"/>
      <c r="K148" s="1518"/>
      <c r="L148" s="1518"/>
      <c r="M148" s="1584"/>
      <c r="N148" s="1584"/>
    </row>
    <row r="149" spans="2:14" s="297" customFormat="1" ht="20.100000000000001" customHeight="1">
      <c r="B149" s="1518"/>
      <c r="C149" s="1519"/>
      <c r="D149" s="1518"/>
      <c r="E149" s="1518"/>
      <c r="F149" s="1519"/>
      <c r="G149" s="1518"/>
      <c r="H149" s="1518"/>
      <c r="I149" s="1519"/>
      <c r="J149" s="1518"/>
      <c r="K149" s="1518"/>
      <c r="L149" s="1518"/>
      <c r="M149" s="1584"/>
      <c r="N149" s="1584"/>
    </row>
    <row r="150" spans="2:14" s="297" customFormat="1" ht="20.100000000000001" customHeight="1">
      <c r="B150" s="1518"/>
      <c r="C150" s="1519"/>
      <c r="D150" s="1518"/>
      <c r="E150" s="1518"/>
      <c r="F150" s="1519"/>
      <c r="G150" s="1518"/>
      <c r="H150" s="1518"/>
      <c r="I150" s="1519"/>
      <c r="J150" s="1518"/>
      <c r="K150" s="1518"/>
      <c r="L150" s="1518"/>
      <c r="M150" s="1584"/>
      <c r="N150" s="1584"/>
    </row>
    <row r="151" spans="2:14" s="297" customFormat="1" ht="20.100000000000001" customHeight="1">
      <c r="B151" s="1518"/>
      <c r="C151" s="1519"/>
      <c r="D151" s="1518"/>
      <c r="E151" s="1518"/>
      <c r="F151" s="1519"/>
      <c r="G151" s="1518"/>
      <c r="H151" s="1518"/>
      <c r="I151" s="1519"/>
      <c r="J151" s="1518"/>
      <c r="K151" s="1518"/>
      <c r="L151" s="1518"/>
      <c r="M151" s="1584"/>
      <c r="N151" s="1584"/>
    </row>
    <row r="152" spans="2:14" s="297" customFormat="1" ht="20.100000000000001" customHeight="1">
      <c r="B152" s="1518"/>
      <c r="C152" s="1519"/>
      <c r="D152" s="1518"/>
      <c r="E152" s="1518"/>
      <c r="F152" s="1519"/>
      <c r="G152" s="1518"/>
      <c r="H152" s="1518"/>
      <c r="I152" s="1519"/>
      <c r="J152" s="1518"/>
      <c r="K152" s="1518"/>
      <c r="L152" s="1518"/>
      <c r="M152" s="1584"/>
      <c r="N152" s="1584"/>
    </row>
    <row r="153" spans="2:14" s="297" customFormat="1" ht="20.100000000000001" customHeight="1">
      <c r="B153" s="1518"/>
      <c r="C153" s="1519"/>
      <c r="D153" s="1518"/>
      <c r="E153" s="1518"/>
      <c r="F153" s="1519"/>
      <c r="G153" s="1518"/>
      <c r="H153" s="1518"/>
      <c r="I153" s="1519"/>
      <c r="J153" s="1518"/>
      <c r="K153" s="1518"/>
      <c r="L153" s="1518"/>
      <c r="M153" s="1584"/>
      <c r="N153" s="1584"/>
    </row>
    <row r="154" spans="2:14" s="297" customFormat="1" ht="20.100000000000001" customHeight="1">
      <c r="B154" s="1518"/>
      <c r="C154" s="1519"/>
      <c r="D154" s="1518"/>
      <c r="E154" s="1518"/>
      <c r="F154" s="1519"/>
      <c r="G154" s="1518"/>
      <c r="H154" s="1518"/>
      <c r="I154" s="1519"/>
      <c r="J154" s="1518"/>
      <c r="K154" s="1518"/>
      <c r="L154" s="1518"/>
      <c r="M154" s="1584"/>
      <c r="N154" s="1584"/>
    </row>
    <row r="155" spans="2:14" s="297" customFormat="1" ht="20.100000000000001" customHeight="1">
      <c r="B155" s="1518"/>
      <c r="C155" s="1519"/>
      <c r="D155" s="1518"/>
      <c r="E155" s="1518"/>
      <c r="F155" s="1519"/>
      <c r="G155" s="1518"/>
      <c r="H155" s="1518"/>
      <c r="I155" s="1519"/>
      <c r="J155" s="1518"/>
      <c r="K155" s="1518"/>
      <c r="L155" s="1518"/>
      <c r="M155" s="1584"/>
      <c r="N155" s="1584"/>
    </row>
    <row r="156" spans="2:14" s="297" customFormat="1" ht="20.100000000000001" customHeight="1">
      <c r="B156" s="1518"/>
      <c r="C156" s="1519"/>
      <c r="D156" s="1518"/>
      <c r="E156" s="1518"/>
      <c r="F156" s="1519"/>
      <c r="G156" s="1518"/>
      <c r="H156" s="1518"/>
      <c r="I156" s="1519"/>
      <c r="J156" s="1518"/>
      <c r="K156" s="1518"/>
      <c r="L156" s="1518"/>
      <c r="M156" s="1584"/>
      <c r="N156" s="1584"/>
    </row>
    <row r="157" spans="2:14" s="297" customFormat="1" ht="20.100000000000001" customHeight="1">
      <c r="B157" s="1518"/>
      <c r="C157" s="1519"/>
      <c r="D157" s="1518"/>
      <c r="E157" s="1518"/>
      <c r="F157" s="1519"/>
      <c r="G157" s="1518"/>
      <c r="H157" s="1518"/>
      <c r="I157" s="1519"/>
      <c r="J157" s="1518"/>
      <c r="K157" s="1518"/>
      <c r="L157" s="1518"/>
      <c r="M157" s="1584"/>
      <c r="N157" s="1584"/>
    </row>
    <row r="158" spans="2:14" s="297" customFormat="1" ht="20.100000000000001" customHeight="1">
      <c r="B158" s="1518"/>
      <c r="C158" s="1519"/>
      <c r="D158" s="1518"/>
      <c r="E158" s="1518"/>
      <c r="F158" s="1519"/>
      <c r="G158" s="1518"/>
      <c r="H158" s="1518"/>
      <c r="I158" s="1519"/>
      <c r="J158" s="1518"/>
      <c r="K158" s="1518"/>
      <c r="L158" s="1518"/>
      <c r="M158" s="1584"/>
      <c r="N158" s="1584"/>
    </row>
    <row r="159" spans="2:14" s="297" customFormat="1" ht="20.100000000000001" customHeight="1">
      <c r="B159" s="1518"/>
      <c r="C159" s="1519"/>
      <c r="D159" s="1518"/>
      <c r="E159" s="1518"/>
      <c r="F159" s="1519"/>
      <c r="G159" s="1518"/>
      <c r="H159" s="1518"/>
      <c r="I159" s="1519"/>
      <c r="J159" s="1518"/>
      <c r="K159" s="1518"/>
      <c r="L159" s="1518"/>
      <c r="M159" s="1584"/>
      <c r="N159" s="1584"/>
    </row>
    <row r="160" spans="2:14" s="297" customFormat="1" ht="20.100000000000001" customHeight="1">
      <c r="B160" s="1518"/>
      <c r="C160" s="1519"/>
      <c r="D160" s="1518"/>
      <c r="E160" s="1518"/>
      <c r="F160" s="1519"/>
      <c r="G160" s="1518"/>
      <c r="H160" s="1518"/>
      <c r="I160" s="1519"/>
      <c r="J160" s="1518"/>
      <c r="K160" s="1518"/>
      <c r="L160" s="1518"/>
      <c r="M160" s="1584"/>
      <c r="N160" s="1584"/>
    </row>
    <row r="161" spans="2:14" s="297" customFormat="1" ht="20.100000000000001" customHeight="1">
      <c r="B161" s="1518"/>
      <c r="C161" s="1519"/>
      <c r="D161" s="1518"/>
      <c r="E161" s="1518"/>
      <c r="F161" s="1519"/>
      <c r="G161" s="1518"/>
      <c r="H161" s="1518"/>
      <c r="I161" s="1519"/>
      <c r="J161" s="1518"/>
      <c r="K161" s="1518"/>
      <c r="L161" s="1518"/>
      <c r="M161" s="1584"/>
      <c r="N161" s="1584"/>
    </row>
    <row r="162" spans="2:14" s="297" customFormat="1" ht="20.100000000000001" customHeight="1">
      <c r="B162" s="1518"/>
      <c r="C162" s="1519"/>
      <c r="D162" s="1518"/>
      <c r="E162" s="1518"/>
      <c r="F162" s="1519"/>
      <c r="G162" s="1518"/>
      <c r="H162" s="1518"/>
      <c r="I162" s="1519"/>
      <c r="J162" s="1518"/>
      <c r="K162" s="1518"/>
      <c r="L162" s="1518"/>
      <c r="M162" s="1584"/>
      <c r="N162" s="1584"/>
    </row>
    <row r="163" spans="2:14" s="297" customFormat="1" ht="20.100000000000001" customHeight="1">
      <c r="B163" s="1518"/>
      <c r="C163" s="1519"/>
      <c r="D163" s="1518"/>
      <c r="E163" s="1518"/>
      <c r="F163" s="1519"/>
      <c r="G163" s="1518"/>
      <c r="H163" s="1518"/>
      <c r="I163" s="1519"/>
      <c r="J163" s="1518"/>
      <c r="K163" s="1518"/>
      <c r="L163" s="1518"/>
      <c r="M163" s="1584"/>
      <c r="N163" s="1584"/>
    </row>
    <row r="164" spans="2:14" s="297" customFormat="1" ht="20.100000000000001" customHeight="1">
      <c r="B164" s="1518"/>
      <c r="C164" s="1519"/>
      <c r="D164" s="1518"/>
      <c r="E164" s="1518"/>
      <c r="F164" s="1519"/>
      <c r="G164" s="1518"/>
      <c r="H164" s="1518"/>
      <c r="I164" s="1519"/>
      <c r="J164" s="1518"/>
      <c r="K164" s="1518"/>
      <c r="L164" s="1518"/>
      <c r="M164" s="1584"/>
      <c r="N164" s="1584"/>
    </row>
    <row r="165" spans="2:14" s="297" customFormat="1" ht="20.100000000000001" customHeight="1">
      <c r="B165" s="1518"/>
      <c r="C165" s="1519"/>
      <c r="D165" s="1518"/>
      <c r="E165" s="1518"/>
      <c r="F165" s="1519"/>
      <c r="G165" s="1518"/>
      <c r="H165" s="1518"/>
      <c r="I165" s="1519"/>
      <c r="J165" s="1518"/>
      <c r="K165" s="1518"/>
      <c r="L165" s="1518"/>
      <c r="M165" s="1584"/>
      <c r="N165" s="1584"/>
    </row>
    <row r="166" spans="2:14" s="297" customFormat="1" ht="20.100000000000001" customHeight="1">
      <c r="B166" s="1518"/>
      <c r="C166" s="1519"/>
      <c r="D166" s="1518"/>
      <c r="E166" s="1518"/>
      <c r="F166" s="1519"/>
      <c r="G166" s="1518"/>
      <c r="H166" s="1518"/>
      <c r="I166" s="1519"/>
      <c r="J166" s="1518"/>
      <c r="K166" s="1518"/>
      <c r="L166" s="1518"/>
      <c r="M166" s="1584"/>
      <c r="N166" s="1584"/>
    </row>
    <row r="167" spans="2:14" s="297" customFormat="1" ht="20.100000000000001" customHeight="1">
      <c r="B167" s="1518"/>
      <c r="C167" s="1519"/>
      <c r="D167" s="1518"/>
      <c r="E167" s="1518"/>
      <c r="F167" s="1519"/>
      <c r="G167" s="1518"/>
      <c r="H167" s="1518"/>
      <c r="I167" s="1519"/>
      <c r="J167" s="1518"/>
      <c r="K167" s="1518"/>
      <c r="L167" s="1518"/>
      <c r="M167" s="1584"/>
      <c r="N167" s="1584"/>
    </row>
    <row r="168" spans="2:14" s="297" customFormat="1" ht="20.100000000000001" customHeight="1">
      <c r="B168" s="1518"/>
      <c r="C168" s="1519"/>
      <c r="D168" s="1518"/>
      <c r="E168" s="1518"/>
      <c r="F168" s="1519"/>
      <c r="G168" s="1518"/>
      <c r="H168" s="1518"/>
      <c r="I168" s="1519"/>
      <c r="J168" s="1518"/>
      <c r="K168" s="1518"/>
      <c r="L168" s="1518"/>
      <c r="M168" s="1584"/>
      <c r="N168" s="1584"/>
    </row>
    <row r="169" spans="2:14" s="297" customFormat="1" ht="20.100000000000001" customHeight="1">
      <c r="B169" s="1518"/>
      <c r="C169" s="1519"/>
      <c r="D169" s="1518"/>
      <c r="E169" s="1518"/>
      <c r="F169" s="1519"/>
      <c r="G169" s="1518"/>
      <c r="H169" s="1518"/>
      <c r="I169" s="1519"/>
      <c r="J169" s="1518"/>
      <c r="K169" s="1518"/>
      <c r="L169" s="1518"/>
      <c r="M169" s="1584"/>
      <c r="N169" s="1584"/>
    </row>
    <row r="170" spans="2:14" s="297" customFormat="1" ht="20.100000000000001" customHeight="1">
      <c r="B170" s="1518"/>
      <c r="C170" s="1519"/>
      <c r="D170" s="1518"/>
      <c r="E170" s="1518"/>
      <c r="F170" s="1519"/>
      <c r="G170" s="1518"/>
      <c r="H170" s="1518"/>
      <c r="I170" s="1519"/>
      <c r="J170" s="1518"/>
      <c r="K170" s="1518"/>
      <c r="L170" s="1518"/>
      <c r="M170" s="1584"/>
      <c r="N170" s="1584"/>
    </row>
    <row r="171" spans="2:14" s="297" customFormat="1" ht="20.100000000000001" customHeight="1">
      <c r="B171" s="1518"/>
      <c r="C171" s="1519"/>
      <c r="D171" s="1518"/>
      <c r="E171" s="1518"/>
      <c r="F171" s="1519"/>
      <c r="G171" s="1518"/>
      <c r="H171" s="1518"/>
      <c r="I171" s="1519"/>
      <c r="J171" s="1518"/>
      <c r="K171" s="1518"/>
      <c r="L171" s="1518"/>
      <c r="M171" s="1584"/>
      <c r="N171" s="1584"/>
    </row>
    <row r="172" spans="2:14" s="297" customFormat="1" ht="20.100000000000001" customHeight="1">
      <c r="B172" s="1518"/>
      <c r="C172" s="1519"/>
      <c r="D172" s="1518"/>
      <c r="E172" s="1518"/>
      <c r="F172" s="1519"/>
      <c r="G172" s="1518"/>
      <c r="H172" s="1518"/>
      <c r="I172" s="1519"/>
      <c r="J172" s="1518"/>
      <c r="K172" s="1518"/>
      <c r="L172" s="1518"/>
      <c r="M172" s="1584"/>
      <c r="N172" s="1584"/>
    </row>
    <row r="173" spans="2:14" s="297" customFormat="1" ht="20.100000000000001" customHeight="1">
      <c r="B173" s="1518"/>
      <c r="C173" s="1519"/>
      <c r="D173" s="1518"/>
      <c r="E173" s="1518"/>
      <c r="F173" s="1519"/>
      <c r="G173" s="1518"/>
      <c r="H173" s="1518"/>
      <c r="I173" s="1519"/>
      <c r="J173" s="1518"/>
      <c r="K173" s="1518"/>
      <c r="L173" s="1518"/>
      <c r="M173" s="1584"/>
      <c r="N173" s="1584"/>
    </row>
    <row r="174" spans="2:14" s="297" customFormat="1" ht="20.100000000000001" customHeight="1">
      <c r="B174" s="1518"/>
      <c r="C174" s="1519"/>
      <c r="D174" s="1518"/>
      <c r="E174" s="1518"/>
      <c r="F174" s="1519"/>
      <c r="G174" s="1518"/>
      <c r="H174" s="1518"/>
      <c r="I174" s="1519"/>
      <c r="J174" s="1518"/>
      <c r="K174" s="1518"/>
      <c r="L174" s="1518"/>
      <c r="M174" s="1584"/>
      <c r="N174" s="1584"/>
    </row>
    <row r="175" spans="2:14" s="297" customFormat="1" ht="20.100000000000001" customHeight="1">
      <c r="B175" s="1518"/>
      <c r="C175" s="1519"/>
      <c r="D175" s="1518"/>
      <c r="E175" s="1518"/>
      <c r="F175" s="1519"/>
      <c r="G175" s="1518"/>
      <c r="H175" s="1518"/>
      <c r="I175" s="1519"/>
      <c r="J175" s="1518"/>
      <c r="K175" s="1518"/>
      <c r="L175" s="1518"/>
      <c r="M175" s="1584"/>
      <c r="N175" s="1584"/>
    </row>
    <row r="176" spans="2:14" s="297" customFormat="1" ht="20.100000000000001" customHeight="1">
      <c r="B176" s="1518"/>
      <c r="C176" s="1519"/>
      <c r="D176" s="1518"/>
      <c r="E176" s="1518"/>
      <c r="F176" s="1519"/>
      <c r="G176" s="1518"/>
      <c r="H176" s="1518"/>
      <c r="I176" s="1519"/>
      <c r="J176" s="1518"/>
      <c r="K176" s="1518"/>
      <c r="L176" s="1518"/>
      <c r="M176" s="1584"/>
      <c r="N176" s="1584"/>
    </row>
    <row r="177" spans="2:14" s="297" customFormat="1" ht="20.100000000000001" customHeight="1">
      <c r="B177" s="1518"/>
      <c r="C177" s="1519"/>
      <c r="D177" s="1518"/>
      <c r="E177" s="1518"/>
      <c r="F177" s="1519"/>
      <c r="G177" s="1518"/>
      <c r="H177" s="1518"/>
      <c r="I177" s="1519"/>
      <c r="J177" s="1518"/>
      <c r="K177" s="1518"/>
      <c r="L177" s="1518"/>
      <c r="M177" s="1584"/>
      <c r="N177" s="1584"/>
    </row>
    <row r="178" spans="2:14" s="297" customFormat="1" ht="20.100000000000001" customHeight="1">
      <c r="B178" s="1518"/>
      <c r="C178" s="1519"/>
      <c r="D178" s="1518"/>
      <c r="E178" s="1518"/>
      <c r="F178" s="1519"/>
      <c r="G178" s="1518"/>
      <c r="H178" s="1518"/>
      <c r="I178" s="1519"/>
      <c r="J178" s="1518"/>
      <c r="K178" s="1518"/>
      <c r="L178" s="1518"/>
      <c r="M178" s="1584"/>
      <c r="N178" s="1584"/>
    </row>
    <row r="179" spans="2:14" s="297" customFormat="1" ht="20.100000000000001" customHeight="1">
      <c r="B179" s="1518"/>
      <c r="C179" s="1519"/>
      <c r="D179" s="1518"/>
      <c r="E179" s="1518"/>
      <c r="F179" s="1519"/>
      <c r="G179" s="1518"/>
      <c r="H179" s="1518"/>
      <c r="I179" s="1519"/>
      <c r="J179" s="1518"/>
      <c r="K179" s="1518"/>
      <c r="L179" s="1518"/>
      <c r="M179" s="1584"/>
      <c r="N179" s="1584"/>
    </row>
    <row r="180" spans="2:14" s="297" customFormat="1" ht="20.100000000000001" customHeight="1">
      <c r="B180" s="1518"/>
      <c r="C180" s="1519"/>
      <c r="D180" s="1518"/>
      <c r="E180" s="1518"/>
      <c r="F180" s="1519"/>
      <c r="G180" s="1518"/>
      <c r="H180" s="1518"/>
      <c r="I180" s="1519"/>
      <c r="J180" s="1518"/>
      <c r="K180" s="1518"/>
      <c r="L180" s="1518"/>
      <c r="M180" s="1584"/>
      <c r="N180" s="1584"/>
    </row>
    <row r="181" spans="2:14" s="297" customFormat="1" ht="20.100000000000001" customHeight="1">
      <c r="B181" s="1518"/>
      <c r="C181" s="1519"/>
      <c r="D181" s="1518"/>
      <c r="E181" s="1518"/>
      <c r="F181" s="1519"/>
      <c r="G181" s="1518"/>
      <c r="H181" s="1518"/>
      <c r="I181" s="1519"/>
      <c r="J181" s="1518"/>
      <c r="K181" s="1518"/>
      <c r="L181" s="1518"/>
      <c r="M181" s="1584"/>
      <c r="N181" s="1584"/>
    </row>
    <row r="182" spans="2:14" s="297" customFormat="1" ht="20.100000000000001" customHeight="1">
      <c r="B182" s="1518"/>
      <c r="C182" s="1519"/>
      <c r="D182" s="1518"/>
      <c r="E182" s="1518"/>
      <c r="F182" s="1519"/>
      <c r="G182" s="1518"/>
      <c r="H182" s="1518"/>
      <c r="I182" s="1519"/>
      <c r="J182" s="1518"/>
      <c r="K182" s="1518"/>
      <c r="L182" s="1518"/>
      <c r="M182" s="1584"/>
      <c r="N182" s="1584"/>
    </row>
    <row r="183" spans="2:14" s="297" customFormat="1" ht="20.100000000000001" customHeight="1">
      <c r="B183" s="1518"/>
      <c r="C183" s="1519"/>
      <c r="D183" s="1518"/>
      <c r="E183" s="1518"/>
      <c r="F183" s="1519"/>
      <c r="G183" s="1518"/>
      <c r="H183" s="1518"/>
      <c r="I183" s="1519"/>
      <c r="J183" s="1518"/>
      <c r="K183" s="1518"/>
      <c r="L183" s="1518"/>
      <c r="M183" s="1584"/>
      <c r="N183" s="1584"/>
    </row>
    <row r="184" spans="2:14" s="297" customFormat="1" ht="20.100000000000001" customHeight="1">
      <c r="B184" s="1518"/>
      <c r="C184" s="1519"/>
      <c r="D184" s="1518"/>
      <c r="E184" s="1518"/>
      <c r="F184" s="1519"/>
      <c r="G184" s="1518"/>
      <c r="H184" s="1518"/>
      <c r="I184" s="1519"/>
      <c r="J184" s="1518"/>
      <c r="K184" s="1518"/>
      <c r="L184" s="1518"/>
      <c r="M184" s="1584"/>
      <c r="N184" s="1584"/>
    </row>
    <row r="185" spans="2:14" s="297" customFormat="1" ht="20.100000000000001" customHeight="1">
      <c r="B185" s="1518"/>
      <c r="C185" s="1519"/>
      <c r="D185" s="1518"/>
      <c r="E185" s="1518"/>
      <c r="F185" s="1519"/>
      <c r="G185" s="1518"/>
      <c r="H185" s="1518"/>
      <c r="I185" s="1519"/>
      <c r="J185" s="1518"/>
      <c r="K185" s="1518"/>
      <c r="L185" s="1518"/>
      <c r="M185" s="1584"/>
      <c r="N185" s="1584"/>
    </row>
    <row r="186" spans="2:14" s="297" customFormat="1" ht="20.100000000000001" customHeight="1">
      <c r="B186" s="1518"/>
      <c r="C186" s="1519"/>
      <c r="D186" s="1518"/>
      <c r="E186" s="1518"/>
      <c r="F186" s="1519"/>
      <c r="G186" s="1518"/>
      <c r="H186" s="1518"/>
      <c r="I186" s="1519"/>
      <c r="J186" s="1518"/>
      <c r="K186" s="1518"/>
      <c r="L186" s="1518"/>
      <c r="M186" s="1584"/>
      <c r="N186" s="1584"/>
    </row>
    <row r="187" spans="2:14" s="297" customFormat="1" ht="20.100000000000001" customHeight="1">
      <c r="B187" s="1518"/>
      <c r="C187" s="1519"/>
      <c r="D187" s="1518"/>
      <c r="E187" s="1518"/>
      <c r="F187" s="1519"/>
      <c r="G187" s="1518"/>
      <c r="H187" s="1518"/>
      <c r="I187" s="1519"/>
      <c r="J187" s="1518"/>
      <c r="K187" s="1518"/>
      <c r="L187" s="1518"/>
      <c r="M187" s="1584"/>
      <c r="N187" s="1584"/>
    </row>
    <row r="188" spans="2:14" s="297" customFormat="1" ht="20.100000000000001" customHeight="1">
      <c r="B188" s="1518"/>
      <c r="C188" s="1519"/>
      <c r="D188" s="1518"/>
      <c r="E188" s="1518"/>
      <c r="F188" s="1519"/>
      <c r="G188" s="1518"/>
      <c r="H188" s="1518"/>
      <c r="I188" s="1519"/>
      <c r="J188" s="1518"/>
      <c r="K188" s="1518"/>
      <c r="L188" s="1518"/>
      <c r="M188" s="1584"/>
      <c r="N188" s="1584"/>
    </row>
    <row r="189" spans="2:14" s="297" customFormat="1" ht="20.100000000000001" customHeight="1">
      <c r="B189" s="1518"/>
      <c r="C189" s="1519"/>
      <c r="D189" s="1518"/>
      <c r="E189" s="1518"/>
      <c r="F189" s="1519"/>
      <c r="G189" s="1518"/>
      <c r="H189" s="1518"/>
      <c r="I189" s="1519"/>
      <c r="J189" s="1518"/>
      <c r="K189" s="1518"/>
      <c r="L189" s="1518"/>
      <c r="M189" s="1584"/>
      <c r="N189" s="1584"/>
    </row>
    <row r="190" spans="2:14" s="297" customFormat="1" ht="20.100000000000001" customHeight="1">
      <c r="B190" s="1518"/>
      <c r="C190" s="1519"/>
      <c r="D190" s="1518"/>
      <c r="E190" s="1518"/>
      <c r="F190" s="1519"/>
      <c r="G190" s="1518"/>
      <c r="H190" s="1518"/>
      <c r="I190" s="1519"/>
      <c r="J190" s="1518"/>
      <c r="K190" s="1518"/>
      <c r="L190" s="1518"/>
      <c r="M190" s="1584"/>
      <c r="N190" s="1584"/>
    </row>
    <row r="191" spans="2:14" s="297" customFormat="1" ht="20.100000000000001" customHeight="1">
      <c r="B191" s="1518"/>
      <c r="C191" s="1519"/>
      <c r="D191" s="1518"/>
      <c r="E191" s="1518"/>
      <c r="F191" s="1519"/>
      <c r="G191" s="1518"/>
      <c r="H191" s="1518"/>
      <c r="I191" s="1519"/>
      <c r="J191" s="1518"/>
      <c r="K191" s="1518"/>
      <c r="L191" s="1518"/>
      <c r="M191" s="1584"/>
      <c r="N191" s="1584"/>
    </row>
    <row r="192" spans="2:14" s="297" customFormat="1" ht="20.100000000000001" customHeight="1">
      <c r="B192" s="1518"/>
      <c r="C192" s="1519"/>
      <c r="D192" s="1518"/>
      <c r="E192" s="1518"/>
      <c r="F192" s="1519"/>
      <c r="G192" s="1518"/>
      <c r="H192" s="1518"/>
      <c r="I192" s="1519"/>
      <c r="J192" s="1518"/>
      <c r="K192" s="1518"/>
      <c r="L192" s="1518"/>
      <c r="M192" s="1584"/>
      <c r="N192" s="1584"/>
    </row>
    <row r="193" spans="2:14" s="297" customFormat="1" ht="20.100000000000001" customHeight="1">
      <c r="B193" s="1518"/>
      <c r="C193" s="1519"/>
      <c r="D193" s="1518"/>
      <c r="E193" s="1518"/>
      <c r="F193" s="1519"/>
      <c r="G193" s="1518"/>
      <c r="H193" s="1518"/>
      <c r="I193" s="1519"/>
      <c r="J193" s="1518"/>
      <c r="K193" s="1518"/>
      <c r="L193" s="1518"/>
      <c r="M193" s="1584"/>
      <c r="N193" s="1584"/>
    </row>
    <row r="194" spans="2:14" s="297" customFormat="1" ht="20.100000000000001" customHeight="1">
      <c r="B194" s="1518"/>
      <c r="C194" s="1519"/>
      <c r="D194" s="1518"/>
      <c r="E194" s="1518"/>
      <c r="F194" s="1519"/>
      <c r="G194" s="1518"/>
      <c r="H194" s="1518"/>
      <c r="I194" s="1519"/>
      <c r="J194" s="1518"/>
      <c r="K194" s="1518"/>
      <c r="L194" s="1518"/>
      <c r="M194" s="1584"/>
      <c r="N194" s="1584"/>
    </row>
    <row r="195" spans="2:14" s="297" customFormat="1" ht="20.100000000000001" customHeight="1">
      <c r="B195" s="1518"/>
      <c r="C195" s="1519"/>
      <c r="D195" s="1518"/>
      <c r="E195" s="1518"/>
      <c r="F195" s="1519"/>
      <c r="G195" s="1518"/>
      <c r="H195" s="1518"/>
      <c r="I195" s="1519"/>
      <c r="J195" s="1518"/>
      <c r="K195" s="1518"/>
      <c r="L195" s="1518"/>
      <c r="M195" s="1584"/>
      <c r="N195" s="1584"/>
    </row>
    <row r="196" spans="2:14" s="297" customFormat="1" ht="20.100000000000001" customHeight="1">
      <c r="B196" s="1518"/>
      <c r="C196" s="1519"/>
      <c r="D196" s="1518"/>
      <c r="E196" s="1518"/>
      <c r="F196" s="1519"/>
      <c r="G196" s="1518"/>
      <c r="H196" s="1518"/>
      <c r="I196" s="1519"/>
      <c r="J196" s="1518"/>
      <c r="K196" s="1518"/>
      <c r="L196" s="1518"/>
      <c r="M196" s="1584"/>
      <c r="N196" s="1584"/>
    </row>
    <row r="197" spans="2:14" s="297" customFormat="1" ht="20.100000000000001" customHeight="1">
      <c r="B197" s="1518"/>
      <c r="C197" s="1519"/>
      <c r="D197" s="1518"/>
      <c r="E197" s="1518"/>
      <c r="F197" s="1519"/>
      <c r="G197" s="1518"/>
      <c r="H197" s="1518"/>
      <c r="I197" s="1519"/>
      <c r="J197" s="1518"/>
      <c r="K197" s="1518"/>
      <c r="L197" s="1518"/>
      <c r="M197" s="1584"/>
      <c r="N197" s="1584"/>
    </row>
    <row r="198" spans="2:14" s="297" customFormat="1" ht="20.100000000000001" customHeight="1">
      <c r="B198" s="1518"/>
      <c r="C198" s="1519"/>
      <c r="D198" s="1518"/>
      <c r="E198" s="1518"/>
      <c r="F198" s="1519"/>
      <c r="G198" s="1518"/>
      <c r="H198" s="1518"/>
      <c r="I198" s="1519"/>
      <c r="J198" s="1518"/>
      <c r="K198" s="1518"/>
      <c r="L198" s="1518"/>
      <c r="M198" s="1584"/>
      <c r="N198" s="1584"/>
    </row>
    <row r="199" spans="2:14" s="297" customFormat="1" ht="20.100000000000001" customHeight="1">
      <c r="B199" s="1518"/>
      <c r="C199" s="1519"/>
      <c r="D199" s="1518"/>
      <c r="E199" s="1518"/>
      <c r="F199" s="1519"/>
      <c r="G199" s="1518"/>
      <c r="H199" s="1518"/>
      <c r="I199" s="1519"/>
      <c r="J199" s="1518"/>
      <c r="K199" s="1518"/>
      <c r="L199" s="1518"/>
      <c r="M199" s="1584"/>
      <c r="N199" s="1584"/>
    </row>
    <row r="200" spans="2:14" s="297" customFormat="1" ht="20.100000000000001" customHeight="1">
      <c r="B200" s="1518"/>
      <c r="C200" s="1519"/>
      <c r="D200" s="1518"/>
      <c r="E200" s="1518"/>
      <c r="F200" s="1519"/>
      <c r="G200" s="1518"/>
      <c r="H200" s="1518"/>
      <c r="I200" s="1519"/>
      <c r="J200" s="1518"/>
      <c r="K200" s="1518"/>
      <c r="L200" s="1518"/>
      <c r="M200" s="1584"/>
      <c r="N200" s="1584"/>
    </row>
    <row r="201" spans="2:14" s="297" customFormat="1" ht="20.100000000000001" customHeight="1">
      <c r="B201" s="1518"/>
      <c r="C201" s="1519"/>
      <c r="D201" s="1518"/>
      <c r="E201" s="1518"/>
      <c r="F201" s="1519"/>
      <c r="G201" s="1518"/>
      <c r="H201" s="1518"/>
      <c r="I201" s="1519"/>
      <c r="J201" s="1518"/>
      <c r="K201" s="1518"/>
      <c r="L201" s="1518"/>
      <c r="M201" s="1584"/>
      <c r="N201" s="1584"/>
    </row>
    <row r="202" spans="2:14" s="297" customFormat="1" ht="20.100000000000001" customHeight="1">
      <c r="B202" s="1518"/>
      <c r="C202" s="1519"/>
      <c r="D202" s="1518"/>
      <c r="E202" s="1518"/>
      <c r="F202" s="1519"/>
      <c r="G202" s="1518"/>
      <c r="H202" s="1518"/>
      <c r="I202" s="1519"/>
      <c r="J202" s="1518"/>
      <c r="K202" s="1518"/>
      <c r="L202" s="1518"/>
      <c r="M202" s="1584"/>
      <c r="N202" s="1584"/>
    </row>
    <row r="203" spans="2:14" s="297" customFormat="1" ht="20.100000000000001" customHeight="1">
      <c r="B203" s="1518"/>
      <c r="C203" s="1519"/>
      <c r="D203" s="1518"/>
      <c r="E203" s="1518"/>
      <c r="F203" s="1519"/>
      <c r="G203" s="1518"/>
      <c r="H203" s="1518"/>
      <c r="I203" s="1519"/>
      <c r="J203" s="1518"/>
      <c r="K203" s="1518"/>
      <c r="L203" s="1518"/>
      <c r="M203" s="1584"/>
      <c r="N203" s="1584"/>
    </row>
    <row r="204" spans="2:14" s="297" customFormat="1" ht="20.100000000000001" customHeight="1">
      <c r="B204" s="1518"/>
      <c r="C204" s="1519"/>
      <c r="D204" s="1518"/>
      <c r="E204" s="1518"/>
      <c r="F204" s="1519"/>
      <c r="G204" s="1518"/>
      <c r="H204" s="1518"/>
      <c r="I204" s="1519"/>
      <c r="J204" s="1518"/>
      <c r="K204" s="1518"/>
      <c r="L204" s="1518"/>
      <c r="M204" s="1584"/>
      <c r="N204" s="1584"/>
    </row>
    <row r="205" spans="2:14" s="297" customFormat="1" ht="20.100000000000001" customHeight="1">
      <c r="B205" s="1518"/>
      <c r="C205" s="1519"/>
      <c r="D205" s="1518"/>
      <c r="E205" s="1518"/>
      <c r="F205" s="1519"/>
      <c r="G205" s="1518"/>
      <c r="H205" s="1518"/>
      <c r="I205" s="1519"/>
      <c r="J205" s="1518"/>
      <c r="K205" s="1518"/>
      <c r="L205" s="1518"/>
      <c r="M205" s="1584"/>
      <c r="N205" s="1584"/>
    </row>
    <row r="206" spans="2:14" s="297" customFormat="1" ht="20.100000000000001" customHeight="1">
      <c r="B206" s="1518"/>
      <c r="C206" s="1519"/>
      <c r="D206" s="1518"/>
      <c r="E206" s="1518"/>
      <c r="F206" s="1519"/>
      <c r="G206" s="1518"/>
      <c r="H206" s="1518"/>
      <c r="I206" s="1519"/>
      <c r="J206" s="1518"/>
      <c r="K206" s="1518"/>
      <c r="L206" s="1518"/>
      <c r="M206" s="1584"/>
      <c r="N206" s="1584"/>
    </row>
    <row r="207" spans="2:14" s="297" customFormat="1" ht="20.100000000000001" customHeight="1">
      <c r="B207" s="1518"/>
      <c r="C207" s="1519"/>
      <c r="D207" s="1518"/>
      <c r="E207" s="1518"/>
      <c r="F207" s="1519"/>
      <c r="G207" s="1518"/>
      <c r="H207" s="1518"/>
      <c r="I207" s="1519"/>
      <c r="J207" s="1518"/>
      <c r="K207" s="1518"/>
      <c r="L207" s="1518"/>
      <c r="M207" s="1584"/>
      <c r="N207" s="1584"/>
    </row>
    <row r="208" spans="2:14" s="297" customFormat="1" ht="20.100000000000001" customHeight="1">
      <c r="B208" s="1518"/>
      <c r="C208" s="1519"/>
      <c r="D208" s="1518"/>
      <c r="E208" s="1518"/>
      <c r="F208" s="1519"/>
      <c r="G208" s="1518"/>
      <c r="H208" s="1518"/>
      <c r="I208" s="1519"/>
      <c r="J208" s="1518"/>
      <c r="K208" s="1518"/>
      <c r="L208" s="1518"/>
      <c r="M208" s="1584"/>
      <c r="N208" s="1584"/>
    </row>
    <row r="209" spans="2:14" s="297" customFormat="1" ht="20.100000000000001" customHeight="1">
      <c r="B209" s="1518"/>
      <c r="C209" s="1519"/>
      <c r="D209" s="1518"/>
      <c r="E209" s="1518"/>
      <c r="F209" s="1519"/>
      <c r="G209" s="1518"/>
      <c r="H209" s="1518"/>
      <c r="I209" s="1519"/>
      <c r="J209" s="1518"/>
      <c r="K209" s="1518"/>
      <c r="L209" s="1518"/>
      <c r="M209" s="1584"/>
      <c r="N209" s="1584"/>
    </row>
    <row r="210" spans="2:14" s="297" customFormat="1" ht="20.100000000000001" customHeight="1">
      <c r="B210" s="1518"/>
      <c r="C210" s="1519"/>
      <c r="D210" s="1518"/>
      <c r="E210" s="1518"/>
      <c r="F210" s="1519"/>
      <c r="G210" s="1518"/>
      <c r="H210" s="1518"/>
      <c r="I210" s="1519"/>
      <c r="J210" s="1518"/>
      <c r="K210" s="1518"/>
      <c r="L210" s="1518"/>
      <c r="M210" s="1584"/>
      <c r="N210" s="1584"/>
    </row>
    <row r="211" spans="2:14" s="297" customFormat="1" ht="20.100000000000001" customHeight="1">
      <c r="B211" s="1518"/>
      <c r="C211" s="1519"/>
      <c r="D211" s="1518"/>
      <c r="E211" s="1518"/>
      <c r="F211" s="1519"/>
      <c r="G211" s="1518"/>
      <c r="H211" s="1518"/>
      <c r="I211" s="1519"/>
      <c r="J211" s="1518"/>
      <c r="K211" s="1518"/>
      <c r="L211" s="1518"/>
      <c r="M211" s="1584"/>
      <c r="N211" s="1584"/>
    </row>
    <row r="212" spans="2:14" s="297" customFormat="1" ht="20.100000000000001" customHeight="1">
      <c r="B212" s="1518"/>
      <c r="C212" s="1519"/>
      <c r="D212" s="1518"/>
      <c r="E212" s="1518"/>
      <c r="F212" s="1519"/>
      <c r="G212" s="1518"/>
      <c r="H212" s="1518"/>
      <c r="I212" s="1519"/>
      <c r="J212" s="1518"/>
      <c r="K212" s="1518"/>
      <c r="L212" s="1518"/>
      <c r="M212" s="1584"/>
      <c r="N212" s="1584"/>
    </row>
    <row r="213" spans="2:14" s="297" customFormat="1" ht="20.100000000000001" customHeight="1">
      <c r="B213" s="1518"/>
      <c r="C213" s="1519"/>
      <c r="D213" s="1518"/>
      <c r="E213" s="1518"/>
      <c r="F213" s="1519"/>
      <c r="G213" s="1518"/>
      <c r="H213" s="1518"/>
      <c r="I213" s="1519"/>
      <c r="J213" s="1518"/>
      <c r="K213" s="1518"/>
      <c r="L213" s="1518"/>
      <c r="M213" s="1584"/>
      <c r="N213" s="1584"/>
    </row>
    <row r="214" spans="2:14" s="297" customFormat="1" ht="20.100000000000001" customHeight="1">
      <c r="B214" s="1518"/>
      <c r="C214" s="1519"/>
      <c r="D214" s="1518"/>
      <c r="E214" s="1518"/>
      <c r="F214" s="1519"/>
      <c r="G214" s="1518"/>
      <c r="H214" s="1518"/>
      <c r="I214" s="1519"/>
      <c r="J214" s="1518"/>
      <c r="K214" s="1518"/>
      <c r="L214" s="1518"/>
      <c r="M214" s="1584"/>
      <c r="N214" s="1584"/>
    </row>
    <row r="215" spans="2:14" s="297" customFormat="1" ht="20.100000000000001" customHeight="1">
      <c r="B215" s="1518"/>
      <c r="C215" s="1519"/>
      <c r="D215" s="1518"/>
      <c r="E215" s="1518"/>
      <c r="F215" s="1519"/>
      <c r="G215" s="1518"/>
      <c r="H215" s="1518"/>
      <c r="I215" s="1519"/>
      <c r="J215" s="1518"/>
      <c r="K215" s="1518"/>
      <c r="L215" s="1518"/>
      <c r="M215" s="1584"/>
      <c r="N215" s="1584"/>
    </row>
    <row r="216" spans="2:14" s="297" customFormat="1" ht="20.100000000000001" customHeight="1">
      <c r="B216" s="1518"/>
      <c r="C216" s="1519"/>
      <c r="D216" s="1518"/>
      <c r="E216" s="1518"/>
      <c r="F216" s="1519"/>
      <c r="G216" s="1518"/>
      <c r="H216" s="1518"/>
      <c r="I216" s="1519"/>
      <c r="J216" s="1518"/>
      <c r="K216" s="1518"/>
      <c r="L216" s="1518"/>
      <c r="M216" s="1584"/>
      <c r="N216" s="1584"/>
    </row>
    <row r="217" spans="2:14" s="297" customFormat="1" ht="20.100000000000001" customHeight="1">
      <c r="B217" s="1518"/>
      <c r="C217" s="1519"/>
      <c r="D217" s="1518"/>
      <c r="E217" s="1518"/>
      <c r="F217" s="1519"/>
      <c r="G217" s="1518"/>
      <c r="H217" s="1518"/>
      <c r="I217" s="1519"/>
      <c r="J217" s="1518"/>
      <c r="K217" s="1518"/>
      <c r="L217" s="1518"/>
      <c r="M217" s="1584"/>
      <c r="N217" s="1584"/>
    </row>
    <row r="218" spans="2:14" s="297" customFormat="1" ht="20.100000000000001" customHeight="1">
      <c r="B218" s="1518"/>
      <c r="C218" s="1519"/>
      <c r="D218" s="1518"/>
      <c r="E218" s="1518"/>
      <c r="F218" s="1519"/>
      <c r="G218" s="1518"/>
      <c r="H218" s="1518"/>
      <c r="I218" s="1519"/>
      <c r="J218" s="1518"/>
      <c r="K218" s="1518"/>
      <c r="L218" s="1518"/>
      <c r="M218" s="1584"/>
      <c r="N218" s="1584"/>
    </row>
    <row r="219" spans="2:14" s="297" customFormat="1" ht="20.100000000000001" customHeight="1">
      <c r="B219" s="1518"/>
      <c r="C219" s="1519"/>
      <c r="D219" s="1518"/>
      <c r="E219" s="1518"/>
      <c r="F219" s="1519"/>
      <c r="G219" s="1518"/>
      <c r="H219" s="1518"/>
      <c r="I219" s="1519"/>
      <c r="J219" s="1518"/>
      <c r="K219" s="1518"/>
      <c r="L219" s="1518"/>
      <c r="M219" s="1584"/>
      <c r="N219" s="1584"/>
    </row>
    <row r="220" spans="2:14" s="297" customFormat="1" ht="20.100000000000001" customHeight="1">
      <c r="B220" s="1518"/>
      <c r="C220" s="1519"/>
      <c r="D220" s="1518"/>
      <c r="E220" s="1518"/>
      <c r="F220" s="1519"/>
      <c r="G220" s="1518"/>
      <c r="H220" s="1518"/>
      <c r="I220" s="1519"/>
      <c r="J220" s="1518"/>
      <c r="K220" s="1518"/>
      <c r="L220" s="1518"/>
      <c r="M220" s="1584"/>
      <c r="N220" s="1584"/>
    </row>
    <row r="221" spans="2:14" s="297" customFormat="1" ht="20.100000000000001" customHeight="1">
      <c r="B221" s="1518"/>
      <c r="C221" s="1519"/>
      <c r="D221" s="1518"/>
      <c r="E221" s="1518"/>
      <c r="F221" s="1519"/>
      <c r="G221" s="1518"/>
      <c r="H221" s="1518"/>
      <c r="I221" s="1519"/>
      <c r="J221" s="1518"/>
      <c r="K221" s="1518"/>
      <c r="L221" s="1518"/>
      <c r="M221" s="1584"/>
      <c r="N221" s="1584"/>
    </row>
    <row r="222" spans="2:14" s="297" customFormat="1" ht="20.100000000000001" customHeight="1">
      <c r="B222" s="1518"/>
      <c r="C222" s="1519"/>
      <c r="D222" s="1518"/>
      <c r="E222" s="1518"/>
      <c r="F222" s="1519"/>
      <c r="G222" s="1518"/>
      <c r="H222" s="1518"/>
      <c r="I222" s="1519"/>
      <c r="J222" s="1518"/>
      <c r="K222" s="1518"/>
      <c r="L222" s="1518"/>
      <c r="M222" s="1584"/>
      <c r="N222" s="1584"/>
    </row>
    <row r="223" spans="2:14" s="297" customFormat="1" ht="20.100000000000001" customHeight="1">
      <c r="B223" s="1518"/>
      <c r="C223" s="1519"/>
      <c r="D223" s="1518"/>
      <c r="E223" s="1518"/>
      <c r="F223" s="1519"/>
      <c r="G223" s="1518"/>
      <c r="H223" s="1518"/>
      <c r="I223" s="1519"/>
      <c r="J223" s="1518"/>
      <c r="K223" s="1518"/>
      <c r="L223" s="1518"/>
      <c r="M223" s="1584"/>
      <c r="N223" s="1584"/>
    </row>
    <row r="224" spans="2:14" s="297" customFormat="1" ht="20.100000000000001" customHeight="1">
      <c r="B224" s="1518"/>
      <c r="C224" s="1519"/>
      <c r="D224" s="1518"/>
      <c r="E224" s="1518"/>
      <c r="F224" s="1519"/>
      <c r="G224" s="1518"/>
      <c r="H224" s="1518"/>
      <c r="I224" s="1519"/>
      <c r="J224" s="1518"/>
      <c r="K224" s="1518"/>
      <c r="L224" s="1518"/>
      <c r="M224" s="1584"/>
      <c r="N224" s="1584"/>
    </row>
    <row r="225" spans="2:14" s="297" customFormat="1" ht="20.100000000000001" customHeight="1">
      <c r="B225" s="1518"/>
      <c r="C225" s="1519"/>
      <c r="D225" s="1518"/>
      <c r="E225" s="1518"/>
      <c r="F225" s="1519"/>
      <c r="G225" s="1518"/>
      <c r="H225" s="1518"/>
      <c r="I225" s="1519"/>
      <c r="J225" s="1518"/>
      <c r="K225" s="1518"/>
      <c r="L225" s="1518"/>
      <c r="M225" s="1584"/>
      <c r="N225" s="1584"/>
    </row>
    <row r="226" spans="2:14" s="297" customFormat="1" ht="20.100000000000001" customHeight="1">
      <c r="B226" s="1518"/>
      <c r="C226" s="1519"/>
      <c r="D226" s="1518"/>
      <c r="E226" s="1518"/>
      <c r="F226" s="1519"/>
      <c r="G226" s="1518"/>
      <c r="H226" s="1518"/>
      <c r="I226" s="1519"/>
      <c r="J226" s="1518"/>
      <c r="K226" s="1518"/>
      <c r="L226" s="1518"/>
      <c r="M226" s="1584"/>
      <c r="N226" s="1584"/>
    </row>
    <row r="227" spans="2:14" s="297" customFormat="1" ht="20.100000000000001" customHeight="1">
      <c r="B227" s="1518"/>
      <c r="C227" s="1519"/>
      <c r="D227" s="1518"/>
      <c r="E227" s="1518"/>
      <c r="F227" s="1519"/>
      <c r="G227" s="1518"/>
      <c r="H227" s="1518"/>
      <c r="I227" s="1519"/>
      <c r="J227" s="1518"/>
      <c r="K227" s="1518"/>
      <c r="L227" s="1518"/>
      <c r="M227" s="1584"/>
      <c r="N227" s="1584"/>
    </row>
    <row r="228" spans="2:14" s="297" customFormat="1" ht="20.100000000000001" customHeight="1">
      <c r="B228" s="1518"/>
      <c r="C228" s="1519"/>
      <c r="D228" s="1518"/>
      <c r="E228" s="1518"/>
      <c r="F228" s="1519"/>
      <c r="G228" s="1518"/>
      <c r="H228" s="1518"/>
      <c r="I228" s="1519"/>
      <c r="J228" s="1518"/>
      <c r="K228" s="1518"/>
      <c r="L228" s="1518"/>
      <c r="M228" s="1584"/>
      <c r="N228" s="1584"/>
    </row>
    <row r="229" spans="2:14" s="297" customFormat="1" ht="20.100000000000001" customHeight="1">
      <c r="B229" s="1518"/>
      <c r="C229" s="1519"/>
      <c r="D229" s="1518"/>
      <c r="E229" s="1518"/>
      <c r="F229" s="1519"/>
      <c r="G229" s="1518"/>
      <c r="H229" s="1518"/>
      <c r="I229" s="1519"/>
      <c r="J229" s="1518"/>
      <c r="K229" s="1518"/>
      <c r="L229" s="1518"/>
      <c r="M229" s="1584"/>
      <c r="N229" s="1584"/>
    </row>
    <row r="230" spans="2:14" s="297" customFormat="1" ht="20.100000000000001" customHeight="1">
      <c r="B230" s="1518"/>
      <c r="C230" s="1519"/>
      <c r="D230" s="1518"/>
      <c r="E230" s="1518"/>
      <c r="F230" s="1519"/>
      <c r="G230" s="1518"/>
      <c r="H230" s="1518"/>
      <c r="I230" s="1519"/>
      <c r="J230" s="1518"/>
      <c r="K230" s="1518"/>
      <c r="L230" s="1518"/>
      <c r="M230" s="1584"/>
      <c r="N230" s="1584"/>
    </row>
    <row r="231" spans="2:14" s="297" customFormat="1" ht="20.100000000000001" customHeight="1">
      <c r="B231" s="1518"/>
      <c r="C231" s="1519"/>
      <c r="D231" s="1518"/>
      <c r="E231" s="1518"/>
      <c r="F231" s="1519"/>
      <c r="G231" s="1518"/>
      <c r="H231" s="1518"/>
      <c r="I231" s="1519"/>
      <c r="J231" s="1518"/>
      <c r="K231" s="1518"/>
      <c r="L231" s="1518"/>
      <c r="M231" s="1584"/>
      <c r="N231" s="1584"/>
    </row>
    <row r="232" spans="2:14" s="297" customFormat="1" ht="20.100000000000001" customHeight="1">
      <c r="B232" s="1518"/>
      <c r="C232" s="1519"/>
      <c r="D232" s="1518"/>
      <c r="E232" s="1518"/>
      <c r="F232" s="1519"/>
      <c r="G232" s="1518"/>
      <c r="H232" s="1518"/>
      <c r="I232" s="1519"/>
      <c r="J232" s="1518"/>
      <c r="K232" s="1518"/>
      <c r="L232" s="1518"/>
      <c r="M232" s="1584"/>
      <c r="N232" s="1584"/>
    </row>
    <row r="233" spans="2:14" s="297" customFormat="1" ht="20.100000000000001" customHeight="1">
      <c r="B233" s="1518"/>
      <c r="C233" s="1519"/>
      <c r="D233" s="1518"/>
      <c r="E233" s="1518"/>
      <c r="F233" s="1519"/>
      <c r="G233" s="1518"/>
      <c r="H233" s="1518"/>
      <c r="I233" s="1519"/>
      <c r="J233" s="1518"/>
      <c r="K233" s="1518"/>
      <c r="L233" s="1518"/>
      <c r="M233" s="1584"/>
      <c r="N233" s="1584"/>
    </row>
    <row r="234" spans="2:14" s="297" customFormat="1" ht="20.100000000000001" customHeight="1">
      <c r="B234" s="1518"/>
      <c r="C234" s="1519"/>
      <c r="D234" s="1518"/>
      <c r="E234" s="1518"/>
      <c r="F234" s="1519"/>
      <c r="G234" s="1518"/>
      <c r="H234" s="1518"/>
      <c r="I234" s="1519"/>
      <c r="J234" s="1518"/>
      <c r="K234" s="1518"/>
      <c r="L234" s="1518"/>
      <c r="M234" s="1584"/>
      <c r="N234" s="1584"/>
    </row>
    <row r="235" spans="2:14" s="297" customFormat="1" ht="20.100000000000001" customHeight="1">
      <c r="B235" s="1518"/>
      <c r="C235" s="1519"/>
      <c r="D235" s="1518"/>
      <c r="E235" s="1518"/>
      <c r="F235" s="1519"/>
      <c r="G235" s="1518"/>
      <c r="H235" s="1518"/>
      <c r="I235" s="1519"/>
      <c r="J235" s="1518"/>
      <c r="K235" s="1518"/>
      <c r="L235" s="1518"/>
      <c r="M235" s="1584"/>
      <c r="N235" s="1584"/>
    </row>
    <row r="236" spans="2:14" s="297" customFormat="1" ht="20.100000000000001" customHeight="1">
      <c r="B236" s="1518"/>
      <c r="C236" s="1519"/>
      <c r="D236" s="1518"/>
      <c r="E236" s="1518"/>
      <c r="F236" s="1519"/>
      <c r="G236" s="1518"/>
      <c r="H236" s="1518"/>
      <c r="I236" s="1519"/>
      <c r="J236" s="1518"/>
      <c r="K236" s="1518"/>
      <c r="L236" s="1518"/>
      <c r="M236" s="1584"/>
      <c r="N236" s="1584"/>
    </row>
    <row r="237" spans="2:14" s="297" customFormat="1" ht="20.100000000000001" customHeight="1">
      <c r="B237" s="1518"/>
      <c r="C237" s="1519"/>
      <c r="D237" s="1518"/>
      <c r="E237" s="1518"/>
      <c r="F237" s="1519"/>
      <c r="G237" s="1518"/>
      <c r="H237" s="1518"/>
      <c r="I237" s="1519"/>
      <c r="J237" s="1518"/>
      <c r="K237" s="1518"/>
      <c r="L237" s="1518"/>
      <c r="M237" s="1584"/>
      <c r="N237" s="1584"/>
    </row>
    <row r="238" spans="2:14" s="297" customFormat="1" ht="20.100000000000001" customHeight="1">
      <c r="B238" s="1518"/>
      <c r="C238" s="1519"/>
      <c r="D238" s="1518"/>
      <c r="E238" s="1518"/>
      <c r="F238" s="1519"/>
      <c r="G238" s="1518"/>
      <c r="H238" s="1518"/>
      <c r="I238" s="1519"/>
      <c r="J238" s="1518"/>
      <c r="K238" s="1518"/>
      <c r="L238" s="1518"/>
      <c r="M238" s="1584"/>
      <c r="N238" s="1584"/>
    </row>
    <row r="239" spans="2:14" s="297" customFormat="1" ht="20.100000000000001" customHeight="1">
      <c r="B239" s="1518"/>
      <c r="C239" s="1519"/>
      <c r="D239" s="1518"/>
      <c r="E239" s="1518"/>
      <c r="F239" s="1519"/>
      <c r="G239" s="1518"/>
      <c r="H239" s="1518"/>
      <c r="I239" s="1519"/>
      <c r="J239" s="1518"/>
      <c r="K239" s="1518"/>
      <c r="L239" s="1518"/>
      <c r="M239" s="1584"/>
      <c r="N239" s="1584"/>
    </row>
    <row r="240" spans="2:14" s="297" customFormat="1" ht="20.100000000000001" customHeight="1">
      <c r="B240" s="1518"/>
      <c r="C240" s="1519"/>
      <c r="D240" s="1518"/>
      <c r="E240" s="1518"/>
      <c r="F240" s="1519"/>
      <c r="G240" s="1518"/>
      <c r="H240" s="1518"/>
      <c r="I240" s="1519"/>
      <c r="J240" s="1518"/>
      <c r="K240" s="1518"/>
      <c r="L240" s="1518"/>
      <c r="M240" s="1584"/>
      <c r="N240" s="1584"/>
    </row>
    <row r="241" spans="2:14" s="297" customFormat="1" ht="20.100000000000001" customHeight="1">
      <c r="B241" s="1518"/>
      <c r="C241" s="1519"/>
      <c r="D241" s="1518"/>
      <c r="E241" s="1518"/>
      <c r="F241" s="1519"/>
      <c r="G241" s="1518"/>
      <c r="H241" s="1518"/>
      <c r="I241" s="1519"/>
      <c r="J241" s="1518"/>
      <c r="K241" s="1518"/>
      <c r="L241" s="1518"/>
      <c r="M241" s="1584"/>
      <c r="N241" s="1584"/>
    </row>
    <row r="242" spans="2:14" s="297" customFormat="1" ht="20.100000000000001" customHeight="1">
      <c r="B242" s="1518"/>
      <c r="C242" s="1519"/>
      <c r="D242" s="1518"/>
      <c r="E242" s="1518"/>
      <c r="F242" s="1519"/>
      <c r="G242" s="1518"/>
      <c r="H242" s="1518"/>
      <c r="I242" s="1519"/>
      <c r="J242" s="1518"/>
      <c r="K242" s="1518"/>
      <c r="L242" s="1518"/>
      <c r="M242" s="1584"/>
      <c r="N242" s="1584"/>
    </row>
    <row r="243" spans="2:14" s="297" customFormat="1" ht="20.100000000000001" customHeight="1">
      <c r="B243" s="1518"/>
      <c r="C243" s="1519"/>
      <c r="D243" s="1518"/>
      <c r="E243" s="1518"/>
      <c r="F243" s="1519"/>
      <c r="G243" s="1518"/>
      <c r="H243" s="1518"/>
      <c r="I243" s="1519"/>
      <c r="J243" s="1518"/>
      <c r="K243" s="1518"/>
      <c r="L243" s="1518"/>
      <c r="M243" s="1584"/>
      <c r="N243" s="1584"/>
    </row>
    <row r="244" spans="2:14" s="297" customFormat="1" ht="20.100000000000001" customHeight="1">
      <c r="B244" s="1518"/>
      <c r="C244" s="1519"/>
      <c r="D244" s="1518"/>
      <c r="E244" s="1518"/>
      <c r="F244" s="1519"/>
      <c r="G244" s="1518"/>
      <c r="H244" s="1518"/>
      <c r="I244" s="1519"/>
      <c r="J244" s="1518"/>
      <c r="K244" s="1518"/>
      <c r="L244" s="1518"/>
      <c r="M244" s="1584"/>
      <c r="N244" s="1584"/>
    </row>
    <row r="245" spans="2:14" s="297" customFormat="1" ht="20.100000000000001" customHeight="1">
      <c r="B245" s="1518"/>
      <c r="C245" s="1519"/>
      <c r="D245" s="1518"/>
      <c r="E245" s="1518"/>
      <c r="F245" s="1519"/>
      <c r="G245" s="1518"/>
      <c r="H245" s="1518"/>
      <c r="I245" s="1519"/>
      <c r="J245" s="1518"/>
      <c r="K245" s="1518"/>
      <c r="L245" s="1518"/>
      <c r="M245" s="1584"/>
      <c r="N245" s="1584"/>
    </row>
    <row r="246" spans="2:14" s="297" customFormat="1" ht="20.100000000000001" customHeight="1">
      <c r="B246" s="1518"/>
      <c r="C246" s="1519"/>
      <c r="D246" s="1518"/>
      <c r="E246" s="1518"/>
      <c r="F246" s="1519"/>
      <c r="G246" s="1518"/>
      <c r="H246" s="1518"/>
      <c r="I246" s="1519"/>
      <c r="J246" s="1518"/>
      <c r="K246" s="1518"/>
      <c r="L246" s="1518"/>
      <c r="M246" s="1584"/>
      <c r="N246" s="1584"/>
    </row>
    <row r="247" spans="2:14" s="297" customFormat="1" ht="20.100000000000001" customHeight="1">
      <c r="B247" s="1518"/>
      <c r="C247" s="1519"/>
      <c r="D247" s="1518"/>
      <c r="E247" s="1518"/>
      <c r="F247" s="1519"/>
      <c r="G247" s="1518"/>
      <c r="H247" s="1518"/>
      <c r="I247" s="1519"/>
      <c r="J247" s="1518"/>
      <c r="K247" s="1518"/>
      <c r="L247" s="1518"/>
      <c r="M247" s="1584"/>
      <c r="N247" s="1584"/>
    </row>
    <row r="248" spans="2:14" s="297" customFormat="1" ht="20.100000000000001" customHeight="1">
      <c r="B248" s="1518"/>
      <c r="C248" s="1519"/>
      <c r="D248" s="1518"/>
      <c r="E248" s="1518"/>
      <c r="F248" s="1519"/>
      <c r="G248" s="1518"/>
      <c r="H248" s="1518"/>
      <c r="I248" s="1519"/>
      <c r="J248" s="1518"/>
      <c r="K248" s="1518"/>
      <c r="L248" s="1518"/>
      <c r="M248" s="1584"/>
      <c r="N248" s="1584"/>
    </row>
    <row r="249" spans="2:14" s="297" customFormat="1" ht="20.100000000000001" customHeight="1">
      <c r="B249" s="1518"/>
      <c r="C249" s="1519"/>
      <c r="D249" s="1518"/>
      <c r="E249" s="1518"/>
      <c r="F249" s="1519"/>
      <c r="G249" s="1518"/>
      <c r="H249" s="1518"/>
      <c r="I249" s="1519"/>
      <c r="J249" s="1518"/>
      <c r="K249" s="1518"/>
      <c r="L249" s="1518"/>
      <c r="M249" s="1584"/>
      <c r="N249" s="1584"/>
    </row>
    <row r="250" spans="2:14" s="297" customFormat="1" ht="20.100000000000001" customHeight="1">
      <c r="B250" s="1518"/>
      <c r="C250" s="1519"/>
      <c r="D250" s="1518"/>
      <c r="E250" s="1518"/>
      <c r="F250" s="1519"/>
      <c r="G250" s="1518"/>
      <c r="H250" s="1518"/>
      <c r="I250" s="1519"/>
      <c r="J250" s="1518"/>
      <c r="K250" s="1518"/>
      <c r="L250" s="1518"/>
      <c r="M250" s="1584"/>
      <c r="N250" s="1584"/>
    </row>
    <row r="251" spans="2:14" s="297" customFormat="1" ht="20.100000000000001" customHeight="1">
      <c r="B251" s="1518"/>
      <c r="C251" s="1519"/>
      <c r="D251" s="1518"/>
      <c r="E251" s="1518"/>
      <c r="F251" s="1519"/>
      <c r="G251" s="1518"/>
      <c r="H251" s="1518"/>
      <c r="I251" s="1519"/>
      <c r="J251" s="1518"/>
      <c r="K251" s="1518"/>
      <c r="L251" s="1518"/>
      <c r="M251" s="1584"/>
      <c r="N251" s="1584"/>
    </row>
    <row r="252" spans="2:14" s="297" customFormat="1" ht="20.100000000000001" customHeight="1">
      <c r="B252" s="1518"/>
      <c r="C252" s="1519"/>
      <c r="D252" s="1518"/>
      <c r="E252" s="1518"/>
      <c r="F252" s="1519"/>
      <c r="G252" s="1518"/>
      <c r="H252" s="1518"/>
      <c r="I252" s="1519"/>
      <c r="J252" s="1518"/>
      <c r="K252" s="1518"/>
      <c r="L252" s="1518"/>
      <c r="M252" s="1584"/>
      <c r="N252" s="1584"/>
    </row>
    <row r="253" spans="2:14" s="297" customFormat="1" ht="20.100000000000001" customHeight="1">
      <c r="B253" s="1518"/>
      <c r="C253" s="1519"/>
      <c r="D253" s="1518"/>
      <c r="E253" s="1518"/>
      <c r="F253" s="1519"/>
      <c r="G253" s="1518"/>
      <c r="H253" s="1518"/>
      <c r="I253" s="1519"/>
      <c r="J253" s="1518"/>
      <c r="K253" s="1518"/>
      <c r="L253" s="1518"/>
      <c r="M253" s="1584"/>
      <c r="N253" s="1584"/>
    </row>
    <row r="254" spans="2:14" s="297" customFormat="1" ht="20.100000000000001" customHeight="1">
      <c r="B254" s="1518"/>
      <c r="C254" s="1519"/>
      <c r="D254" s="1518"/>
      <c r="E254" s="1518"/>
      <c r="F254" s="1519"/>
      <c r="G254" s="1518"/>
      <c r="H254" s="1518"/>
      <c r="I254" s="1519"/>
      <c r="J254" s="1518"/>
      <c r="K254" s="1518"/>
      <c r="L254" s="1518"/>
      <c r="M254" s="1584"/>
      <c r="N254" s="1584"/>
    </row>
    <row r="255" spans="2:14" s="297" customFormat="1" ht="20.100000000000001" customHeight="1">
      <c r="B255" s="1518"/>
      <c r="C255" s="1519"/>
      <c r="D255" s="1518"/>
      <c r="E255" s="1518"/>
      <c r="F255" s="1519"/>
      <c r="G255" s="1518"/>
      <c r="H255" s="1518"/>
      <c r="I255" s="1519"/>
      <c r="J255" s="1518"/>
      <c r="K255" s="1518"/>
      <c r="L255" s="1518"/>
      <c r="M255" s="1584"/>
      <c r="N255" s="1584"/>
    </row>
    <row r="256" spans="2:14" s="297" customFormat="1" ht="20.100000000000001" customHeight="1">
      <c r="B256" s="1518"/>
      <c r="C256" s="1519"/>
      <c r="D256" s="1518"/>
      <c r="E256" s="1518"/>
      <c r="F256" s="1519"/>
      <c r="G256" s="1518"/>
      <c r="H256" s="1518"/>
      <c r="I256" s="1519"/>
      <c r="J256" s="1518"/>
      <c r="K256" s="1518"/>
      <c r="L256" s="1518"/>
      <c r="M256" s="1584"/>
      <c r="N256" s="1584"/>
    </row>
    <row r="257" spans="2:14" s="297" customFormat="1" ht="20.100000000000001" customHeight="1">
      <c r="B257" s="1518"/>
      <c r="C257" s="1519"/>
      <c r="D257" s="1518"/>
      <c r="E257" s="1518"/>
      <c r="F257" s="1519"/>
      <c r="G257" s="1518"/>
      <c r="H257" s="1518"/>
      <c r="I257" s="1519"/>
      <c r="J257" s="1518"/>
      <c r="K257" s="1518"/>
      <c r="L257" s="1518"/>
      <c r="M257" s="1584"/>
      <c r="N257" s="1584"/>
    </row>
    <row r="258" spans="2:14" s="297" customFormat="1" ht="20.100000000000001" customHeight="1">
      <c r="B258" s="1518"/>
      <c r="C258" s="1519"/>
      <c r="D258" s="1518"/>
      <c r="E258" s="1518"/>
      <c r="F258" s="1519"/>
      <c r="G258" s="1518"/>
      <c r="H258" s="1518"/>
      <c r="I258" s="1519"/>
      <c r="J258" s="1518"/>
      <c r="K258" s="1518"/>
      <c r="L258" s="1518"/>
      <c r="M258" s="1584"/>
      <c r="N258" s="1584"/>
    </row>
    <row r="259" spans="2:14" s="297" customFormat="1" ht="20.100000000000001" customHeight="1">
      <c r="B259" s="1518"/>
      <c r="C259" s="1519"/>
      <c r="D259" s="1518"/>
      <c r="E259" s="1518"/>
      <c r="F259" s="1519"/>
      <c r="G259" s="1518"/>
      <c r="H259" s="1518"/>
      <c r="I259" s="1519"/>
      <c r="J259" s="1518"/>
      <c r="K259" s="1518"/>
      <c r="L259" s="1518"/>
      <c r="M259" s="1584"/>
      <c r="N259" s="1584"/>
    </row>
    <row r="260" spans="2:14" s="297" customFormat="1" ht="20.100000000000001" customHeight="1">
      <c r="B260" s="1518"/>
      <c r="C260" s="1519"/>
      <c r="D260" s="1518"/>
      <c r="E260" s="1518"/>
      <c r="F260" s="1519"/>
      <c r="G260" s="1518"/>
      <c r="H260" s="1518"/>
      <c r="I260" s="1519"/>
      <c r="J260" s="1518"/>
      <c r="K260" s="1518"/>
      <c r="L260" s="1518"/>
      <c r="M260" s="1584"/>
      <c r="N260" s="1584"/>
    </row>
    <row r="261" spans="2:14" s="297" customFormat="1" ht="20.100000000000001" customHeight="1">
      <c r="B261" s="1518"/>
      <c r="C261" s="1519"/>
      <c r="D261" s="1518"/>
      <c r="E261" s="1518"/>
      <c r="F261" s="1519"/>
      <c r="G261" s="1518"/>
      <c r="H261" s="1518"/>
      <c r="I261" s="1519"/>
      <c r="J261" s="1518"/>
      <c r="K261" s="1518"/>
      <c r="L261" s="1518"/>
      <c r="M261" s="1584"/>
      <c r="N261" s="1584"/>
    </row>
    <row r="262" spans="2:14" s="297" customFormat="1" ht="20.100000000000001" customHeight="1">
      <c r="B262" s="1518"/>
      <c r="C262" s="1519"/>
      <c r="D262" s="1518"/>
      <c r="E262" s="1518"/>
      <c r="F262" s="1519"/>
      <c r="G262" s="1518"/>
      <c r="H262" s="1518"/>
      <c r="I262" s="1519"/>
      <c r="J262" s="1518"/>
      <c r="K262" s="1518"/>
      <c r="L262" s="1518"/>
      <c r="M262" s="1584"/>
      <c r="N262" s="1584"/>
    </row>
    <row r="263" spans="2:14" s="297" customFormat="1" ht="20.100000000000001" customHeight="1">
      <c r="B263" s="1518"/>
      <c r="C263" s="1519"/>
      <c r="D263" s="1518"/>
      <c r="E263" s="1518"/>
      <c r="F263" s="1519"/>
      <c r="G263" s="1518"/>
      <c r="H263" s="1518"/>
      <c r="I263" s="1519"/>
      <c r="J263" s="1518"/>
      <c r="K263" s="1518"/>
      <c r="L263" s="1518"/>
      <c r="M263" s="1584"/>
      <c r="N263" s="1584"/>
    </row>
    <row r="264" spans="2:14" s="297" customFormat="1" ht="20.100000000000001" customHeight="1">
      <c r="B264" s="1518"/>
      <c r="C264" s="1519"/>
      <c r="D264" s="1518"/>
      <c r="E264" s="1518"/>
      <c r="F264" s="1519"/>
      <c r="G264" s="1518"/>
      <c r="H264" s="1518"/>
      <c r="I264" s="1519"/>
      <c r="J264" s="1518"/>
      <c r="K264" s="1518"/>
      <c r="L264" s="1518"/>
      <c r="M264" s="1584"/>
      <c r="N264" s="1584"/>
    </row>
    <row r="265" spans="2:14" s="297" customFormat="1" ht="20.100000000000001" customHeight="1">
      <c r="B265" s="1518"/>
      <c r="C265" s="1519"/>
      <c r="D265" s="1518"/>
      <c r="E265" s="1518"/>
      <c r="F265" s="1519"/>
      <c r="G265" s="1518"/>
      <c r="H265" s="1518"/>
      <c r="I265" s="1519"/>
      <c r="J265" s="1518"/>
      <c r="K265" s="1518"/>
      <c r="L265" s="1518"/>
      <c r="M265" s="1584"/>
      <c r="N265" s="1584"/>
    </row>
    <row r="266" spans="2:14" s="297" customFormat="1" ht="20.100000000000001" customHeight="1">
      <c r="B266" s="1518"/>
      <c r="C266" s="1519"/>
      <c r="D266" s="1518"/>
      <c r="E266" s="1518"/>
      <c r="F266" s="1519"/>
      <c r="G266" s="1518"/>
      <c r="H266" s="1518"/>
      <c r="I266" s="1519"/>
      <c r="J266" s="1518"/>
      <c r="K266" s="1518"/>
      <c r="L266" s="1518"/>
      <c r="M266" s="1584"/>
      <c r="N266" s="1584"/>
    </row>
    <row r="267" spans="2:14" s="297" customFormat="1" ht="20.100000000000001" customHeight="1">
      <c r="B267" s="1518"/>
      <c r="C267" s="1519"/>
      <c r="D267" s="1518"/>
      <c r="E267" s="1518"/>
      <c r="F267" s="1519"/>
      <c r="G267" s="1518"/>
      <c r="H267" s="1518"/>
      <c r="I267" s="1519"/>
      <c r="J267" s="1518"/>
      <c r="K267" s="1518"/>
      <c r="L267" s="1518"/>
      <c r="M267" s="1584"/>
      <c r="N267" s="1584"/>
    </row>
    <row r="268" spans="2:14" s="297" customFormat="1" ht="20.100000000000001" customHeight="1">
      <c r="B268" s="1518"/>
      <c r="C268" s="1519"/>
      <c r="D268" s="1518"/>
      <c r="E268" s="1518"/>
      <c r="F268" s="1519"/>
      <c r="G268" s="1518"/>
      <c r="H268" s="1518"/>
      <c r="I268" s="1519"/>
      <c r="J268" s="1518"/>
      <c r="K268" s="1518"/>
      <c r="L268" s="1518"/>
      <c r="M268" s="1584"/>
      <c r="N268" s="1584"/>
    </row>
    <row r="269" spans="2:14" s="297" customFormat="1" ht="20.100000000000001" customHeight="1">
      <c r="B269" s="1518"/>
      <c r="C269" s="1519"/>
      <c r="D269" s="1518"/>
      <c r="E269" s="1518"/>
      <c r="F269" s="1519"/>
      <c r="G269" s="1518"/>
      <c r="H269" s="1518"/>
      <c r="I269" s="1519"/>
      <c r="J269" s="1518"/>
      <c r="K269" s="1518"/>
      <c r="L269" s="1518"/>
      <c r="M269" s="1584"/>
      <c r="N269" s="1584"/>
    </row>
    <row r="270" spans="2:14" s="297" customFormat="1" ht="20.100000000000001" customHeight="1">
      <c r="B270" s="1518"/>
      <c r="C270" s="1519"/>
      <c r="D270" s="1518"/>
      <c r="E270" s="1518"/>
      <c r="F270" s="1519"/>
      <c r="G270" s="1518"/>
      <c r="H270" s="1518"/>
      <c r="I270" s="1519"/>
      <c r="J270" s="1518"/>
      <c r="K270" s="1518"/>
      <c r="L270" s="1518"/>
      <c r="M270" s="1584"/>
      <c r="N270" s="1584"/>
    </row>
    <row r="271" spans="2:14" s="297" customFormat="1" ht="20.100000000000001" customHeight="1">
      <c r="B271" s="1518"/>
      <c r="C271" s="1519"/>
      <c r="D271" s="1518"/>
      <c r="E271" s="1518"/>
      <c r="F271" s="1519"/>
      <c r="G271" s="1518"/>
      <c r="H271" s="1518"/>
      <c r="I271" s="1519"/>
      <c r="J271" s="1518"/>
      <c r="K271" s="1518"/>
      <c r="L271" s="1518"/>
      <c r="M271" s="1584"/>
      <c r="N271" s="1584"/>
    </row>
    <row r="272" spans="2:14" s="297" customFormat="1" ht="20.100000000000001" customHeight="1">
      <c r="B272" s="1518"/>
      <c r="C272" s="1519"/>
      <c r="D272" s="1518"/>
      <c r="E272" s="1518"/>
      <c r="F272" s="1519"/>
      <c r="G272" s="1518"/>
      <c r="H272" s="1518"/>
      <c r="I272" s="1519"/>
      <c r="J272" s="1518"/>
      <c r="K272" s="1518"/>
      <c r="L272" s="1518"/>
      <c r="M272" s="1584"/>
      <c r="N272" s="1584"/>
    </row>
    <row r="273" spans="2:14" s="297" customFormat="1" ht="20.100000000000001" customHeight="1">
      <c r="B273" s="1518"/>
      <c r="C273" s="1519"/>
      <c r="D273" s="1518"/>
      <c r="E273" s="1518"/>
      <c r="F273" s="1519"/>
      <c r="G273" s="1518"/>
      <c r="H273" s="1518"/>
      <c r="I273" s="1519"/>
      <c r="J273" s="1518"/>
      <c r="K273" s="1518"/>
      <c r="L273" s="1518"/>
      <c r="M273" s="1584"/>
      <c r="N273" s="1584"/>
    </row>
    <row r="274" spans="2:14" s="297" customFormat="1" ht="20.100000000000001" customHeight="1">
      <c r="B274" s="1518"/>
      <c r="C274" s="1519"/>
      <c r="D274" s="1518"/>
      <c r="E274" s="1518"/>
      <c r="F274" s="1519"/>
      <c r="G274" s="1518"/>
      <c r="H274" s="1518"/>
      <c r="I274" s="1519"/>
      <c r="J274" s="1518"/>
      <c r="K274" s="1518"/>
      <c r="L274" s="1518"/>
      <c r="M274" s="1584"/>
      <c r="N274" s="1584"/>
    </row>
    <row r="275" spans="2:14" s="297" customFormat="1" ht="20.100000000000001" customHeight="1">
      <c r="B275" s="1518"/>
      <c r="C275" s="1519"/>
      <c r="D275" s="1518"/>
      <c r="E275" s="1518"/>
      <c r="F275" s="1519"/>
      <c r="G275" s="1518"/>
      <c r="H275" s="1518"/>
      <c r="I275" s="1519"/>
      <c r="J275" s="1518"/>
      <c r="K275" s="1518"/>
      <c r="L275" s="1518"/>
      <c r="M275" s="1584"/>
      <c r="N275" s="1584"/>
    </row>
    <row r="276" spans="2:14" s="297" customFormat="1" ht="20.100000000000001" customHeight="1">
      <c r="B276" s="1518"/>
      <c r="C276" s="1519"/>
      <c r="D276" s="1518"/>
      <c r="E276" s="1518"/>
      <c r="F276" s="1519"/>
      <c r="G276" s="1518"/>
      <c r="H276" s="1518"/>
      <c r="I276" s="1519"/>
      <c r="J276" s="1518"/>
      <c r="K276" s="1518"/>
      <c r="L276" s="1518"/>
      <c r="M276" s="1584"/>
      <c r="N276" s="1584"/>
    </row>
    <row r="277" spans="2:14" s="297" customFormat="1" ht="20.100000000000001" customHeight="1">
      <c r="B277" s="1518"/>
      <c r="C277" s="1519"/>
      <c r="D277" s="1518"/>
      <c r="E277" s="1518"/>
      <c r="F277" s="1519"/>
      <c r="G277" s="1518"/>
      <c r="H277" s="1518"/>
      <c r="I277" s="1519"/>
      <c r="J277" s="1518"/>
      <c r="K277" s="1518"/>
      <c r="L277" s="1518"/>
      <c r="M277" s="1584"/>
      <c r="N277" s="1584"/>
    </row>
    <row r="278" spans="2:14" s="297" customFormat="1" ht="20.100000000000001" customHeight="1">
      <c r="B278" s="1518"/>
      <c r="C278" s="1519"/>
      <c r="D278" s="1518"/>
      <c r="E278" s="1518"/>
      <c r="F278" s="1519"/>
      <c r="G278" s="1518"/>
      <c r="H278" s="1518"/>
      <c r="I278" s="1519"/>
      <c r="J278" s="1518"/>
      <c r="K278" s="1518"/>
      <c r="L278" s="1518"/>
      <c r="M278" s="1584"/>
      <c r="N278" s="1584"/>
    </row>
    <row r="279" spans="2:14" s="297" customFormat="1" ht="20.100000000000001" customHeight="1">
      <c r="B279" s="1518"/>
      <c r="C279" s="1519"/>
      <c r="D279" s="1518"/>
      <c r="E279" s="1518"/>
      <c r="F279" s="1519"/>
      <c r="G279" s="1518"/>
      <c r="H279" s="1518"/>
      <c r="I279" s="1519"/>
      <c r="J279" s="1518"/>
      <c r="K279" s="1518"/>
      <c r="L279" s="1518"/>
      <c r="M279" s="1584"/>
      <c r="N279" s="1584"/>
    </row>
    <row r="280" spans="2:14" s="297" customFormat="1" ht="20.100000000000001" customHeight="1">
      <c r="B280" s="1518"/>
      <c r="C280" s="1519"/>
      <c r="D280" s="1518"/>
      <c r="E280" s="1518"/>
      <c r="F280" s="1519"/>
      <c r="G280" s="1518"/>
      <c r="H280" s="1518"/>
      <c r="I280" s="1519"/>
      <c r="J280" s="1518"/>
      <c r="K280" s="1518"/>
      <c r="L280" s="1518"/>
      <c r="M280" s="1584"/>
      <c r="N280" s="1584"/>
    </row>
    <row r="281" spans="2:14" s="297" customFormat="1" ht="20.100000000000001" customHeight="1">
      <c r="B281" s="1518"/>
      <c r="C281" s="1519"/>
      <c r="D281" s="1518"/>
      <c r="E281" s="1518"/>
      <c r="F281" s="1519"/>
      <c r="G281" s="1518"/>
      <c r="H281" s="1518"/>
      <c r="I281" s="1519"/>
      <c r="J281" s="1518"/>
      <c r="K281" s="1518"/>
      <c r="L281" s="1518"/>
      <c r="M281" s="1584"/>
      <c r="N281" s="1584"/>
    </row>
    <row r="282" spans="2:14" s="297" customFormat="1" ht="20.100000000000001" customHeight="1">
      <c r="B282" s="1518"/>
      <c r="C282" s="1519"/>
      <c r="D282" s="1518"/>
      <c r="E282" s="1518"/>
      <c r="F282" s="1519"/>
      <c r="G282" s="1518"/>
      <c r="H282" s="1518"/>
      <c r="I282" s="1519"/>
      <c r="J282" s="1518"/>
      <c r="K282" s="1518"/>
      <c r="L282" s="1518"/>
      <c r="M282" s="1584"/>
      <c r="N282" s="1584"/>
    </row>
    <row r="283" spans="2:14" s="297" customFormat="1" ht="20.100000000000001" customHeight="1">
      <c r="B283" s="1518"/>
      <c r="C283" s="1519"/>
      <c r="D283" s="1518"/>
      <c r="E283" s="1518"/>
      <c r="F283" s="1519"/>
      <c r="G283" s="1518"/>
      <c r="H283" s="1518"/>
      <c r="I283" s="1519"/>
      <c r="J283" s="1518"/>
      <c r="K283" s="1518"/>
      <c r="L283" s="1518"/>
      <c r="M283" s="1584"/>
      <c r="N283" s="1584"/>
    </row>
    <row r="284" spans="2:14" s="297" customFormat="1" ht="20.100000000000001" customHeight="1">
      <c r="B284" s="1518"/>
      <c r="C284" s="1519"/>
      <c r="D284" s="1518"/>
      <c r="E284" s="1518"/>
      <c r="F284" s="1519"/>
      <c r="G284" s="1518"/>
      <c r="H284" s="1518"/>
      <c r="I284" s="1519"/>
      <c r="J284" s="1518"/>
      <c r="K284" s="1518"/>
      <c r="L284" s="1518"/>
      <c r="M284" s="1584"/>
      <c r="N284" s="1584"/>
    </row>
    <row r="285" spans="2:14" s="297" customFormat="1" ht="20.100000000000001" customHeight="1">
      <c r="B285" s="1518"/>
      <c r="C285" s="1519"/>
      <c r="D285" s="1518"/>
      <c r="E285" s="1518"/>
      <c r="F285" s="1519"/>
      <c r="G285" s="1518"/>
      <c r="H285" s="1518"/>
      <c r="I285" s="1519"/>
      <c r="J285" s="1518"/>
      <c r="K285" s="1518"/>
      <c r="L285" s="1518"/>
      <c r="M285" s="1584"/>
      <c r="N285" s="1584"/>
    </row>
    <row r="286" spans="2:14" s="297" customFormat="1" ht="20.100000000000001" customHeight="1">
      <c r="B286" s="1518"/>
      <c r="C286" s="1519"/>
      <c r="D286" s="1518"/>
      <c r="E286" s="1518"/>
      <c r="F286" s="1519"/>
      <c r="G286" s="1518"/>
      <c r="H286" s="1518"/>
      <c r="I286" s="1519"/>
      <c r="J286" s="1518"/>
      <c r="K286" s="1518"/>
      <c r="L286" s="1518"/>
      <c r="M286" s="1584"/>
      <c r="N286" s="1584"/>
    </row>
    <row r="287" spans="2:14" s="297" customFormat="1" ht="20.100000000000001" customHeight="1">
      <c r="B287" s="1518"/>
      <c r="C287" s="1519"/>
      <c r="D287" s="1518"/>
      <c r="E287" s="1518"/>
      <c r="F287" s="1519"/>
      <c r="G287" s="1518"/>
      <c r="H287" s="1518"/>
      <c r="I287" s="1519"/>
      <c r="J287" s="1518"/>
      <c r="K287" s="1518"/>
      <c r="L287" s="1518"/>
      <c r="M287" s="1584"/>
      <c r="N287" s="1584"/>
    </row>
    <row r="288" spans="2:14" s="297" customFormat="1" ht="20.100000000000001" customHeight="1">
      <c r="B288" s="1518"/>
      <c r="C288" s="1519"/>
      <c r="D288" s="1518"/>
      <c r="E288" s="1518"/>
      <c r="F288" s="1519"/>
      <c r="G288" s="1518"/>
      <c r="H288" s="1518"/>
      <c r="I288" s="1519"/>
      <c r="J288" s="1518"/>
      <c r="K288" s="1518"/>
      <c r="L288" s="1518"/>
      <c r="M288" s="1584"/>
      <c r="N288" s="1584"/>
    </row>
    <row r="289" spans="2:14" s="297" customFormat="1" ht="20.100000000000001" customHeight="1">
      <c r="B289" s="1518"/>
      <c r="C289" s="1519"/>
      <c r="D289" s="1518"/>
      <c r="E289" s="1518"/>
      <c r="F289" s="1519"/>
      <c r="G289" s="1518"/>
      <c r="H289" s="1518"/>
      <c r="I289" s="1519"/>
      <c r="J289" s="1518"/>
      <c r="K289" s="1518"/>
      <c r="L289" s="1518"/>
      <c r="M289" s="1584"/>
      <c r="N289" s="1584"/>
    </row>
    <row r="290" spans="2:14" s="297" customFormat="1" ht="20.100000000000001" customHeight="1">
      <c r="B290" s="1518"/>
      <c r="C290" s="1519"/>
      <c r="D290" s="1518"/>
      <c r="E290" s="1518"/>
      <c r="F290" s="1519"/>
      <c r="G290" s="1518"/>
      <c r="H290" s="1518"/>
      <c r="I290" s="1519"/>
      <c r="J290" s="1518"/>
      <c r="K290" s="1518"/>
      <c r="L290" s="1518"/>
      <c r="M290" s="1584"/>
      <c r="N290" s="1584"/>
    </row>
    <row r="291" spans="2:14" s="297" customFormat="1" ht="20.100000000000001" customHeight="1">
      <c r="B291" s="1518"/>
      <c r="C291" s="1519"/>
      <c r="D291" s="1518"/>
      <c r="E291" s="1518"/>
      <c r="F291" s="1519"/>
      <c r="G291" s="1518"/>
      <c r="H291" s="1518"/>
      <c r="I291" s="1519"/>
      <c r="J291" s="1518"/>
      <c r="K291" s="1518"/>
      <c r="L291" s="1518"/>
      <c r="M291" s="1584"/>
      <c r="N291" s="1584"/>
    </row>
    <row r="292" spans="2:14" s="297" customFormat="1" ht="20.100000000000001" customHeight="1">
      <c r="B292" s="1518"/>
      <c r="C292" s="1519"/>
      <c r="D292" s="1518"/>
      <c r="E292" s="1518"/>
      <c r="F292" s="1519"/>
      <c r="G292" s="1518"/>
      <c r="H292" s="1518"/>
      <c r="I292" s="1519"/>
      <c r="J292" s="1518"/>
      <c r="K292" s="1518"/>
      <c r="L292" s="1518"/>
      <c r="M292" s="1584"/>
      <c r="N292" s="1584"/>
    </row>
    <row r="293" spans="2:14" s="297" customFormat="1" ht="20.100000000000001" customHeight="1">
      <c r="B293" s="1518"/>
      <c r="C293" s="1519"/>
      <c r="D293" s="1518"/>
      <c r="E293" s="1518"/>
      <c r="F293" s="1519"/>
      <c r="G293" s="1518"/>
      <c r="H293" s="1518"/>
      <c r="I293" s="1519"/>
      <c r="J293" s="1518"/>
      <c r="K293" s="1518"/>
      <c r="L293" s="1518"/>
      <c r="M293" s="1584"/>
      <c r="N293" s="1584"/>
    </row>
    <row r="294" spans="2:14" s="297" customFormat="1" ht="20.100000000000001" customHeight="1">
      <c r="B294" s="1518"/>
      <c r="C294" s="1519"/>
      <c r="D294" s="1518"/>
      <c r="E294" s="1518"/>
      <c r="F294" s="1519"/>
      <c r="G294" s="1518"/>
      <c r="H294" s="1518"/>
      <c r="I294" s="1519"/>
      <c r="J294" s="1518"/>
      <c r="K294" s="1518"/>
      <c r="L294" s="1518"/>
      <c r="M294" s="1584"/>
      <c r="N294" s="1584"/>
    </row>
    <row r="295" spans="2:14" s="297" customFormat="1" ht="20.100000000000001" customHeight="1">
      <c r="B295" s="1518"/>
      <c r="C295" s="1519"/>
      <c r="D295" s="1518"/>
      <c r="E295" s="1518"/>
      <c r="F295" s="1519"/>
      <c r="G295" s="1518"/>
      <c r="H295" s="1518"/>
      <c r="I295" s="1519"/>
      <c r="J295" s="1518"/>
      <c r="K295" s="1518"/>
      <c r="L295" s="1518"/>
      <c r="M295" s="1584"/>
      <c r="N295" s="1584"/>
    </row>
    <row r="296" spans="2:14" s="297" customFormat="1" ht="20.100000000000001" customHeight="1">
      <c r="B296" s="1518"/>
      <c r="C296" s="1519"/>
      <c r="D296" s="1518"/>
      <c r="E296" s="1518"/>
      <c r="F296" s="1519"/>
      <c r="G296" s="1518"/>
      <c r="H296" s="1518"/>
      <c r="I296" s="1519"/>
      <c r="J296" s="1518"/>
      <c r="K296" s="1518"/>
      <c r="L296" s="1518"/>
      <c r="M296" s="1584"/>
      <c r="N296" s="1584"/>
    </row>
    <row r="297" spans="2:14" s="297" customFormat="1" ht="20.100000000000001" customHeight="1">
      <c r="B297" s="1518"/>
      <c r="C297" s="1519"/>
      <c r="D297" s="1518"/>
      <c r="E297" s="1518"/>
      <c r="F297" s="1519"/>
      <c r="G297" s="1518"/>
      <c r="H297" s="1518"/>
      <c r="I297" s="1519"/>
      <c r="J297" s="1518"/>
      <c r="K297" s="1518"/>
      <c r="L297" s="1518"/>
      <c r="M297" s="1584"/>
      <c r="N297" s="1584"/>
    </row>
    <row r="298" spans="2:14" s="297" customFormat="1" ht="20.100000000000001" customHeight="1">
      <c r="B298" s="1518"/>
      <c r="C298" s="1519"/>
      <c r="D298" s="1518"/>
      <c r="E298" s="1518"/>
      <c r="F298" s="1519"/>
      <c r="G298" s="1518"/>
      <c r="H298" s="1518"/>
      <c r="I298" s="1519"/>
      <c r="J298" s="1518"/>
      <c r="K298" s="1518"/>
      <c r="L298" s="1518"/>
      <c r="M298" s="1584"/>
      <c r="N298" s="1584"/>
    </row>
    <row r="299" spans="2:14" s="297" customFormat="1" ht="20.100000000000001" customHeight="1">
      <c r="B299" s="1518"/>
      <c r="C299" s="1519"/>
      <c r="D299" s="1518"/>
      <c r="E299" s="1518"/>
      <c r="F299" s="1519"/>
      <c r="G299" s="1518"/>
      <c r="H299" s="1518"/>
      <c r="I299" s="1519"/>
      <c r="J299" s="1518"/>
      <c r="K299" s="1518"/>
      <c r="L299" s="1518"/>
      <c r="M299" s="1584"/>
      <c r="N299" s="1584"/>
    </row>
    <row r="300" spans="2:14" s="297" customFormat="1" ht="20.100000000000001" customHeight="1">
      <c r="B300" s="1518"/>
      <c r="C300" s="1519"/>
      <c r="D300" s="1518"/>
      <c r="E300" s="1518"/>
      <c r="F300" s="1519"/>
      <c r="G300" s="1518"/>
      <c r="H300" s="1518"/>
      <c r="I300" s="1519"/>
      <c r="J300" s="1518"/>
      <c r="K300" s="1518"/>
      <c r="L300" s="1518"/>
      <c r="M300" s="1584"/>
      <c r="N300" s="1584"/>
    </row>
    <row r="301" spans="2:14" s="297" customFormat="1" ht="20.100000000000001" customHeight="1">
      <c r="B301" s="1518"/>
      <c r="C301" s="1519"/>
      <c r="D301" s="1518"/>
      <c r="E301" s="1518"/>
      <c r="F301" s="1519"/>
      <c r="G301" s="1518"/>
      <c r="H301" s="1518"/>
      <c r="I301" s="1519"/>
      <c r="J301" s="1518"/>
      <c r="K301" s="1518"/>
      <c r="L301" s="1518"/>
      <c r="M301" s="1584"/>
      <c r="N301" s="1584"/>
    </row>
    <row r="302" spans="2:14" s="297" customFormat="1" ht="20.100000000000001" customHeight="1">
      <c r="B302" s="1518"/>
      <c r="C302" s="1519"/>
      <c r="D302" s="1518"/>
      <c r="E302" s="1518"/>
      <c r="F302" s="1519"/>
      <c r="G302" s="1518"/>
      <c r="H302" s="1518"/>
      <c r="I302" s="1519"/>
      <c r="J302" s="1518"/>
      <c r="K302" s="1518"/>
      <c r="L302" s="1518"/>
      <c r="M302" s="1584"/>
      <c r="N302" s="1584"/>
    </row>
    <row r="303" spans="2:14" s="297" customFormat="1" ht="20.100000000000001" customHeight="1">
      <c r="B303" s="1518"/>
      <c r="C303" s="1519"/>
      <c r="D303" s="1518"/>
      <c r="E303" s="1518"/>
      <c r="F303" s="1519"/>
      <c r="G303" s="1518"/>
      <c r="H303" s="1518"/>
      <c r="I303" s="1519"/>
      <c r="J303" s="1518"/>
      <c r="K303" s="1518"/>
      <c r="L303" s="1518"/>
      <c r="M303" s="1584"/>
      <c r="N303" s="1584"/>
    </row>
    <row r="304" spans="2:14" s="297" customFormat="1" ht="20.100000000000001" customHeight="1">
      <c r="B304" s="1518"/>
      <c r="C304" s="1519"/>
      <c r="D304" s="1518"/>
      <c r="E304" s="1518"/>
      <c r="F304" s="1519"/>
      <c r="G304" s="1518"/>
      <c r="H304" s="1518"/>
      <c r="I304" s="1519"/>
      <c r="J304" s="1518"/>
      <c r="K304" s="1518"/>
      <c r="L304" s="1518"/>
      <c r="M304" s="1584"/>
      <c r="N304" s="1584"/>
    </row>
    <row r="305" spans="2:14" s="297" customFormat="1" ht="20.100000000000001" customHeight="1">
      <c r="B305" s="1518"/>
      <c r="C305" s="1519"/>
      <c r="D305" s="1518"/>
      <c r="E305" s="1518"/>
      <c r="F305" s="1519"/>
      <c r="G305" s="1518"/>
      <c r="H305" s="1518"/>
      <c r="I305" s="1519"/>
      <c r="J305" s="1518"/>
      <c r="K305" s="1518"/>
      <c r="L305" s="1518"/>
      <c r="M305" s="1584"/>
      <c r="N305" s="1584"/>
    </row>
    <row r="306" spans="2:14" s="297" customFormat="1" ht="20.100000000000001" customHeight="1">
      <c r="B306" s="1518"/>
      <c r="C306" s="1519"/>
      <c r="D306" s="1518"/>
      <c r="E306" s="1518"/>
      <c r="F306" s="1519"/>
      <c r="G306" s="1518"/>
      <c r="H306" s="1518"/>
      <c r="I306" s="1519"/>
      <c r="J306" s="1518"/>
      <c r="K306" s="1518"/>
      <c r="L306" s="1518"/>
      <c r="M306" s="1584"/>
      <c r="N306" s="1584"/>
    </row>
    <row r="307" spans="2:14" s="297" customFormat="1" ht="20.100000000000001" customHeight="1">
      <c r="B307" s="1518"/>
      <c r="C307" s="1519"/>
      <c r="D307" s="1518"/>
      <c r="E307" s="1518"/>
      <c r="F307" s="1519"/>
      <c r="G307" s="1518"/>
      <c r="H307" s="1518"/>
      <c r="I307" s="1519"/>
      <c r="J307" s="1518"/>
      <c r="K307" s="1518"/>
      <c r="L307" s="1518"/>
      <c r="M307" s="1584"/>
      <c r="N307" s="1584"/>
    </row>
    <row r="308" spans="2:14" s="297" customFormat="1" ht="20.100000000000001" customHeight="1">
      <c r="B308" s="1518"/>
      <c r="C308" s="1519"/>
      <c r="D308" s="1518"/>
      <c r="E308" s="1518"/>
      <c r="F308" s="1519"/>
      <c r="G308" s="1518"/>
      <c r="H308" s="1518"/>
      <c r="I308" s="1519"/>
      <c r="J308" s="1518"/>
      <c r="K308" s="1518"/>
      <c r="L308" s="1518"/>
      <c r="M308" s="1584"/>
      <c r="N308" s="1584"/>
    </row>
    <row r="309" spans="2:14" s="297" customFormat="1" ht="20.100000000000001" customHeight="1">
      <c r="B309" s="1518"/>
      <c r="C309" s="1519"/>
      <c r="D309" s="1518"/>
      <c r="E309" s="1518"/>
      <c r="F309" s="1519"/>
      <c r="G309" s="1518"/>
      <c r="H309" s="1518"/>
      <c r="I309" s="1519"/>
      <c r="J309" s="1518"/>
      <c r="K309" s="1518"/>
      <c r="L309" s="1518"/>
      <c r="M309" s="1584"/>
      <c r="N309" s="1584"/>
    </row>
    <row r="310" spans="2:14" s="297" customFormat="1" ht="20.100000000000001" customHeight="1">
      <c r="B310" s="1518"/>
      <c r="C310" s="1519"/>
      <c r="D310" s="1518"/>
      <c r="E310" s="1518"/>
      <c r="F310" s="1519"/>
      <c r="G310" s="1518"/>
      <c r="H310" s="1518"/>
      <c r="I310" s="1519"/>
      <c r="J310" s="1518"/>
      <c r="K310" s="1518"/>
      <c r="L310" s="1518"/>
      <c r="M310" s="1584"/>
      <c r="N310" s="1584"/>
    </row>
    <row r="311" spans="2:14" s="297" customFormat="1" ht="20.100000000000001" customHeight="1">
      <c r="B311" s="1518"/>
      <c r="C311" s="1519"/>
      <c r="D311" s="1518"/>
      <c r="E311" s="1518"/>
      <c r="F311" s="1519"/>
      <c r="G311" s="1518"/>
      <c r="H311" s="1518"/>
      <c r="I311" s="1519"/>
      <c r="J311" s="1518"/>
      <c r="K311" s="1518"/>
      <c r="L311" s="1518"/>
      <c r="M311" s="1584"/>
      <c r="N311" s="1584"/>
    </row>
    <row r="312" spans="2:14" s="297" customFormat="1" ht="20.100000000000001" customHeight="1">
      <c r="B312" s="1518"/>
      <c r="C312" s="1519"/>
      <c r="D312" s="1518"/>
      <c r="E312" s="1518"/>
      <c r="F312" s="1519"/>
      <c r="G312" s="1518"/>
      <c r="H312" s="1518"/>
      <c r="I312" s="1519"/>
      <c r="J312" s="1518"/>
      <c r="K312" s="1518"/>
      <c r="L312" s="1518"/>
      <c r="M312" s="1584"/>
      <c r="N312" s="1584"/>
    </row>
    <row r="313" spans="2:14" s="297" customFormat="1" ht="20.100000000000001" customHeight="1">
      <c r="B313" s="1518"/>
      <c r="C313" s="1519"/>
      <c r="D313" s="1518"/>
      <c r="E313" s="1518"/>
      <c r="F313" s="1519"/>
      <c r="G313" s="1518"/>
      <c r="H313" s="1518"/>
      <c r="I313" s="1519"/>
      <c r="J313" s="1518"/>
      <c r="K313" s="1518"/>
      <c r="L313" s="1518"/>
      <c r="M313" s="1584"/>
      <c r="N313" s="1584"/>
    </row>
    <row r="314" spans="2:14" s="297" customFormat="1" ht="20.100000000000001" customHeight="1">
      <c r="B314" s="1518"/>
      <c r="C314" s="1519"/>
      <c r="D314" s="1518"/>
      <c r="E314" s="1518"/>
      <c r="F314" s="1519"/>
      <c r="G314" s="1518"/>
      <c r="H314" s="1518"/>
      <c r="I314" s="1519"/>
      <c r="J314" s="1518"/>
      <c r="K314" s="1518"/>
      <c r="L314" s="1518"/>
      <c r="M314" s="1584"/>
      <c r="N314" s="1584"/>
    </row>
    <row r="315" spans="2:14" s="297" customFormat="1" ht="20.100000000000001" customHeight="1">
      <c r="B315" s="1518"/>
      <c r="C315" s="1519"/>
      <c r="D315" s="1518"/>
      <c r="E315" s="1518"/>
      <c r="F315" s="1519"/>
      <c r="G315" s="1518"/>
      <c r="H315" s="1518"/>
      <c r="I315" s="1519"/>
      <c r="J315" s="1518"/>
      <c r="K315" s="1518"/>
      <c r="L315" s="1518"/>
      <c r="M315" s="1584"/>
      <c r="N315" s="1584"/>
    </row>
    <row r="316" spans="2:14" s="297" customFormat="1" ht="20.100000000000001" customHeight="1">
      <c r="B316" s="1518"/>
      <c r="C316" s="1519"/>
      <c r="D316" s="1518"/>
      <c r="E316" s="1518"/>
      <c r="F316" s="1519"/>
      <c r="G316" s="1518"/>
      <c r="H316" s="1518"/>
      <c r="I316" s="1519"/>
      <c r="J316" s="1518"/>
      <c r="K316" s="1518"/>
      <c r="L316" s="1518"/>
      <c r="M316" s="1584"/>
      <c r="N316" s="1584"/>
    </row>
    <row r="317" spans="2:14" s="297" customFormat="1" ht="20.100000000000001" customHeight="1">
      <c r="B317" s="1518"/>
      <c r="C317" s="1519"/>
      <c r="D317" s="1518"/>
      <c r="E317" s="1518"/>
      <c r="F317" s="1519"/>
      <c r="G317" s="1518"/>
      <c r="H317" s="1518"/>
      <c r="I317" s="1519"/>
      <c r="J317" s="1518"/>
      <c r="K317" s="1518"/>
      <c r="L317" s="1518"/>
      <c r="M317" s="1584"/>
      <c r="N317" s="1584"/>
    </row>
    <row r="318" spans="2:14" s="297" customFormat="1" ht="20.100000000000001" customHeight="1">
      <c r="B318" s="1518"/>
      <c r="C318" s="1519"/>
      <c r="D318" s="1518"/>
      <c r="E318" s="1518"/>
      <c r="F318" s="1519"/>
      <c r="G318" s="1518"/>
      <c r="H318" s="1518"/>
      <c r="I318" s="1519"/>
      <c r="J318" s="1518"/>
      <c r="K318" s="1518"/>
      <c r="L318" s="1518"/>
      <c r="M318" s="1584"/>
      <c r="N318" s="1584"/>
    </row>
    <row r="319" spans="2:14" s="297" customFormat="1" ht="20.100000000000001" customHeight="1">
      <c r="B319" s="1518"/>
      <c r="C319" s="1519"/>
      <c r="D319" s="1518"/>
      <c r="E319" s="1518"/>
      <c r="F319" s="1519"/>
      <c r="G319" s="1518"/>
      <c r="H319" s="1518"/>
      <c r="I319" s="1519"/>
      <c r="J319" s="1518"/>
      <c r="K319" s="1518"/>
      <c r="L319" s="1518"/>
      <c r="M319" s="1584"/>
      <c r="N319" s="1584"/>
    </row>
    <row r="320" spans="2:14" s="297" customFormat="1" ht="20.100000000000001" customHeight="1">
      <c r="B320" s="1518"/>
      <c r="C320" s="1519"/>
      <c r="D320" s="1518"/>
      <c r="E320" s="1518"/>
      <c r="F320" s="1519"/>
      <c r="G320" s="1518"/>
      <c r="H320" s="1518"/>
      <c r="I320" s="1519"/>
      <c r="J320" s="1518"/>
      <c r="K320" s="1518"/>
      <c r="L320" s="1518"/>
      <c r="M320" s="1584"/>
      <c r="N320" s="1584"/>
    </row>
    <row r="321" spans="2:14" s="297" customFormat="1" ht="20.100000000000001" customHeight="1">
      <c r="B321" s="1518"/>
      <c r="C321" s="1519"/>
      <c r="D321" s="1518"/>
      <c r="E321" s="1518"/>
      <c r="F321" s="1519"/>
      <c r="G321" s="1518"/>
      <c r="H321" s="1518"/>
      <c r="I321" s="1519"/>
      <c r="J321" s="1518"/>
      <c r="K321" s="1518"/>
      <c r="L321" s="1518"/>
      <c r="M321" s="1584"/>
      <c r="N321" s="1584"/>
    </row>
    <row r="322" spans="2:14" s="297" customFormat="1" ht="20.100000000000001" customHeight="1">
      <c r="B322" s="1518"/>
      <c r="C322" s="1519"/>
      <c r="D322" s="1518"/>
      <c r="E322" s="1518"/>
      <c r="F322" s="1519"/>
      <c r="G322" s="1518"/>
      <c r="H322" s="1518"/>
      <c r="I322" s="1519"/>
      <c r="J322" s="1518"/>
      <c r="K322" s="1518"/>
      <c r="L322" s="1518"/>
      <c r="M322" s="1584"/>
      <c r="N322" s="1584"/>
    </row>
    <row r="323" spans="2:14" s="297" customFormat="1" ht="20.100000000000001" customHeight="1">
      <c r="B323" s="1518"/>
      <c r="C323" s="1519"/>
      <c r="D323" s="1518"/>
      <c r="E323" s="1518"/>
      <c r="F323" s="1519"/>
      <c r="G323" s="1518"/>
      <c r="H323" s="1518"/>
      <c r="I323" s="1519"/>
      <c r="J323" s="1518"/>
      <c r="K323" s="1518"/>
      <c r="L323" s="1518"/>
      <c r="M323" s="1584"/>
      <c r="N323" s="1584"/>
    </row>
    <row r="324" spans="2:14" s="297" customFormat="1" ht="20.100000000000001" customHeight="1">
      <c r="B324" s="1518"/>
      <c r="C324" s="1519"/>
      <c r="D324" s="1518"/>
      <c r="E324" s="1518"/>
      <c r="F324" s="1519"/>
      <c r="G324" s="1518"/>
      <c r="H324" s="1518"/>
      <c r="I324" s="1519"/>
      <c r="J324" s="1518"/>
      <c r="K324" s="1518"/>
      <c r="L324" s="1518"/>
      <c r="M324" s="1584"/>
      <c r="N324" s="1584"/>
    </row>
    <row r="325" spans="2:14" s="297" customFormat="1" ht="20.100000000000001" customHeight="1">
      <c r="B325" s="1518"/>
      <c r="C325" s="1519"/>
      <c r="D325" s="1518"/>
      <c r="E325" s="1518"/>
      <c r="F325" s="1519"/>
      <c r="G325" s="1518"/>
      <c r="H325" s="1518"/>
      <c r="I325" s="1519"/>
      <c r="J325" s="1518"/>
      <c r="K325" s="1518"/>
      <c r="L325" s="1518"/>
      <c r="M325" s="1584"/>
      <c r="N325" s="1584"/>
    </row>
    <row r="326" spans="2:14" s="297" customFormat="1" ht="20.100000000000001" customHeight="1">
      <c r="B326" s="1518"/>
      <c r="C326" s="1519"/>
      <c r="D326" s="1518"/>
      <c r="E326" s="1518"/>
      <c r="F326" s="1519"/>
      <c r="G326" s="1518"/>
      <c r="H326" s="1518"/>
      <c r="I326" s="1519"/>
      <c r="J326" s="1518"/>
      <c r="K326" s="1518"/>
      <c r="L326" s="1518"/>
      <c r="M326" s="1584"/>
      <c r="N326" s="1584"/>
    </row>
    <row r="327" spans="2:14" s="297" customFormat="1" ht="20.100000000000001" customHeight="1">
      <c r="B327" s="1518"/>
      <c r="C327" s="1519"/>
      <c r="D327" s="1518"/>
      <c r="E327" s="1518"/>
      <c r="F327" s="1519"/>
      <c r="G327" s="1518"/>
      <c r="H327" s="1518"/>
      <c r="I327" s="1519"/>
      <c r="J327" s="1518"/>
      <c r="K327" s="1518"/>
      <c r="L327" s="1518"/>
      <c r="M327" s="1584"/>
      <c r="N327" s="1584"/>
    </row>
    <row r="328" spans="2:14" s="297" customFormat="1" ht="20.100000000000001" customHeight="1">
      <c r="B328" s="1518"/>
      <c r="C328" s="1519"/>
      <c r="D328" s="1518"/>
      <c r="E328" s="1518"/>
      <c r="F328" s="1519"/>
      <c r="G328" s="1518"/>
      <c r="H328" s="1518"/>
      <c r="I328" s="1519"/>
      <c r="J328" s="1518"/>
      <c r="K328" s="1518"/>
      <c r="L328" s="1518"/>
      <c r="M328" s="1584"/>
      <c r="N328" s="1584"/>
    </row>
    <row r="329" spans="2:14" s="297" customFormat="1" ht="20.100000000000001" customHeight="1">
      <c r="B329" s="1518"/>
      <c r="C329" s="1519"/>
      <c r="D329" s="1518"/>
      <c r="E329" s="1518"/>
      <c r="F329" s="1519"/>
      <c r="G329" s="1518"/>
      <c r="H329" s="1518"/>
      <c r="I329" s="1519"/>
      <c r="J329" s="1518"/>
      <c r="K329" s="1518"/>
      <c r="L329" s="1518"/>
      <c r="M329" s="1584"/>
      <c r="N329" s="1584"/>
    </row>
    <row r="330" spans="2:14" s="297" customFormat="1" ht="20.100000000000001" customHeight="1">
      <c r="B330" s="1518"/>
      <c r="C330" s="1519"/>
      <c r="D330" s="1518"/>
      <c r="E330" s="1518"/>
      <c r="F330" s="1519"/>
      <c r="G330" s="1518"/>
      <c r="H330" s="1518"/>
      <c r="I330" s="1519"/>
      <c r="J330" s="1518"/>
      <c r="K330" s="1518"/>
      <c r="L330" s="1518"/>
      <c r="M330" s="1584"/>
      <c r="N330" s="1584"/>
    </row>
    <row r="331" spans="2:14" s="297" customFormat="1" ht="20.100000000000001" customHeight="1">
      <c r="B331" s="1518"/>
      <c r="C331" s="1519"/>
      <c r="D331" s="1518"/>
      <c r="E331" s="1518"/>
      <c r="F331" s="1519"/>
      <c r="G331" s="1518"/>
      <c r="H331" s="1518"/>
      <c r="I331" s="1519"/>
      <c r="J331" s="1518"/>
      <c r="K331" s="1518"/>
      <c r="L331" s="1518"/>
      <c r="M331" s="1584"/>
      <c r="N331" s="1584"/>
    </row>
    <row r="332" spans="2:14" s="297" customFormat="1" ht="20.100000000000001" customHeight="1">
      <c r="B332" s="1518"/>
      <c r="C332" s="1519"/>
      <c r="D332" s="1518"/>
      <c r="E332" s="1518"/>
      <c r="F332" s="1519"/>
      <c r="G332" s="1518"/>
      <c r="H332" s="1518"/>
      <c r="I332" s="1519"/>
      <c r="J332" s="1518"/>
      <c r="K332" s="1518"/>
      <c r="L332" s="1518"/>
      <c r="M332" s="1584"/>
      <c r="N332" s="1584"/>
    </row>
    <row r="333" spans="2:14" s="297" customFormat="1" ht="20.100000000000001" customHeight="1">
      <c r="B333" s="1518"/>
      <c r="C333" s="1519"/>
      <c r="D333" s="1518"/>
      <c r="E333" s="1518"/>
      <c r="F333" s="1519"/>
      <c r="G333" s="1518"/>
      <c r="H333" s="1518"/>
      <c r="I333" s="1519"/>
      <c r="J333" s="1518"/>
      <c r="K333" s="1518"/>
      <c r="L333" s="1518"/>
      <c r="M333" s="1584"/>
      <c r="N333" s="1584"/>
    </row>
    <row r="334" spans="2:14" s="297" customFormat="1" ht="20.100000000000001" customHeight="1">
      <c r="B334" s="1518"/>
      <c r="C334" s="1519"/>
      <c r="D334" s="1518"/>
      <c r="E334" s="1518"/>
      <c r="F334" s="1519"/>
      <c r="G334" s="1518"/>
      <c r="H334" s="1518"/>
      <c r="I334" s="1519"/>
      <c r="J334" s="1518"/>
      <c r="K334" s="1518"/>
      <c r="L334" s="1518"/>
      <c r="M334" s="1584"/>
      <c r="N334" s="1584"/>
    </row>
    <row r="335" spans="2:14" s="297" customFormat="1" ht="20.100000000000001" customHeight="1">
      <c r="B335" s="1518"/>
      <c r="C335" s="1519"/>
      <c r="D335" s="1518"/>
      <c r="E335" s="1518"/>
      <c r="F335" s="1519"/>
      <c r="G335" s="1518"/>
      <c r="H335" s="1518"/>
      <c r="I335" s="1519"/>
      <c r="J335" s="1518"/>
      <c r="K335" s="1518"/>
      <c r="L335" s="1518"/>
      <c r="M335" s="1584"/>
      <c r="N335" s="1584"/>
    </row>
    <row r="336" spans="2:14" s="297" customFormat="1" ht="20.100000000000001" customHeight="1">
      <c r="B336" s="1518"/>
      <c r="C336" s="1519"/>
      <c r="D336" s="1518"/>
      <c r="E336" s="1518"/>
      <c r="F336" s="1519"/>
      <c r="G336" s="1518"/>
      <c r="H336" s="1518"/>
      <c r="I336" s="1519"/>
      <c r="J336" s="1518"/>
      <c r="K336" s="1518"/>
      <c r="L336" s="1518"/>
      <c r="M336" s="1584"/>
      <c r="N336" s="1584"/>
    </row>
    <row r="337" spans="2:14" s="297" customFormat="1" ht="20.100000000000001" customHeight="1">
      <c r="B337" s="1518"/>
      <c r="C337" s="1519"/>
      <c r="D337" s="1518"/>
      <c r="E337" s="1518"/>
      <c r="F337" s="1519"/>
      <c r="G337" s="1518"/>
      <c r="H337" s="1518"/>
      <c r="I337" s="1519"/>
      <c r="J337" s="1518"/>
      <c r="K337" s="1518"/>
      <c r="L337" s="1518"/>
      <c r="M337" s="1584"/>
      <c r="N337" s="1584"/>
    </row>
    <row r="338" spans="2:14" s="297" customFormat="1" ht="20.100000000000001" customHeight="1">
      <c r="B338" s="1518"/>
      <c r="C338" s="1519"/>
      <c r="D338" s="1518"/>
      <c r="E338" s="1518"/>
      <c r="F338" s="1519"/>
      <c r="G338" s="1518"/>
      <c r="H338" s="1518"/>
      <c r="I338" s="1519"/>
      <c r="J338" s="1518"/>
      <c r="K338" s="1518"/>
      <c r="L338" s="1518"/>
      <c r="M338" s="1584"/>
      <c r="N338" s="1584"/>
    </row>
    <row r="339" spans="2:14" s="297" customFormat="1" ht="20.100000000000001" customHeight="1">
      <c r="B339" s="1518"/>
      <c r="C339" s="1519"/>
      <c r="D339" s="1518"/>
      <c r="E339" s="1518"/>
      <c r="F339" s="1519"/>
      <c r="G339" s="1518"/>
      <c r="H339" s="1518"/>
      <c r="I339" s="1519"/>
      <c r="J339" s="1518"/>
      <c r="K339" s="1518"/>
      <c r="L339" s="1518"/>
      <c r="M339" s="1584"/>
      <c r="N339" s="1584"/>
    </row>
    <row r="340" spans="2:14" s="297" customFormat="1" ht="20.100000000000001" customHeight="1">
      <c r="B340" s="1518"/>
      <c r="C340" s="1519"/>
      <c r="D340" s="1518"/>
      <c r="E340" s="1518"/>
      <c r="F340" s="1519"/>
      <c r="G340" s="1518"/>
      <c r="H340" s="1518"/>
      <c r="I340" s="1519"/>
      <c r="J340" s="1518"/>
      <c r="K340" s="1518"/>
      <c r="L340" s="1518"/>
      <c r="M340" s="1584"/>
      <c r="N340" s="1584"/>
    </row>
    <row r="341" spans="2:14" s="297" customFormat="1" ht="20.100000000000001" customHeight="1">
      <c r="B341" s="1518"/>
      <c r="C341" s="1519"/>
      <c r="D341" s="1518"/>
      <c r="E341" s="1518"/>
      <c r="F341" s="1519"/>
      <c r="G341" s="1518"/>
      <c r="H341" s="1518"/>
      <c r="I341" s="1519"/>
      <c r="J341" s="1518"/>
      <c r="K341" s="1518"/>
      <c r="L341" s="1518"/>
      <c r="M341" s="1584"/>
      <c r="N341" s="1584"/>
    </row>
    <row r="342" spans="2:14" s="297" customFormat="1" ht="20.100000000000001" customHeight="1">
      <c r="B342" s="1518"/>
      <c r="C342" s="1519"/>
      <c r="D342" s="1518"/>
      <c r="E342" s="1518"/>
      <c r="F342" s="1519"/>
      <c r="G342" s="1518"/>
      <c r="H342" s="1518"/>
      <c r="I342" s="1519"/>
      <c r="J342" s="1518"/>
      <c r="K342" s="1518"/>
      <c r="L342" s="1518"/>
      <c r="M342" s="1584"/>
      <c r="N342" s="1584"/>
    </row>
    <row r="343" spans="2:14" s="297" customFormat="1" ht="20.100000000000001" customHeight="1">
      <c r="B343" s="1518"/>
      <c r="C343" s="1519"/>
      <c r="D343" s="1518"/>
      <c r="E343" s="1518"/>
      <c r="F343" s="1519"/>
      <c r="G343" s="1518"/>
      <c r="H343" s="1518"/>
      <c r="I343" s="1519"/>
      <c r="J343" s="1518"/>
      <c r="K343" s="1518"/>
      <c r="L343" s="1518"/>
      <c r="M343" s="1584"/>
      <c r="N343" s="1584"/>
    </row>
    <row r="344" spans="2:14" s="297" customFormat="1" ht="20.100000000000001" customHeight="1">
      <c r="B344" s="1518"/>
      <c r="C344" s="1519"/>
      <c r="D344" s="1518"/>
      <c r="E344" s="1518"/>
      <c r="F344" s="1519"/>
      <c r="G344" s="1518"/>
      <c r="H344" s="1518"/>
      <c r="I344" s="1519"/>
      <c r="J344" s="1518"/>
      <c r="K344" s="1518"/>
      <c r="L344" s="1518"/>
      <c r="M344" s="1584"/>
      <c r="N344" s="1584"/>
    </row>
    <row r="345" spans="2:14" s="297" customFormat="1" ht="20.100000000000001" customHeight="1">
      <c r="B345" s="1518"/>
      <c r="C345" s="1519"/>
      <c r="D345" s="1518"/>
      <c r="E345" s="1518"/>
      <c r="F345" s="1519"/>
      <c r="G345" s="1518"/>
      <c r="H345" s="1518"/>
      <c r="I345" s="1519"/>
      <c r="J345" s="1518"/>
      <c r="K345" s="1518"/>
      <c r="L345" s="1518"/>
      <c r="M345" s="1584"/>
      <c r="N345" s="1584"/>
    </row>
    <row r="346" spans="2:14" s="297" customFormat="1" ht="20.100000000000001" customHeight="1">
      <c r="B346" s="1518"/>
      <c r="C346" s="1519"/>
      <c r="D346" s="1518"/>
      <c r="E346" s="1518"/>
      <c r="F346" s="1519"/>
      <c r="G346" s="1518"/>
      <c r="H346" s="1518"/>
      <c r="I346" s="1519"/>
      <c r="J346" s="1518"/>
      <c r="K346" s="1518"/>
      <c r="L346" s="1518"/>
      <c r="M346" s="1584"/>
      <c r="N346" s="1584"/>
    </row>
    <row r="347" spans="2:14" s="297" customFormat="1" ht="20.100000000000001" customHeight="1">
      <c r="B347" s="1518"/>
      <c r="C347" s="1519"/>
      <c r="D347" s="1518"/>
      <c r="E347" s="1518"/>
      <c r="F347" s="1519"/>
      <c r="G347" s="1518"/>
      <c r="H347" s="1518"/>
      <c r="I347" s="1519"/>
      <c r="J347" s="1518"/>
      <c r="K347" s="1518"/>
      <c r="L347" s="1518"/>
      <c r="M347" s="1584"/>
      <c r="N347" s="1584"/>
    </row>
    <row r="348" spans="2:14" s="297" customFormat="1" ht="20.100000000000001" customHeight="1">
      <c r="B348" s="1518"/>
      <c r="C348" s="1519"/>
      <c r="D348" s="1518"/>
      <c r="E348" s="1518"/>
      <c r="F348" s="1519"/>
      <c r="G348" s="1518"/>
      <c r="H348" s="1518"/>
      <c r="I348" s="1519"/>
      <c r="J348" s="1518"/>
      <c r="K348" s="1518"/>
      <c r="L348" s="1518"/>
      <c r="M348" s="1584"/>
      <c r="N348" s="1584"/>
    </row>
    <row r="349" spans="2:14" s="297" customFormat="1" ht="20.100000000000001" customHeight="1">
      <c r="B349" s="1518"/>
      <c r="C349" s="1519"/>
      <c r="D349" s="1518"/>
      <c r="E349" s="1518"/>
      <c r="F349" s="1519"/>
      <c r="G349" s="1518"/>
      <c r="H349" s="1518"/>
      <c r="I349" s="1519"/>
      <c r="J349" s="1518"/>
      <c r="K349" s="1518"/>
      <c r="L349" s="1518"/>
      <c r="M349" s="1584"/>
      <c r="N349" s="1584"/>
    </row>
    <row r="350" spans="2:14" s="297" customFormat="1" ht="20.100000000000001" customHeight="1">
      <c r="B350" s="1518"/>
      <c r="C350" s="1519"/>
      <c r="D350" s="1518"/>
      <c r="E350" s="1518"/>
      <c r="F350" s="1519"/>
      <c r="G350" s="1518"/>
      <c r="H350" s="1518"/>
      <c r="I350" s="1519"/>
      <c r="J350" s="1518"/>
      <c r="K350" s="1518"/>
      <c r="L350" s="1518"/>
      <c r="M350" s="1584"/>
      <c r="N350" s="1584"/>
    </row>
    <row r="351" spans="2:14" s="297" customFormat="1" ht="20.100000000000001" customHeight="1">
      <c r="B351" s="1518"/>
      <c r="C351" s="1519"/>
      <c r="D351" s="1518"/>
      <c r="E351" s="1518"/>
      <c r="F351" s="1519"/>
      <c r="G351" s="1518"/>
      <c r="H351" s="1518"/>
      <c r="I351" s="1519"/>
      <c r="J351" s="1518"/>
      <c r="K351" s="1518"/>
      <c r="L351" s="1518"/>
      <c r="M351" s="1584"/>
      <c r="N351" s="1584"/>
    </row>
  </sheetData>
  <mergeCells count="16">
    <mergeCell ref="A39:A42"/>
    <mergeCell ref="A43:A46"/>
    <mergeCell ref="A47:A50"/>
    <mergeCell ref="A51:A54"/>
    <mergeCell ref="A14:A17"/>
    <mergeCell ref="A18:A21"/>
    <mergeCell ref="A22:A25"/>
    <mergeCell ref="A26:A30"/>
    <mergeCell ref="A31:A34"/>
    <mergeCell ref="A35:A38"/>
    <mergeCell ref="A10:A13"/>
    <mergeCell ref="A3:A4"/>
    <mergeCell ref="B3:D3"/>
    <mergeCell ref="E3:G3"/>
    <mergeCell ref="H3:J3"/>
    <mergeCell ref="A6:A9"/>
  </mergeCells>
  <phoneticPr fontId="2" type="noConversion"/>
  <printOptions horizontalCentered="1"/>
  <pageMargins left="0.31496062992125984" right="0.31496062992125984" top="0.39370078740157483" bottom="0.39370078740157483" header="0.31496062992125984" footer="0.31496062992125984"/>
  <pageSetup paperSize="9" scale="60" orientation="portrait" r:id="rId1"/>
  <rowBreaks count="1" manualBreakCount="1">
    <brk id="55" max="16383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I10" sqref="I10"/>
    </sheetView>
  </sheetViews>
  <sheetFormatPr defaultColWidth="12.625" defaultRowHeight="20.100000000000001" customHeight="1"/>
  <cols>
    <col min="1" max="1" width="18.75" style="29" customWidth="1"/>
    <col min="2" max="2" width="40.5" style="29" customWidth="1"/>
    <col min="3" max="3" width="25.125" style="29" customWidth="1"/>
    <col min="4" max="4" width="28" style="29" customWidth="1"/>
    <col min="5" max="250" width="12.625" style="29"/>
    <col min="251" max="251" width="20.625" style="29" customWidth="1"/>
    <col min="252" max="252" width="38.125" style="29" customWidth="1"/>
    <col min="253" max="253" width="17.25" style="29" customWidth="1"/>
    <col min="254" max="254" width="18.75" style="29" customWidth="1"/>
    <col min="255" max="255" width="19.625" style="29" customWidth="1"/>
    <col min="256" max="506" width="12.625" style="29"/>
    <col min="507" max="507" width="20.625" style="29" customWidth="1"/>
    <col min="508" max="508" width="38.125" style="29" customWidth="1"/>
    <col min="509" max="509" width="17.25" style="29" customWidth="1"/>
    <col min="510" max="510" width="18.75" style="29" customWidth="1"/>
    <col min="511" max="511" width="19.625" style="29" customWidth="1"/>
    <col min="512" max="762" width="12.625" style="29"/>
    <col min="763" max="763" width="20.625" style="29" customWidth="1"/>
    <col min="764" max="764" width="38.125" style="29" customWidth="1"/>
    <col min="765" max="765" width="17.25" style="29" customWidth="1"/>
    <col min="766" max="766" width="18.75" style="29" customWidth="1"/>
    <col min="767" max="767" width="19.625" style="29" customWidth="1"/>
    <col min="768" max="1018" width="12.625" style="29"/>
    <col min="1019" max="1019" width="20.625" style="29" customWidth="1"/>
    <col min="1020" max="1020" width="38.125" style="29" customWidth="1"/>
    <col min="1021" max="1021" width="17.25" style="29" customWidth="1"/>
    <col min="1022" max="1022" width="18.75" style="29" customWidth="1"/>
    <col min="1023" max="1023" width="19.625" style="29" customWidth="1"/>
    <col min="1024" max="1274" width="12.625" style="29"/>
    <col min="1275" max="1275" width="20.625" style="29" customWidth="1"/>
    <col min="1276" max="1276" width="38.125" style="29" customWidth="1"/>
    <col min="1277" max="1277" width="17.25" style="29" customWidth="1"/>
    <col min="1278" max="1278" width="18.75" style="29" customWidth="1"/>
    <col min="1279" max="1279" width="19.625" style="29" customWidth="1"/>
    <col min="1280" max="1530" width="12.625" style="29"/>
    <col min="1531" max="1531" width="20.625" style="29" customWidth="1"/>
    <col min="1532" max="1532" width="38.125" style="29" customWidth="1"/>
    <col min="1533" max="1533" width="17.25" style="29" customWidth="1"/>
    <col min="1534" max="1534" width="18.75" style="29" customWidth="1"/>
    <col min="1535" max="1535" width="19.625" style="29" customWidth="1"/>
    <col min="1536" max="1786" width="12.625" style="29"/>
    <col min="1787" max="1787" width="20.625" style="29" customWidth="1"/>
    <col min="1788" max="1788" width="38.125" style="29" customWidth="1"/>
    <col min="1789" max="1789" width="17.25" style="29" customWidth="1"/>
    <col min="1790" max="1790" width="18.75" style="29" customWidth="1"/>
    <col min="1791" max="1791" width="19.625" style="29" customWidth="1"/>
    <col min="1792" max="2042" width="12.625" style="29"/>
    <col min="2043" max="2043" width="20.625" style="29" customWidth="1"/>
    <col min="2044" max="2044" width="38.125" style="29" customWidth="1"/>
    <col min="2045" max="2045" width="17.25" style="29" customWidth="1"/>
    <col min="2046" max="2046" width="18.75" style="29" customWidth="1"/>
    <col min="2047" max="2047" width="19.625" style="29" customWidth="1"/>
    <col min="2048" max="2298" width="12.625" style="29"/>
    <col min="2299" max="2299" width="20.625" style="29" customWidth="1"/>
    <col min="2300" max="2300" width="38.125" style="29" customWidth="1"/>
    <col min="2301" max="2301" width="17.25" style="29" customWidth="1"/>
    <col min="2302" max="2302" width="18.75" style="29" customWidth="1"/>
    <col min="2303" max="2303" width="19.625" style="29" customWidth="1"/>
    <col min="2304" max="2554" width="12.625" style="29"/>
    <col min="2555" max="2555" width="20.625" style="29" customWidth="1"/>
    <col min="2556" max="2556" width="38.125" style="29" customWidth="1"/>
    <col min="2557" max="2557" width="17.25" style="29" customWidth="1"/>
    <col min="2558" max="2558" width="18.75" style="29" customWidth="1"/>
    <col min="2559" max="2559" width="19.625" style="29" customWidth="1"/>
    <col min="2560" max="2810" width="12.625" style="29"/>
    <col min="2811" max="2811" width="20.625" style="29" customWidth="1"/>
    <col min="2812" max="2812" width="38.125" style="29" customWidth="1"/>
    <col min="2813" max="2813" width="17.25" style="29" customWidth="1"/>
    <col min="2814" max="2814" width="18.75" style="29" customWidth="1"/>
    <col min="2815" max="2815" width="19.625" style="29" customWidth="1"/>
    <col min="2816" max="3066" width="12.625" style="29"/>
    <col min="3067" max="3067" width="20.625" style="29" customWidth="1"/>
    <col min="3068" max="3068" width="38.125" style="29" customWidth="1"/>
    <col min="3069" max="3069" width="17.25" style="29" customWidth="1"/>
    <col min="3070" max="3070" width="18.75" style="29" customWidth="1"/>
    <col min="3071" max="3071" width="19.625" style="29" customWidth="1"/>
    <col min="3072" max="3322" width="12.625" style="29"/>
    <col min="3323" max="3323" width="20.625" style="29" customWidth="1"/>
    <col min="3324" max="3324" width="38.125" style="29" customWidth="1"/>
    <col min="3325" max="3325" width="17.25" style="29" customWidth="1"/>
    <col min="3326" max="3326" width="18.75" style="29" customWidth="1"/>
    <col min="3327" max="3327" width="19.625" style="29" customWidth="1"/>
    <col min="3328" max="3578" width="12.625" style="29"/>
    <col min="3579" max="3579" width="20.625" style="29" customWidth="1"/>
    <col min="3580" max="3580" width="38.125" style="29" customWidth="1"/>
    <col min="3581" max="3581" width="17.25" style="29" customWidth="1"/>
    <col min="3582" max="3582" width="18.75" style="29" customWidth="1"/>
    <col min="3583" max="3583" width="19.625" style="29" customWidth="1"/>
    <col min="3584" max="3834" width="12.625" style="29"/>
    <col min="3835" max="3835" width="20.625" style="29" customWidth="1"/>
    <col min="3836" max="3836" width="38.125" style="29" customWidth="1"/>
    <col min="3837" max="3837" width="17.25" style="29" customWidth="1"/>
    <col min="3838" max="3838" width="18.75" style="29" customWidth="1"/>
    <col min="3839" max="3839" width="19.625" style="29" customWidth="1"/>
    <col min="3840" max="4090" width="12.625" style="29"/>
    <col min="4091" max="4091" width="20.625" style="29" customWidth="1"/>
    <col min="4092" max="4092" width="38.125" style="29" customWidth="1"/>
    <col min="4093" max="4093" width="17.25" style="29" customWidth="1"/>
    <col min="4094" max="4094" width="18.75" style="29" customWidth="1"/>
    <col min="4095" max="4095" width="19.625" style="29" customWidth="1"/>
    <col min="4096" max="4346" width="12.625" style="29"/>
    <col min="4347" max="4347" width="20.625" style="29" customWidth="1"/>
    <col min="4348" max="4348" width="38.125" style="29" customWidth="1"/>
    <col min="4349" max="4349" width="17.25" style="29" customWidth="1"/>
    <col min="4350" max="4350" width="18.75" style="29" customWidth="1"/>
    <col min="4351" max="4351" width="19.625" style="29" customWidth="1"/>
    <col min="4352" max="4602" width="12.625" style="29"/>
    <col min="4603" max="4603" width="20.625" style="29" customWidth="1"/>
    <col min="4604" max="4604" width="38.125" style="29" customWidth="1"/>
    <col min="4605" max="4605" width="17.25" style="29" customWidth="1"/>
    <col min="4606" max="4606" width="18.75" style="29" customWidth="1"/>
    <col min="4607" max="4607" width="19.625" style="29" customWidth="1"/>
    <col min="4608" max="4858" width="12.625" style="29"/>
    <col min="4859" max="4859" width="20.625" style="29" customWidth="1"/>
    <col min="4860" max="4860" width="38.125" style="29" customWidth="1"/>
    <col min="4861" max="4861" width="17.25" style="29" customWidth="1"/>
    <col min="4862" max="4862" width="18.75" style="29" customWidth="1"/>
    <col min="4863" max="4863" width="19.625" style="29" customWidth="1"/>
    <col min="4864" max="5114" width="12.625" style="29"/>
    <col min="5115" max="5115" width="20.625" style="29" customWidth="1"/>
    <col min="5116" max="5116" width="38.125" style="29" customWidth="1"/>
    <col min="5117" max="5117" width="17.25" style="29" customWidth="1"/>
    <col min="5118" max="5118" width="18.75" style="29" customWidth="1"/>
    <col min="5119" max="5119" width="19.625" style="29" customWidth="1"/>
    <col min="5120" max="5370" width="12.625" style="29"/>
    <col min="5371" max="5371" width="20.625" style="29" customWidth="1"/>
    <col min="5372" max="5372" width="38.125" style="29" customWidth="1"/>
    <col min="5373" max="5373" width="17.25" style="29" customWidth="1"/>
    <col min="5374" max="5374" width="18.75" style="29" customWidth="1"/>
    <col min="5375" max="5375" width="19.625" style="29" customWidth="1"/>
    <col min="5376" max="5626" width="12.625" style="29"/>
    <col min="5627" max="5627" width="20.625" style="29" customWidth="1"/>
    <col min="5628" max="5628" width="38.125" style="29" customWidth="1"/>
    <col min="5629" max="5629" width="17.25" style="29" customWidth="1"/>
    <col min="5630" max="5630" width="18.75" style="29" customWidth="1"/>
    <col min="5631" max="5631" width="19.625" style="29" customWidth="1"/>
    <col min="5632" max="5882" width="12.625" style="29"/>
    <col min="5883" max="5883" width="20.625" style="29" customWidth="1"/>
    <col min="5884" max="5884" width="38.125" style="29" customWidth="1"/>
    <col min="5885" max="5885" width="17.25" style="29" customWidth="1"/>
    <col min="5886" max="5886" width="18.75" style="29" customWidth="1"/>
    <col min="5887" max="5887" width="19.625" style="29" customWidth="1"/>
    <col min="5888" max="6138" width="12.625" style="29"/>
    <col min="6139" max="6139" width="20.625" style="29" customWidth="1"/>
    <col min="6140" max="6140" width="38.125" style="29" customWidth="1"/>
    <col min="6141" max="6141" width="17.25" style="29" customWidth="1"/>
    <col min="6142" max="6142" width="18.75" style="29" customWidth="1"/>
    <col min="6143" max="6143" width="19.625" style="29" customWidth="1"/>
    <col min="6144" max="6394" width="12.625" style="29"/>
    <col min="6395" max="6395" width="20.625" style="29" customWidth="1"/>
    <col min="6396" max="6396" width="38.125" style="29" customWidth="1"/>
    <col min="6397" max="6397" width="17.25" style="29" customWidth="1"/>
    <col min="6398" max="6398" width="18.75" style="29" customWidth="1"/>
    <col min="6399" max="6399" width="19.625" style="29" customWidth="1"/>
    <col min="6400" max="6650" width="12.625" style="29"/>
    <col min="6651" max="6651" width="20.625" style="29" customWidth="1"/>
    <col min="6652" max="6652" width="38.125" style="29" customWidth="1"/>
    <col min="6653" max="6653" width="17.25" style="29" customWidth="1"/>
    <col min="6654" max="6654" width="18.75" style="29" customWidth="1"/>
    <col min="6655" max="6655" width="19.625" style="29" customWidth="1"/>
    <col min="6656" max="6906" width="12.625" style="29"/>
    <col min="6907" max="6907" width="20.625" style="29" customWidth="1"/>
    <col min="6908" max="6908" width="38.125" style="29" customWidth="1"/>
    <col min="6909" max="6909" width="17.25" style="29" customWidth="1"/>
    <col min="6910" max="6910" width="18.75" style="29" customWidth="1"/>
    <col min="6911" max="6911" width="19.625" style="29" customWidth="1"/>
    <col min="6912" max="7162" width="12.625" style="29"/>
    <col min="7163" max="7163" width="20.625" style="29" customWidth="1"/>
    <col min="7164" max="7164" width="38.125" style="29" customWidth="1"/>
    <col min="7165" max="7165" width="17.25" style="29" customWidth="1"/>
    <col min="7166" max="7166" width="18.75" style="29" customWidth="1"/>
    <col min="7167" max="7167" width="19.625" style="29" customWidth="1"/>
    <col min="7168" max="7418" width="12.625" style="29"/>
    <col min="7419" max="7419" width="20.625" style="29" customWidth="1"/>
    <col min="7420" max="7420" width="38.125" style="29" customWidth="1"/>
    <col min="7421" max="7421" width="17.25" style="29" customWidth="1"/>
    <col min="7422" max="7422" width="18.75" style="29" customWidth="1"/>
    <col min="7423" max="7423" width="19.625" style="29" customWidth="1"/>
    <col min="7424" max="7674" width="12.625" style="29"/>
    <col min="7675" max="7675" width="20.625" style="29" customWidth="1"/>
    <col min="7676" max="7676" width="38.125" style="29" customWidth="1"/>
    <col min="7677" max="7677" width="17.25" style="29" customWidth="1"/>
    <col min="7678" max="7678" width="18.75" style="29" customWidth="1"/>
    <col min="7679" max="7679" width="19.625" style="29" customWidth="1"/>
    <col min="7680" max="7930" width="12.625" style="29"/>
    <col min="7931" max="7931" width="20.625" style="29" customWidth="1"/>
    <col min="7932" max="7932" width="38.125" style="29" customWidth="1"/>
    <col min="7933" max="7933" width="17.25" style="29" customWidth="1"/>
    <col min="7934" max="7934" width="18.75" style="29" customWidth="1"/>
    <col min="7935" max="7935" width="19.625" style="29" customWidth="1"/>
    <col min="7936" max="8186" width="12.625" style="29"/>
    <col min="8187" max="8187" width="20.625" style="29" customWidth="1"/>
    <col min="8188" max="8188" width="38.125" style="29" customWidth="1"/>
    <col min="8189" max="8189" width="17.25" style="29" customWidth="1"/>
    <col min="8190" max="8190" width="18.75" style="29" customWidth="1"/>
    <col min="8191" max="8191" width="19.625" style="29" customWidth="1"/>
    <col min="8192" max="8442" width="12.625" style="29"/>
    <col min="8443" max="8443" width="20.625" style="29" customWidth="1"/>
    <col min="8444" max="8444" width="38.125" style="29" customWidth="1"/>
    <col min="8445" max="8445" width="17.25" style="29" customWidth="1"/>
    <col min="8446" max="8446" width="18.75" style="29" customWidth="1"/>
    <col min="8447" max="8447" width="19.625" style="29" customWidth="1"/>
    <col min="8448" max="8698" width="12.625" style="29"/>
    <col min="8699" max="8699" width="20.625" style="29" customWidth="1"/>
    <col min="8700" max="8700" width="38.125" style="29" customWidth="1"/>
    <col min="8701" max="8701" width="17.25" style="29" customWidth="1"/>
    <col min="8702" max="8702" width="18.75" style="29" customWidth="1"/>
    <col min="8703" max="8703" width="19.625" style="29" customWidth="1"/>
    <col min="8704" max="8954" width="12.625" style="29"/>
    <col min="8955" max="8955" width="20.625" style="29" customWidth="1"/>
    <col min="8956" max="8956" width="38.125" style="29" customWidth="1"/>
    <col min="8957" max="8957" width="17.25" style="29" customWidth="1"/>
    <col min="8958" max="8958" width="18.75" style="29" customWidth="1"/>
    <col min="8959" max="8959" width="19.625" style="29" customWidth="1"/>
    <col min="8960" max="9210" width="12.625" style="29"/>
    <col min="9211" max="9211" width="20.625" style="29" customWidth="1"/>
    <col min="9212" max="9212" width="38.125" style="29" customWidth="1"/>
    <col min="9213" max="9213" width="17.25" style="29" customWidth="1"/>
    <col min="9214" max="9214" width="18.75" style="29" customWidth="1"/>
    <col min="9215" max="9215" width="19.625" style="29" customWidth="1"/>
    <col min="9216" max="9466" width="12.625" style="29"/>
    <col min="9467" max="9467" width="20.625" style="29" customWidth="1"/>
    <col min="9468" max="9468" width="38.125" style="29" customWidth="1"/>
    <col min="9469" max="9469" width="17.25" style="29" customWidth="1"/>
    <col min="9470" max="9470" width="18.75" style="29" customWidth="1"/>
    <col min="9471" max="9471" width="19.625" style="29" customWidth="1"/>
    <col min="9472" max="9722" width="12.625" style="29"/>
    <col min="9723" max="9723" width="20.625" style="29" customWidth="1"/>
    <col min="9724" max="9724" width="38.125" style="29" customWidth="1"/>
    <col min="9725" max="9725" width="17.25" style="29" customWidth="1"/>
    <col min="9726" max="9726" width="18.75" style="29" customWidth="1"/>
    <col min="9727" max="9727" width="19.625" style="29" customWidth="1"/>
    <col min="9728" max="9978" width="12.625" style="29"/>
    <col min="9979" max="9979" width="20.625" style="29" customWidth="1"/>
    <col min="9980" max="9980" width="38.125" style="29" customWidth="1"/>
    <col min="9981" max="9981" width="17.25" style="29" customWidth="1"/>
    <col min="9982" max="9982" width="18.75" style="29" customWidth="1"/>
    <col min="9983" max="9983" width="19.625" style="29" customWidth="1"/>
    <col min="9984" max="10234" width="12.625" style="29"/>
    <col min="10235" max="10235" width="20.625" style="29" customWidth="1"/>
    <col min="10236" max="10236" width="38.125" style="29" customWidth="1"/>
    <col min="10237" max="10237" width="17.25" style="29" customWidth="1"/>
    <col min="10238" max="10238" width="18.75" style="29" customWidth="1"/>
    <col min="10239" max="10239" width="19.625" style="29" customWidth="1"/>
    <col min="10240" max="10490" width="12.625" style="29"/>
    <col min="10491" max="10491" width="20.625" style="29" customWidth="1"/>
    <col min="10492" max="10492" width="38.125" style="29" customWidth="1"/>
    <col min="10493" max="10493" width="17.25" style="29" customWidth="1"/>
    <col min="10494" max="10494" width="18.75" style="29" customWidth="1"/>
    <col min="10495" max="10495" width="19.625" style="29" customWidth="1"/>
    <col min="10496" max="10746" width="12.625" style="29"/>
    <col min="10747" max="10747" width="20.625" style="29" customWidth="1"/>
    <col min="10748" max="10748" width="38.125" style="29" customWidth="1"/>
    <col min="10749" max="10749" width="17.25" style="29" customWidth="1"/>
    <col min="10750" max="10750" width="18.75" style="29" customWidth="1"/>
    <col min="10751" max="10751" width="19.625" style="29" customWidth="1"/>
    <col min="10752" max="11002" width="12.625" style="29"/>
    <col min="11003" max="11003" width="20.625" style="29" customWidth="1"/>
    <col min="11004" max="11004" width="38.125" style="29" customWidth="1"/>
    <col min="11005" max="11005" width="17.25" style="29" customWidth="1"/>
    <col min="11006" max="11006" width="18.75" style="29" customWidth="1"/>
    <col min="11007" max="11007" width="19.625" style="29" customWidth="1"/>
    <col min="11008" max="11258" width="12.625" style="29"/>
    <col min="11259" max="11259" width="20.625" style="29" customWidth="1"/>
    <col min="11260" max="11260" width="38.125" style="29" customWidth="1"/>
    <col min="11261" max="11261" width="17.25" style="29" customWidth="1"/>
    <col min="11262" max="11262" width="18.75" style="29" customWidth="1"/>
    <col min="11263" max="11263" width="19.625" style="29" customWidth="1"/>
    <col min="11264" max="11514" width="12.625" style="29"/>
    <col min="11515" max="11515" width="20.625" style="29" customWidth="1"/>
    <col min="11516" max="11516" width="38.125" style="29" customWidth="1"/>
    <col min="11517" max="11517" width="17.25" style="29" customWidth="1"/>
    <col min="11518" max="11518" width="18.75" style="29" customWidth="1"/>
    <col min="11519" max="11519" width="19.625" style="29" customWidth="1"/>
    <col min="11520" max="11770" width="12.625" style="29"/>
    <col min="11771" max="11771" width="20.625" style="29" customWidth="1"/>
    <col min="11772" max="11772" width="38.125" style="29" customWidth="1"/>
    <col min="11773" max="11773" width="17.25" style="29" customWidth="1"/>
    <col min="11774" max="11774" width="18.75" style="29" customWidth="1"/>
    <col min="11775" max="11775" width="19.625" style="29" customWidth="1"/>
    <col min="11776" max="12026" width="12.625" style="29"/>
    <col min="12027" max="12027" width="20.625" style="29" customWidth="1"/>
    <col min="12028" max="12028" width="38.125" style="29" customWidth="1"/>
    <col min="12029" max="12029" width="17.25" style="29" customWidth="1"/>
    <col min="12030" max="12030" width="18.75" style="29" customWidth="1"/>
    <col min="12031" max="12031" width="19.625" style="29" customWidth="1"/>
    <col min="12032" max="12282" width="12.625" style="29"/>
    <col min="12283" max="12283" width="20.625" style="29" customWidth="1"/>
    <col min="12284" max="12284" width="38.125" style="29" customWidth="1"/>
    <col min="12285" max="12285" width="17.25" style="29" customWidth="1"/>
    <col min="12286" max="12286" width="18.75" style="29" customWidth="1"/>
    <col min="12287" max="12287" width="19.625" style="29" customWidth="1"/>
    <col min="12288" max="12538" width="12.625" style="29"/>
    <col min="12539" max="12539" width="20.625" style="29" customWidth="1"/>
    <col min="12540" max="12540" width="38.125" style="29" customWidth="1"/>
    <col min="12541" max="12541" width="17.25" style="29" customWidth="1"/>
    <col min="12542" max="12542" width="18.75" style="29" customWidth="1"/>
    <col min="12543" max="12543" width="19.625" style="29" customWidth="1"/>
    <col min="12544" max="12794" width="12.625" style="29"/>
    <col min="12795" max="12795" width="20.625" style="29" customWidth="1"/>
    <col min="12796" max="12796" width="38.125" style="29" customWidth="1"/>
    <col min="12797" max="12797" width="17.25" style="29" customWidth="1"/>
    <col min="12798" max="12798" width="18.75" style="29" customWidth="1"/>
    <col min="12799" max="12799" width="19.625" style="29" customWidth="1"/>
    <col min="12800" max="13050" width="12.625" style="29"/>
    <col min="13051" max="13051" width="20.625" style="29" customWidth="1"/>
    <col min="13052" max="13052" width="38.125" style="29" customWidth="1"/>
    <col min="13053" max="13053" width="17.25" style="29" customWidth="1"/>
    <col min="13054" max="13054" width="18.75" style="29" customWidth="1"/>
    <col min="13055" max="13055" width="19.625" style="29" customWidth="1"/>
    <col min="13056" max="13306" width="12.625" style="29"/>
    <col min="13307" max="13307" width="20.625" style="29" customWidth="1"/>
    <col min="13308" max="13308" width="38.125" style="29" customWidth="1"/>
    <col min="13309" max="13309" width="17.25" style="29" customWidth="1"/>
    <col min="13310" max="13310" width="18.75" style="29" customWidth="1"/>
    <col min="13311" max="13311" width="19.625" style="29" customWidth="1"/>
    <col min="13312" max="13562" width="12.625" style="29"/>
    <col min="13563" max="13563" width="20.625" style="29" customWidth="1"/>
    <col min="13564" max="13564" width="38.125" style="29" customWidth="1"/>
    <col min="13565" max="13565" width="17.25" style="29" customWidth="1"/>
    <col min="13566" max="13566" width="18.75" style="29" customWidth="1"/>
    <col min="13567" max="13567" width="19.625" style="29" customWidth="1"/>
    <col min="13568" max="13818" width="12.625" style="29"/>
    <col min="13819" max="13819" width="20.625" style="29" customWidth="1"/>
    <col min="13820" max="13820" width="38.125" style="29" customWidth="1"/>
    <col min="13821" max="13821" width="17.25" style="29" customWidth="1"/>
    <col min="13822" max="13822" width="18.75" style="29" customWidth="1"/>
    <col min="13823" max="13823" width="19.625" style="29" customWidth="1"/>
    <col min="13824" max="14074" width="12.625" style="29"/>
    <col min="14075" max="14075" width="20.625" style="29" customWidth="1"/>
    <col min="14076" max="14076" width="38.125" style="29" customWidth="1"/>
    <col min="14077" max="14077" width="17.25" style="29" customWidth="1"/>
    <col min="14078" max="14078" width="18.75" style="29" customWidth="1"/>
    <col min="14079" max="14079" width="19.625" style="29" customWidth="1"/>
    <col min="14080" max="14330" width="12.625" style="29"/>
    <col min="14331" max="14331" width="20.625" style="29" customWidth="1"/>
    <col min="14332" max="14332" width="38.125" style="29" customWidth="1"/>
    <col min="14333" max="14333" width="17.25" style="29" customWidth="1"/>
    <col min="14334" max="14334" width="18.75" style="29" customWidth="1"/>
    <col min="14335" max="14335" width="19.625" style="29" customWidth="1"/>
    <col min="14336" max="14586" width="12.625" style="29"/>
    <col min="14587" max="14587" width="20.625" style="29" customWidth="1"/>
    <col min="14588" max="14588" width="38.125" style="29" customWidth="1"/>
    <col min="14589" max="14589" width="17.25" style="29" customWidth="1"/>
    <col min="14590" max="14590" width="18.75" style="29" customWidth="1"/>
    <col min="14591" max="14591" width="19.625" style="29" customWidth="1"/>
    <col min="14592" max="14842" width="12.625" style="29"/>
    <col min="14843" max="14843" width="20.625" style="29" customWidth="1"/>
    <col min="14844" max="14844" width="38.125" style="29" customWidth="1"/>
    <col min="14845" max="14845" width="17.25" style="29" customWidth="1"/>
    <col min="14846" max="14846" width="18.75" style="29" customWidth="1"/>
    <col min="14847" max="14847" width="19.625" style="29" customWidth="1"/>
    <col min="14848" max="15098" width="12.625" style="29"/>
    <col min="15099" max="15099" width="20.625" style="29" customWidth="1"/>
    <col min="15100" max="15100" width="38.125" style="29" customWidth="1"/>
    <col min="15101" max="15101" width="17.25" style="29" customWidth="1"/>
    <col min="15102" max="15102" width="18.75" style="29" customWidth="1"/>
    <col min="15103" max="15103" width="19.625" style="29" customWidth="1"/>
    <col min="15104" max="15354" width="12.625" style="29"/>
    <col min="15355" max="15355" width="20.625" style="29" customWidth="1"/>
    <col min="15356" max="15356" width="38.125" style="29" customWidth="1"/>
    <col min="15357" max="15357" width="17.25" style="29" customWidth="1"/>
    <col min="15358" max="15358" width="18.75" style="29" customWidth="1"/>
    <col min="15359" max="15359" width="19.625" style="29" customWidth="1"/>
    <col min="15360" max="15610" width="12.625" style="29"/>
    <col min="15611" max="15611" width="20.625" style="29" customWidth="1"/>
    <col min="15612" max="15612" width="38.125" style="29" customWidth="1"/>
    <col min="15613" max="15613" width="17.25" style="29" customWidth="1"/>
    <col min="15614" max="15614" width="18.75" style="29" customWidth="1"/>
    <col min="15615" max="15615" width="19.625" style="29" customWidth="1"/>
    <col min="15616" max="15866" width="12.625" style="29"/>
    <col min="15867" max="15867" width="20.625" style="29" customWidth="1"/>
    <col min="15868" max="15868" width="38.125" style="29" customWidth="1"/>
    <col min="15869" max="15869" width="17.25" style="29" customWidth="1"/>
    <col min="15870" max="15870" width="18.75" style="29" customWidth="1"/>
    <col min="15871" max="15871" width="19.625" style="29" customWidth="1"/>
    <col min="15872" max="16122" width="12.625" style="29"/>
    <col min="16123" max="16123" width="20.625" style="29" customWidth="1"/>
    <col min="16124" max="16124" width="38.125" style="29" customWidth="1"/>
    <col min="16125" max="16125" width="17.25" style="29" customWidth="1"/>
    <col min="16126" max="16126" width="18.75" style="29" customWidth="1"/>
    <col min="16127" max="16127" width="19.625" style="29" customWidth="1"/>
    <col min="16128" max="16384" width="12.625" style="29"/>
  </cols>
  <sheetData>
    <row r="1" spans="1:4" ht="20.100000000000001" customHeight="1">
      <c r="A1" s="27" t="s">
        <v>263</v>
      </c>
    </row>
    <row r="2" spans="1:4" ht="17.25" customHeight="1">
      <c r="B2" s="6"/>
      <c r="C2" s="58"/>
    </row>
    <row r="3" spans="1:4" ht="20.100000000000001" customHeight="1">
      <c r="A3" s="2083" t="e">
        <f>#REF!</f>
        <v>#REF!</v>
      </c>
      <c r="B3" s="2083"/>
      <c r="C3" s="30"/>
      <c r="D3" s="31" t="s">
        <v>0</v>
      </c>
    </row>
    <row r="4" spans="1:4" ht="20.100000000000001" customHeight="1">
      <c r="A4" s="76" t="s">
        <v>45</v>
      </c>
      <c r="B4" s="76" t="s">
        <v>2</v>
      </c>
      <c r="C4" s="61" t="s">
        <v>3</v>
      </c>
      <c r="D4" s="62" t="s">
        <v>4</v>
      </c>
    </row>
    <row r="5" spans="1:4" ht="21.95" customHeight="1">
      <c r="A5" s="308" t="s">
        <v>264</v>
      </c>
      <c r="B5" s="309" t="s">
        <v>265</v>
      </c>
      <c r="C5" s="310">
        <v>200000000</v>
      </c>
      <c r="D5" s="371"/>
    </row>
    <row r="6" spans="1:4" ht="21.95" customHeight="1">
      <c r="A6" s="261" t="s">
        <v>271</v>
      </c>
      <c r="B6" s="305" t="s">
        <v>272</v>
      </c>
      <c r="C6" s="312">
        <v>-200000000</v>
      </c>
      <c r="D6" s="304"/>
    </row>
    <row r="7" spans="1:4" ht="21.95" customHeight="1">
      <c r="A7" s="261"/>
      <c r="B7" s="305"/>
      <c r="C7" s="312"/>
      <c r="D7" s="304"/>
    </row>
    <row r="8" spans="1:4" ht="21.95" customHeight="1">
      <c r="A8" s="261"/>
      <c r="B8" s="305"/>
      <c r="C8" s="312"/>
      <c r="D8" s="304"/>
    </row>
    <row r="9" spans="1:4" ht="21.95" customHeight="1">
      <c r="A9" s="261"/>
      <c r="B9" s="307"/>
      <c r="C9" s="312"/>
      <c r="D9" s="304"/>
    </row>
    <row r="10" spans="1:4" ht="21.95" customHeight="1">
      <c r="A10" s="261"/>
      <c r="B10" s="305"/>
      <c r="C10" s="312"/>
      <c r="D10" s="304"/>
    </row>
    <row r="11" spans="1:4" ht="21.95" customHeight="1">
      <c r="A11" s="261"/>
      <c r="B11" s="305"/>
      <c r="C11" s="312"/>
      <c r="D11" s="304"/>
    </row>
    <row r="12" spans="1:4" ht="21.95" customHeight="1">
      <c r="A12" s="261"/>
      <c r="B12" s="305"/>
      <c r="C12" s="312"/>
      <c r="D12" s="304"/>
    </row>
    <row r="13" spans="1:4" ht="21.95" customHeight="1">
      <c r="A13" s="261"/>
      <c r="B13" s="305"/>
      <c r="C13" s="312"/>
      <c r="D13" s="304"/>
    </row>
    <row r="14" spans="1:4" ht="21.95" customHeight="1">
      <c r="A14" s="377"/>
      <c r="B14" s="372"/>
      <c r="C14" s="378"/>
      <c r="D14" s="379"/>
    </row>
    <row r="15" spans="1:4" ht="21.95" customHeight="1">
      <c r="A15" s="377"/>
      <c r="B15" s="372"/>
      <c r="C15" s="378"/>
      <c r="D15" s="379"/>
    </row>
    <row r="16" spans="1:4" ht="21.95" customHeight="1">
      <c r="A16" s="377"/>
      <c r="B16" s="372"/>
      <c r="C16" s="378"/>
      <c r="D16" s="379"/>
    </row>
    <row r="17" spans="1:4" ht="21.95" customHeight="1">
      <c r="A17" s="377"/>
      <c r="B17" s="372"/>
      <c r="C17" s="378"/>
      <c r="D17" s="379"/>
    </row>
    <row r="18" spans="1:4" ht="21.95" customHeight="1">
      <c r="A18" s="261"/>
      <c r="B18" s="307"/>
      <c r="C18" s="312"/>
      <c r="D18" s="304"/>
    </row>
    <row r="19" spans="1:4" ht="21.95" customHeight="1">
      <c r="A19" s="261"/>
      <c r="B19" s="307"/>
      <c r="C19" s="312"/>
      <c r="D19" s="304"/>
    </row>
    <row r="20" spans="1:4" ht="21.95" customHeight="1">
      <c r="A20" s="261"/>
      <c r="B20" s="307"/>
      <c r="C20" s="312"/>
      <c r="D20" s="304"/>
    </row>
    <row r="21" spans="1:4" ht="21.95" customHeight="1">
      <c r="A21" s="261"/>
      <c r="B21" s="307"/>
      <c r="C21" s="312"/>
      <c r="D21" s="304"/>
    </row>
    <row r="22" spans="1:4" ht="20.100000000000001" customHeight="1">
      <c r="A22" s="2166" t="s">
        <v>257</v>
      </c>
      <c r="B22" s="2167"/>
      <c r="C22" s="73">
        <f>SUM(C5:C21)</f>
        <v>0</v>
      </c>
      <c r="D22" s="60"/>
    </row>
    <row r="23" spans="1:4" ht="20.100000000000001" customHeight="1">
      <c r="A23" s="2" t="e">
        <f>#REF!</f>
        <v>#REF!</v>
      </c>
    </row>
  </sheetData>
  <mergeCells count="2">
    <mergeCell ref="A3:B3"/>
    <mergeCell ref="A22:B22"/>
  </mergeCells>
  <phoneticPr fontId="2" type="noConversion"/>
  <pageMargins left="0.70866141732283472" right="0.70866141732283472" top="0.55118110236220474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4"/>
  <sheetViews>
    <sheetView showGridLines="0" zoomScaleNormal="100" workbookViewId="0">
      <pane ySplit="4" topLeftCell="A57" activePane="bottomLeft" state="frozen"/>
      <selection activeCell="B31" sqref="B31"/>
      <selection pane="bottomLeft"/>
    </sheetView>
  </sheetViews>
  <sheetFormatPr defaultColWidth="12.625" defaultRowHeight="20.100000000000001" customHeight="1"/>
  <cols>
    <col min="1" max="1" width="29.75" style="1358" customWidth="1"/>
    <col min="2" max="2" width="34" style="1358" customWidth="1"/>
    <col min="3" max="4" width="11.875" style="80" customWidth="1"/>
    <col min="5" max="5" width="18.75" style="4" customWidth="1"/>
    <col min="6" max="6" width="29.625" style="4" customWidth="1"/>
    <col min="7" max="16384" width="12.625" style="4"/>
  </cols>
  <sheetData>
    <row r="1" spans="1:6" ht="20.100000000000001" customHeight="1">
      <c r="A1" s="1357" t="s">
        <v>183</v>
      </c>
    </row>
    <row r="2" spans="1:6" ht="9.75" customHeight="1">
      <c r="A2" s="1359"/>
      <c r="B2" s="1360"/>
      <c r="C2" s="7"/>
      <c r="D2" s="7"/>
      <c r="E2" s="8"/>
    </row>
    <row r="3" spans="1:6" ht="20.100000000000001" customHeight="1">
      <c r="A3" s="664">
        <f>재무상태표!A3</f>
        <v>45504</v>
      </c>
      <c r="B3" s="1361"/>
      <c r="C3" s="10"/>
      <c r="D3" s="10"/>
      <c r="E3" s="11"/>
      <c r="F3" s="12" t="s">
        <v>0</v>
      </c>
    </row>
    <row r="4" spans="1:6" ht="20.100000000000001" customHeight="1">
      <c r="A4" s="1362" t="s">
        <v>189</v>
      </c>
      <c r="B4" s="1363" t="s">
        <v>190</v>
      </c>
      <c r="C4" s="1347" t="s">
        <v>191</v>
      </c>
      <c r="D4" s="1347" t="s">
        <v>192</v>
      </c>
      <c r="E4" s="1348" t="s">
        <v>3</v>
      </c>
      <c r="F4" s="1349" t="s">
        <v>4</v>
      </c>
    </row>
    <row r="5" spans="1:6" ht="21.95" hidden="1" customHeight="1">
      <c r="A5" s="1354" t="s">
        <v>193</v>
      </c>
      <c r="B5" s="1341"/>
      <c r="C5" s="1342">
        <v>0</v>
      </c>
      <c r="D5" s="1342">
        <v>12348000</v>
      </c>
      <c r="E5" s="1343">
        <f>C5*D5</f>
        <v>0</v>
      </c>
      <c r="F5" s="1350" t="s">
        <v>658</v>
      </c>
    </row>
    <row r="6" spans="1:6" ht="21.95" customHeight="1">
      <c r="A6" s="1354" t="s">
        <v>194</v>
      </c>
      <c r="B6" s="1341" t="s">
        <v>195</v>
      </c>
      <c r="C6" s="1342">
        <v>1</v>
      </c>
      <c r="D6" s="1342">
        <v>7200000</v>
      </c>
      <c r="E6" s="1343">
        <f t="shared" ref="E6:E48" si="0">C6*D6</f>
        <v>7200000</v>
      </c>
      <c r="F6" s="1350"/>
    </row>
    <row r="7" spans="1:6" ht="21.95" customHeight="1">
      <c r="A7" s="1354" t="s">
        <v>196</v>
      </c>
      <c r="B7" s="1341"/>
      <c r="C7" s="1342">
        <f>897-77</f>
        <v>820</v>
      </c>
      <c r="D7" s="1342">
        <v>12300</v>
      </c>
      <c r="E7" s="1343">
        <f t="shared" si="0"/>
        <v>10086000</v>
      </c>
      <c r="F7" s="1350" t="s">
        <v>675</v>
      </c>
    </row>
    <row r="8" spans="1:6" ht="21.95" customHeight="1">
      <c r="A8" s="1354" t="s">
        <v>194</v>
      </c>
      <c r="B8" s="1341" t="s">
        <v>197</v>
      </c>
      <c r="C8" s="1342">
        <v>1</v>
      </c>
      <c r="D8" s="1342">
        <v>6100000</v>
      </c>
      <c r="E8" s="1343">
        <f t="shared" si="0"/>
        <v>6100000</v>
      </c>
      <c r="F8" s="1350"/>
    </row>
    <row r="9" spans="1:6" ht="21.95" hidden="1" customHeight="1">
      <c r="A9" s="1354" t="s">
        <v>198</v>
      </c>
      <c r="B9" s="1341" t="s">
        <v>199</v>
      </c>
      <c r="C9" s="1342">
        <v>0</v>
      </c>
      <c r="D9" s="1342">
        <v>175000</v>
      </c>
      <c r="E9" s="1343">
        <f t="shared" si="0"/>
        <v>0</v>
      </c>
      <c r="F9" s="1350" t="s">
        <v>545</v>
      </c>
    </row>
    <row r="10" spans="1:6" ht="21.95" hidden="1" customHeight="1">
      <c r="A10" s="1354" t="s">
        <v>200</v>
      </c>
      <c r="B10" s="1341" t="s">
        <v>199</v>
      </c>
      <c r="C10" s="1342">
        <v>0</v>
      </c>
      <c r="D10" s="1342">
        <v>175000</v>
      </c>
      <c r="E10" s="1343">
        <f t="shared" si="0"/>
        <v>0</v>
      </c>
      <c r="F10" s="1350" t="s">
        <v>546</v>
      </c>
    </row>
    <row r="11" spans="1:6" ht="21.95" customHeight="1">
      <c r="A11" s="1354" t="s">
        <v>201</v>
      </c>
      <c r="B11" s="1341" t="s">
        <v>202</v>
      </c>
      <c r="C11" s="1342">
        <v>10</v>
      </c>
      <c r="D11" s="1342">
        <v>150000</v>
      </c>
      <c r="E11" s="1343">
        <f t="shared" si="0"/>
        <v>1500000</v>
      </c>
      <c r="F11" s="1350"/>
    </row>
    <row r="12" spans="1:6" ht="21.95" customHeight="1">
      <c r="A12" s="1354" t="s">
        <v>201</v>
      </c>
      <c r="B12" s="1341" t="s">
        <v>203</v>
      </c>
      <c r="C12" s="1342">
        <v>9</v>
      </c>
      <c r="D12" s="1342">
        <v>250000</v>
      </c>
      <c r="E12" s="1343">
        <f t="shared" si="0"/>
        <v>2250000</v>
      </c>
      <c r="F12" s="1350"/>
    </row>
    <row r="13" spans="1:6" ht="21.95" customHeight="1">
      <c r="A13" s="1354" t="s">
        <v>204</v>
      </c>
      <c r="B13" s="1341" t="s">
        <v>205</v>
      </c>
      <c r="C13" s="1342">
        <v>9</v>
      </c>
      <c r="D13" s="1342">
        <v>280000</v>
      </c>
      <c r="E13" s="1343">
        <f t="shared" si="0"/>
        <v>2520000</v>
      </c>
      <c r="F13" s="1350"/>
    </row>
    <row r="14" spans="1:6" ht="21.95" customHeight="1">
      <c r="A14" s="1354" t="s">
        <v>206</v>
      </c>
      <c r="B14" s="1341" t="s">
        <v>205</v>
      </c>
      <c r="C14" s="1342">
        <v>9</v>
      </c>
      <c r="D14" s="1342">
        <v>280000</v>
      </c>
      <c r="E14" s="1343">
        <f t="shared" si="0"/>
        <v>2520000</v>
      </c>
      <c r="F14" s="1350"/>
    </row>
    <row r="15" spans="1:6" ht="21.95" customHeight="1">
      <c r="A15" s="1354" t="s">
        <v>206</v>
      </c>
      <c r="B15" s="1341" t="s">
        <v>207</v>
      </c>
      <c r="C15" s="1342">
        <v>10</v>
      </c>
      <c r="D15" s="1342">
        <v>320000</v>
      </c>
      <c r="E15" s="1343">
        <f t="shared" si="0"/>
        <v>3200000</v>
      </c>
      <c r="F15" s="1350"/>
    </row>
    <row r="16" spans="1:6" ht="21.95" hidden="1" customHeight="1">
      <c r="A16" s="1354" t="s">
        <v>208</v>
      </c>
      <c r="B16" s="1341" t="s">
        <v>209</v>
      </c>
      <c r="C16" s="1342">
        <v>0</v>
      </c>
      <c r="D16" s="1342">
        <v>310000</v>
      </c>
      <c r="E16" s="1343">
        <f t="shared" si="0"/>
        <v>0</v>
      </c>
      <c r="F16" s="1350" t="s">
        <v>673</v>
      </c>
    </row>
    <row r="17" spans="1:6" ht="21.95" hidden="1" customHeight="1">
      <c r="A17" s="1354" t="s">
        <v>210</v>
      </c>
      <c r="B17" s="1341" t="s">
        <v>211</v>
      </c>
      <c r="C17" s="1342">
        <v>0</v>
      </c>
      <c r="D17" s="1342">
        <v>21000</v>
      </c>
      <c r="E17" s="1343">
        <f t="shared" si="0"/>
        <v>0</v>
      </c>
      <c r="F17" s="1350" t="s">
        <v>546</v>
      </c>
    </row>
    <row r="18" spans="1:6" ht="21.95" hidden="1" customHeight="1">
      <c r="A18" s="1354" t="s">
        <v>212</v>
      </c>
      <c r="B18" s="1341" t="s">
        <v>213</v>
      </c>
      <c r="C18" s="1342">
        <v>0</v>
      </c>
      <c r="D18" s="1342">
        <v>90000</v>
      </c>
      <c r="E18" s="1343">
        <f t="shared" si="0"/>
        <v>0</v>
      </c>
      <c r="F18" s="1350" t="s">
        <v>545</v>
      </c>
    </row>
    <row r="19" spans="1:6" ht="21.95" customHeight="1">
      <c r="A19" s="1354" t="s">
        <v>214</v>
      </c>
      <c r="B19" s="1341" t="s">
        <v>215</v>
      </c>
      <c r="C19" s="1342">
        <v>8</v>
      </c>
      <c r="D19" s="1342">
        <v>290000</v>
      </c>
      <c r="E19" s="1343">
        <f t="shared" si="0"/>
        <v>2320000</v>
      </c>
      <c r="F19" s="1350" t="s">
        <v>1197</v>
      </c>
    </row>
    <row r="20" spans="1:6" ht="21.95" hidden="1" customHeight="1">
      <c r="A20" s="1354" t="s">
        <v>216</v>
      </c>
      <c r="B20" s="1341" t="s">
        <v>217</v>
      </c>
      <c r="C20" s="1342">
        <v>0</v>
      </c>
      <c r="D20" s="1342">
        <v>73000</v>
      </c>
      <c r="E20" s="1343">
        <f t="shared" si="0"/>
        <v>0</v>
      </c>
      <c r="F20" s="1350" t="s">
        <v>546</v>
      </c>
    </row>
    <row r="21" spans="1:6" ht="21.95" customHeight="1">
      <c r="A21" s="1354" t="s">
        <v>218</v>
      </c>
      <c r="B21" s="1341" t="s">
        <v>219</v>
      </c>
      <c r="C21" s="1342">
        <v>25</v>
      </c>
      <c r="D21" s="1342">
        <v>89000</v>
      </c>
      <c r="E21" s="1343">
        <f t="shared" si="0"/>
        <v>2225000</v>
      </c>
      <c r="F21" s="1350"/>
    </row>
    <row r="22" spans="1:6" ht="21.95" customHeight="1">
      <c r="A22" s="1354" t="s">
        <v>218</v>
      </c>
      <c r="B22" s="1341" t="s">
        <v>220</v>
      </c>
      <c r="C22" s="1342">
        <v>24</v>
      </c>
      <c r="D22" s="1342">
        <v>89000</v>
      </c>
      <c r="E22" s="1343">
        <f t="shared" si="0"/>
        <v>2136000</v>
      </c>
      <c r="F22" s="1350" t="s">
        <v>658</v>
      </c>
    </row>
    <row r="23" spans="1:6" ht="21.95" hidden="1" customHeight="1">
      <c r="A23" s="1354" t="s">
        <v>194</v>
      </c>
      <c r="B23" s="1341" t="s">
        <v>221</v>
      </c>
      <c r="C23" s="1342">
        <v>0</v>
      </c>
      <c r="D23" s="1342">
        <v>782000</v>
      </c>
      <c r="E23" s="1343">
        <f t="shared" si="0"/>
        <v>0</v>
      </c>
      <c r="F23" s="1350" t="s">
        <v>546</v>
      </c>
    </row>
    <row r="24" spans="1:6" ht="21.95" customHeight="1">
      <c r="A24" s="1354" t="s">
        <v>222</v>
      </c>
      <c r="B24" s="1341" t="s">
        <v>223</v>
      </c>
      <c r="C24" s="1342">
        <v>1</v>
      </c>
      <c r="D24" s="1342">
        <v>1435000</v>
      </c>
      <c r="E24" s="1343">
        <f t="shared" si="0"/>
        <v>1435000</v>
      </c>
      <c r="F24" s="1350"/>
    </row>
    <row r="25" spans="1:6" ht="21.95" customHeight="1">
      <c r="A25" s="1354" t="s">
        <v>224</v>
      </c>
      <c r="B25" s="1341" t="s">
        <v>225</v>
      </c>
      <c r="C25" s="1342">
        <v>1</v>
      </c>
      <c r="D25" s="1342">
        <v>2195000</v>
      </c>
      <c r="E25" s="1343">
        <f t="shared" si="0"/>
        <v>2195000</v>
      </c>
      <c r="F25" s="1350"/>
    </row>
    <row r="26" spans="1:6" ht="21.95" hidden="1" customHeight="1">
      <c r="A26" s="1354" t="s">
        <v>224</v>
      </c>
      <c r="B26" s="1341" t="s">
        <v>226</v>
      </c>
      <c r="C26" s="1342">
        <v>0</v>
      </c>
      <c r="D26" s="1342">
        <v>880000</v>
      </c>
      <c r="E26" s="1344">
        <f t="shared" si="0"/>
        <v>0</v>
      </c>
      <c r="F26" s="1350" t="s">
        <v>546</v>
      </c>
    </row>
    <row r="27" spans="1:6" ht="21.95" hidden="1" customHeight="1">
      <c r="A27" s="1354" t="s">
        <v>222</v>
      </c>
      <c r="B27" s="1341" t="s">
        <v>227</v>
      </c>
      <c r="C27" s="1342">
        <v>0</v>
      </c>
      <c r="D27" s="1342">
        <v>1026000</v>
      </c>
      <c r="E27" s="1343">
        <f t="shared" si="0"/>
        <v>0</v>
      </c>
      <c r="F27" s="1350" t="s">
        <v>546</v>
      </c>
    </row>
    <row r="28" spans="1:6" ht="21.95" customHeight="1">
      <c r="A28" s="1364" t="s">
        <v>194</v>
      </c>
      <c r="B28" s="1365" t="s">
        <v>228</v>
      </c>
      <c r="C28" s="1345">
        <v>1</v>
      </c>
      <c r="D28" s="1345">
        <v>6175000</v>
      </c>
      <c r="E28" s="1346">
        <f t="shared" si="0"/>
        <v>6175000</v>
      </c>
      <c r="F28" s="1351"/>
    </row>
    <row r="29" spans="1:6" ht="21.95" hidden="1" customHeight="1">
      <c r="A29" s="1354" t="s">
        <v>194</v>
      </c>
      <c r="B29" s="1341" t="s">
        <v>229</v>
      </c>
      <c r="C29" s="1342">
        <v>0</v>
      </c>
      <c r="D29" s="1342">
        <v>480000</v>
      </c>
      <c r="E29" s="1343">
        <f t="shared" si="0"/>
        <v>0</v>
      </c>
      <c r="F29" s="1350" t="s">
        <v>546</v>
      </c>
    </row>
    <row r="30" spans="1:6" ht="21.95" hidden="1" customHeight="1">
      <c r="A30" s="1354" t="s">
        <v>230</v>
      </c>
      <c r="B30" s="1341" t="s">
        <v>231</v>
      </c>
      <c r="C30" s="1342">
        <v>0</v>
      </c>
      <c r="D30" s="1342">
        <v>1122000</v>
      </c>
      <c r="E30" s="1343">
        <f t="shared" si="0"/>
        <v>0</v>
      </c>
      <c r="F30" s="1350" t="s">
        <v>546</v>
      </c>
    </row>
    <row r="31" spans="1:6" ht="21.95" hidden="1" customHeight="1">
      <c r="A31" s="1354" t="s">
        <v>230</v>
      </c>
      <c r="B31" s="1341" t="s">
        <v>232</v>
      </c>
      <c r="C31" s="1342">
        <v>0</v>
      </c>
      <c r="D31" s="1342">
        <v>2521000</v>
      </c>
      <c r="E31" s="1343">
        <f t="shared" si="0"/>
        <v>0</v>
      </c>
      <c r="F31" s="1350" t="s">
        <v>546</v>
      </c>
    </row>
    <row r="32" spans="1:6" ht="21.95" hidden="1" customHeight="1">
      <c r="A32" s="1354" t="s">
        <v>230</v>
      </c>
      <c r="B32" s="1341" t="s">
        <v>233</v>
      </c>
      <c r="C32" s="1342">
        <v>0</v>
      </c>
      <c r="D32" s="1342">
        <v>448000</v>
      </c>
      <c r="E32" s="1343">
        <f t="shared" si="0"/>
        <v>0</v>
      </c>
      <c r="F32" s="1350" t="s">
        <v>546</v>
      </c>
    </row>
    <row r="33" spans="1:6" ht="21.95" hidden="1" customHeight="1">
      <c r="A33" s="1354" t="s">
        <v>230</v>
      </c>
      <c r="B33" s="1341" t="s">
        <v>234</v>
      </c>
      <c r="C33" s="1342">
        <v>0</v>
      </c>
      <c r="D33" s="1342">
        <v>160000</v>
      </c>
      <c r="E33" s="1343">
        <f t="shared" si="0"/>
        <v>0</v>
      </c>
      <c r="F33" s="1350" t="s">
        <v>546</v>
      </c>
    </row>
    <row r="34" spans="1:6" ht="21.95" hidden="1" customHeight="1">
      <c r="A34" s="1354" t="s">
        <v>230</v>
      </c>
      <c r="B34" s="1341" t="s">
        <v>235</v>
      </c>
      <c r="C34" s="1342">
        <v>0</v>
      </c>
      <c r="D34" s="1342">
        <v>200000</v>
      </c>
      <c r="E34" s="1343">
        <f t="shared" si="0"/>
        <v>0</v>
      </c>
      <c r="F34" s="1350" t="s">
        <v>546</v>
      </c>
    </row>
    <row r="35" spans="1:6" ht="21.95" customHeight="1">
      <c r="A35" s="1377" t="s">
        <v>913</v>
      </c>
      <c r="B35" s="1378" t="s">
        <v>914</v>
      </c>
      <c r="C35" s="1379">
        <v>1</v>
      </c>
      <c r="D35" s="1379">
        <v>6500000</v>
      </c>
      <c r="E35" s="1343">
        <f>C35*D35-6500000</f>
        <v>0</v>
      </c>
      <c r="F35" s="1380" t="s">
        <v>1076</v>
      </c>
    </row>
    <row r="36" spans="1:6" ht="21.95" customHeight="1">
      <c r="A36" s="1354" t="s">
        <v>236</v>
      </c>
      <c r="B36" s="1341" t="s">
        <v>237</v>
      </c>
      <c r="C36" s="1342">
        <v>1</v>
      </c>
      <c r="D36" s="1342">
        <v>7500000</v>
      </c>
      <c r="E36" s="1343">
        <f t="shared" si="0"/>
        <v>7500000</v>
      </c>
      <c r="F36" s="1350"/>
    </row>
    <row r="37" spans="1:6" ht="21.95" customHeight="1">
      <c r="A37" s="1354" t="s">
        <v>236</v>
      </c>
      <c r="B37" s="1341" t="s">
        <v>238</v>
      </c>
      <c r="C37" s="1342">
        <v>1</v>
      </c>
      <c r="D37" s="1342">
        <v>8900000</v>
      </c>
      <c r="E37" s="1343">
        <f>C37*D37-8900000</f>
        <v>0</v>
      </c>
      <c r="F37" s="1350" t="s">
        <v>953</v>
      </c>
    </row>
    <row r="38" spans="1:6" ht="21.95" hidden="1" customHeight="1">
      <c r="A38" s="1354" t="s">
        <v>236</v>
      </c>
      <c r="B38" s="1341" t="s">
        <v>239</v>
      </c>
      <c r="C38" s="1342">
        <v>0</v>
      </c>
      <c r="D38" s="1342">
        <v>900000</v>
      </c>
      <c r="E38" s="1343">
        <f t="shared" si="0"/>
        <v>0</v>
      </c>
      <c r="F38" s="1350" t="s">
        <v>421</v>
      </c>
    </row>
    <row r="39" spans="1:6" ht="21.95" hidden="1" customHeight="1">
      <c r="A39" s="1354" t="s">
        <v>240</v>
      </c>
      <c r="B39" s="1341" t="s">
        <v>241</v>
      </c>
      <c r="C39" s="1342">
        <v>0</v>
      </c>
      <c r="D39" s="1342">
        <v>8255000</v>
      </c>
      <c r="E39" s="1343">
        <f t="shared" si="0"/>
        <v>0</v>
      </c>
      <c r="F39" s="1350" t="s">
        <v>904</v>
      </c>
    </row>
    <row r="40" spans="1:6" ht="21.95" customHeight="1">
      <c r="A40" s="1354" t="s">
        <v>242</v>
      </c>
      <c r="B40" s="1341" t="s">
        <v>243</v>
      </c>
      <c r="C40" s="1342">
        <v>1</v>
      </c>
      <c r="D40" s="1342">
        <v>5179000</v>
      </c>
      <c r="E40" s="1343">
        <f t="shared" si="0"/>
        <v>5179000</v>
      </c>
      <c r="F40" s="1350"/>
    </row>
    <row r="41" spans="1:6" ht="21.95" hidden="1" customHeight="1">
      <c r="A41" s="1354" t="s">
        <v>244</v>
      </c>
      <c r="B41" s="1341" t="s">
        <v>245</v>
      </c>
      <c r="C41" s="1342">
        <v>0</v>
      </c>
      <c r="D41" s="1342">
        <v>5469000</v>
      </c>
      <c r="E41" s="1343">
        <f t="shared" si="0"/>
        <v>0</v>
      </c>
      <c r="F41" s="1350" t="s">
        <v>674</v>
      </c>
    </row>
    <row r="42" spans="1:6" ht="21.95" customHeight="1">
      <c r="A42" s="1354" t="s">
        <v>246</v>
      </c>
      <c r="B42" s="1341" t="s">
        <v>247</v>
      </c>
      <c r="C42" s="1342">
        <v>1</v>
      </c>
      <c r="D42" s="1342">
        <v>3116000</v>
      </c>
      <c r="E42" s="1343">
        <f t="shared" si="0"/>
        <v>3116000</v>
      </c>
      <c r="F42" s="1350"/>
    </row>
    <row r="43" spans="1:6" ht="21.95" customHeight="1">
      <c r="A43" s="1366" t="s">
        <v>557</v>
      </c>
      <c r="B43" s="1284" t="s">
        <v>558</v>
      </c>
      <c r="C43" s="1035">
        <v>5065</v>
      </c>
      <c r="D43" s="1035">
        <v>82500</v>
      </c>
      <c r="E43" s="1343">
        <f>C43*D43-2500</f>
        <v>417860000</v>
      </c>
      <c r="F43" s="1352" t="s">
        <v>659</v>
      </c>
    </row>
    <row r="44" spans="1:6" ht="21.95" customHeight="1">
      <c r="A44" s="1354" t="s">
        <v>671</v>
      </c>
      <c r="B44" s="1341" t="s">
        <v>672</v>
      </c>
      <c r="C44" s="1342">
        <f>133-65</f>
        <v>68</v>
      </c>
      <c r="D44" s="1342"/>
      <c r="E44" s="1343">
        <f>저장품첨부!J140-49587361</f>
        <v>217781397.00000006</v>
      </c>
      <c r="F44" s="1350" t="s">
        <v>954</v>
      </c>
    </row>
    <row r="45" spans="1:6" ht="21.95" customHeight="1">
      <c r="A45" s="1354" t="s">
        <v>905</v>
      </c>
      <c r="B45" s="1341" t="s">
        <v>907</v>
      </c>
      <c r="C45" s="1342">
        <v>1</v>
      </c>
      <c r="D45" s="1342">
        <v>5100000</v>
      </c>
      <c r="E45" s="1343">
        <f t="shared" si="0"/>
        <v>5100000</v>
      </c>
      <c r="F45" s="1353"/>
    </row>
    <row r="46" spans="1:6" ht="21.95" customHeight="1">
      <c r="A46" s="1354" t="s">
        <v>905</v>
      </c>
      <c r="B46" s="1341" t="s">
        <v>908</v>
      </c>
      <c r="C46" s="1342">
        <v>2</v>
      </c>
      <c r="D46" s="1342">
        <v>5900000</v>
      </c>
      <c r="E46" s="1343">
        <f t="shared" si="0"/>
        <v>11800000</v>
      </c>
      <c r="F46" s="1353"/>
    </row>
    <row r="47" spans="1:6" ht="21.95" customHeight="1">
      <c r="A47" s="1354" t="s">
        <v>905</v>
      </c>
      <c r="B47" s="1341" t="s">
        <v>910</v>
      </c>
      <c r="C47" s="1342">
        <v>1</v>
      </c>
      <c r="D47" s="1342">
        <v>390000</v>
      </c>
      <c r="E47" s="1343">
        <f t="shared" si="0"/>
        <v>390000</v>
      </c>
      <c r="F47" s="1353"/>
    </row>
    <row r="48" spans="1:6" ht="21.95" customHeight="1">
      <c r="A48" s="1354" t="s">
        <v>905</v>
      </c>
      <c r="B48" s="1341" t="s">
        <v>911</v>
      </c>
      <c r="C48" s="1342">
        <v>2</v>
      </c>
      <c r="D48" s="1342">
        <v>435000</v>
      </c>
      <c r="E48" s="1343">
        <f t="shared" si="0"/>
        <v>870000</v>
      </c>
      <c r="F48" s="1353"/>
    </row>
    <row r="49" spans="1:6" ht="21.95" hidden="1" customHeight="1">
      <c r="A49" s="1354" t="s">
        <v>905</v>
      </c>
      <c r="B49" s="1341" t="s">
        <v>909</v>
      </c>
      <c r="C49" s="1342">
        <v>2</v>
      </c>
      <c r="D49" s="1342">
        <v>12750000</v>
      </c>
      <c r="E49" s="1343">
        <f>25500000-25500000</f>
        <v>0</v>
      </c>
      <c r="F49" s="1353" t="s">
        <v>906</v>
      </c>
    </row>
    <row r="50" spans="1:6" ht="21.95" hidden="1" customHeight="1">
      <c r="A50" s="1354" t="s">
        <v>905</v>
      </c>
      <c r="B50" s="1341" t="s">
        <v>912</v>
      </c>
      <c r="C50" s="1342">
        <v>2</v>
      </c>
      <c r="D50" s="1342">
        <v>670000</v>
      </c>
      <c r="E50" s="1343">
        <f>1340000-1340000</f>
        <v>0</v>
      </c>
      <c r="F50" s="1353" t="s">
        <v>906</v>
      </c>
    </row>
    <row r="51" spans="1:6" ht="21.95" customHeight="1">
      <c r="A51" s="1354" t="s">
        <v>902</v>
      </c>
      <c r="B51" s="1341" t="s">
        <v>903</v>
      </c>
      <c r="C51" s="1342">
        <f>40-14</f>
        <v>26</v>
      </c>
      <c r="D51" s="1342"/>
      <c r="E51" s="1343">
        <f>23721495-4484733</f>
        <v>19236762</v>
      </c>
      <c r="F51" s="1350" t="s">
        <v>1077</v>
      </c>
    </row>
    <row r="52" spans="1:6" ht="21.95" customHeight="1">
      <c r="A52" s="1421" t="s">
        <v>945</v>
      </c>
      <c r="B52" s="1422" t="s">
        <v>946</v>
      </c>
      <c r="C52" s="1423">
        <v>43</v>
      </c>
      <c r="D52" s="1423">
        <f>192000-2000</f>
        <v>190000</v>
      </c>
      <c r="E52" s="1424">
        <f>C52*D52</f>
        <v>8170000</v>
      </c>
      <c r="F52" s="1350" t="s">
        <v>1198</v>
      </c>
    </row>
    <row r="53" spans="1:6" ht="21.95" customHeight="1">
      <c r="A53" s="1425" t="s">
        <v>947</v>
      </c>
      <c r="B53" s="1426" t="s">
        <v>951</v>
      </c>
      <c r="C53" s="1427">
        <v>14</v>
      </c>
      <c r="D53" s="1427"/>
      <c r="E53" s="1428">
        <f>30912000-1120000</f>
        <v>29792000</v>
      </c>
      <c r="F53" s="1430" t="s">
        <v>952</v>
      </c>
    </row>
    <row r="54" spans="1:6" ht="21.95" customHeight="1">
      <c r="A54" s="1366" t="s">
        <v>943</v>
      </c>
      <c r="B54" s="1284" t="s">
        <v>944</v>
      </c>
      <c r="C54" s="1035">
        <v>1</v>
      </c>
      <c r="D54" s="1035"/>
      <c r="E54" s="1420">
        <v>20000000</v>
      </c>
      <c r="F54" s="1429"/>
    </row>
    <row r="55" spans="1:6" ht="21.95" customHeight="1">
      <c r="A55" s="1425" t="s">
        <v>913</v>
      </c>
      <c r="B55" s="1426" t="s">
        <v>948</v>
      </c>
      <c r="C55" s="1427">
        <v>11</v>
      </c>
      <c r="D55" s="1427"/>
      <c r="E55" s="1428">
        <f>107256000-4859000</f>
        <v>102397000</v>
      </c>
      <c r="F55" s="1350" t="s">
        <v>1199</v>
      </c>
    </row>
    <row r="56" spans="1:6" ht="21.95" customHeight="1">
      <c r="A56" s="1425" t="s">
        <v>949</v>
      </c>
      <c r="B56" s="1426" t="s">
        <v>950</v>
      </c>
      <c r="C56" s="1427">
        <v>1</v>
      </c>
      <c r="D56" s="1427"/>
      <c r="E56" s="1428">
        <v>12300000</v>
      </c>
      <c r="F56" s="1429"/>
    </row>
    <row r="57" spans="1:6" ht="21.95" customHeight="1">
      <c r="A57" s="1425" t="s">
        <v>1064</v>
      </c>
      <c r="B57" s="1426" t="s">
        <v>1065</v>
      </c>
      <c r="C57" s="1427">
        <v>4</v>
      </c>
      <c r="D57" s="1427">
        <v>21575000</v>
      </c>
      <c r="E57" s="1428">
        <v>86300000</v>
      </c>
      <c r="F57" s="1700" t="s">
        <v>1066</v>
      </c>
    </row>
    <row r="58" spans="1:6" ht="21.95" customHeight="1">
      <c r="A58" s="1425" t="s">
        <v>1075</v>
      </c>
      <c r="B58" s="1426"/>
      <c r="C58" s="1427">
        <v>1</v>
      </c>
      <c r="D58" s="1427">
        <v>74400000</v>
      </c>
      <c r="E58" s="1428">
        <f>C58*D58</f>
        <v>74400000</v>
      </c>
      <c r="F58" s="1429"/>
    </row>
    <row r="59" spans="1:6" ht="21.95" customHeight="1">
      <c r="A59" s="1425" t="s">
        <v>1122</v>
      </c>
      <c r="B59" s="1426"/>
      <c r="C59" s="1427"/>
      <c r="D59" s="1427"/>
      <c r="E59" s="1428">
        <v>24700000</v>
      </c>
      <c r="F59" s="1429"/>
    </row>
    <row r="60" spans="1:6" ht="21.95" customHeight="1">
      <c r="A60" s="1425" t="s">
        <v>1128</v>
      </c>
      <c r="B60" s="1426" t="s">
        <v>1200</v>
      </c>
      <c r="C60" s="1427">
        <v>10</v>
      </c>
      <c r="D60" s="1427">
        <v>1800000</v>
      </c>
      <c r="E60" s="1428">
        <f>C60*D60</f>
        <v>18000000</v>
      </c>
      <c r="F60" s="1429"/>
    </row>
    <row r="61" spans="1:6" ht="21.95" customHeight="1">
      <c r="A61" s="1425" t="s">
        <v>1150</v>
      </c>
      <c r="B61" s="1426" t="s">
        <v>1201</v>
      </c>
      <c r="C61" s="1427">
        <v>2</v>
      </c>
      <c r="D61" s="1427">
        <v>1695000</v>
      </c>
      <c r="E61" s="1428">
        <f>C61*D61</f>
        <v>3390000</v>
      </c>
      <c r="F61" s="1429"/>
    </row>
    <row r="62" spans="1:6" ht="21.95" customHeight="1">
      <c r="A62" s="1425" t="s">
        <v>1151</v>
      </c>
      <c r="B62" s="1426"/>
      <c r="C62" s="1427"/>
      <c r="D62" s="1427"/>
      <c r="E62" s="1428">
        <v>48621300</v>
      </c>
      <c r="F62" s="1429"/>
    </row>
    <row r="63" spans="1:6" ht="21.95" customHeight="1">
      <c r="A63" s="1827" t="s">
        <v>1152</v>
      </c>
      <c r="B63" s="1828"/>
      <c r="C63" s="1829"/>
      <c r="D63" s="1829"/>
      <c r="E63" s="1830">
        <v>5036400</v>
      </c>
      <c r="F63" s="1831"/>
    </row>
    <row r="64" spans="1:6" ht="21.95" customHeight="1">
      <c r="A64" s="1827" t="s">
        <v>1192</v>
      </c>
      <c r="B64" s="1828"/>
      <c r="C64" s="1829"/>
      <c r="D64" s="1829"/>
      <c r="E64" s="1830">
        <v>8310000</v>
      </c>
      <c r="F64" s="1831"/>
    </row>
    <row r="65" spans="1:6" ht="21.95" customHeight="1">
      <c r="A65" s="1827" t="s">
        <v>1193</v>
      </c>
      <c r="B65" s="1828"/>
      <c r="C65" s="1829"/>
      <c r="D65" s="1829"/>
      <c r="E65" s="1830">
        <v>4936200</v>
      </c>
      <c r="F65" s="1831"/>
    </row>
    <row r="66" spans="1:6" ht="21.95" customHeight="1">
      <c r="A66" s="1827" t="s">
        <v>1194</v>
      </c>
      <c r="B66" s="1828"/>
      <c r="C66" s="1829"/>
      <c r="D66" s="1829"/>
      <c r="E66" s="1830">
        <v>7120700</v>
      </c>
      <c r="F66" s="1831"/>
    </row>
    <row r="67" spans="1:6" ht="21.95" customHeight="1">
      <c r="A67" s="1827" t="s">
        <v>1195</v>
      </c>
      <c r="B67" s="1828"/>
      <c r="C67" s="1829"/>
      <c r="D67" s="1829"/>
      <c r="E67" s="1830">
        <v>2182400</v>
      </c>
      <c r="F67" s="1831"/>
    </row>
    <row r="68" spans="1:6" ht="21.95" customHeight="1">
      <c r="A68" s="1827" t="s">
        <v>1196</v>
      </c>
      <c r="B68" s="1828"/>
      <c r="C68" s="1829"/>
      <c r="D68" s="1829"/>
      <c r="E68" s="1830">
        <f>209671492+3607509</f>
        <v>213279001</v>
      </c>
      <c r="F68" s="1831"/>
    </row>
    <row r="69" spans="1:6" ht="21.95" customHeight="1">
      <c r="A69" s="1827" t="s">
        <v>1244</v>
      </c>
      <c r="B69" s="1828"/>
      <c r="C69" s="1829"/>
      <c r="D69" s="1829"/>
      <c r="E69" s="1830">
        <v>9000000</v>
      </c>
      <c r="F69" s="1831"/>
    </row>
    <row r="70" spans="1:6" ht="21.95" customHeight="1">
      <c r="A70" s="1942" t="s">
        <v>1284</v>
      </c>
      <c r="B70" s="1943"/>
      <c r="C70" s="1944"/>
      <c r="D70" s="1944"/>
      <c r="E70" s="1945">
        <v>3730000</v>
      </c>
      <c r="F70" s="1946"/>
    </row>
    <row r="71" spans="1:6" ht="21.95" customHeight="1">
      <c r="A71" s="2009" t="s">
        <v>1285</v>
      </c>
      <c r="B71" s="2010"/>
      <c r="C71" s="2011"/>
      <c r="D71" s="2011"/>
      <c r="E71" s="2012">
        <v>5800000</v>
      </c>
      <c r="F71" s="2013"/>
    </row>
    <row r="72" spans="1:6" ht="21.95" customHeight="1">
      <c r="A72" s="2004" t="s">
        <v>1312</v>
      </c>
      <c r="B72" s="2005"/>
      <c r="C72" s="2006"/>
      <c r="D72" s="2006"/>
      <c r="E72" s="2007">
        <v>5200000</v>
      </c>
      <c r="F72" s="2008"/>
    </row>
    <row r="73" spans="1:6" ht="20.100000000000001" customHeight="1">
      <c r="A73" s="1367" t="s">
        <v>5</v>
      </c>
      <c r="B73" s="715"/>
      <c r="C73" s="716"/>
      <c r="D73" s="716"/>
      <c r="E73" s="1355">
        <f>SUM(E5:E72)</f>
        <v>1433360160</v>
      </c>
      <c r="F73" s="1356"/>
    </row>
    <row r="74" spans="1:6" ht="20.100000000000001" customHeight="1">
      <c r="A74" s="665" t="s">
        <v>248</v>
      </c>
    </row>
  </sheetData>
  <autoFilter ref="A4:F74">
    <filterColumn colId="4">
      <filters blank="1">
        <filter val="1,435,000"/>
        <filter val="1,500,000"/>
        <filter val="10,086,000"/>
        <filter val="11,800,000"/>
        <filter val="2,136,000"/>
        <filter val="2,195,000"/>
        <filter val="2,225,000"/>
        <filter val="2,250,000"/>
        <filter val="2,520,000"/>
        <filter val="2,900,000"/>
        <filter val="23,721,495"/>
        <filter val="267,368,758"/>
        <filter val="3,116,000"/>
        <filter val="3,200,000"/>
        <filter val="390,000"/>
        <filter val="417,860,000"/>
        <filter val="5,100,000"/>
        <filter val="5,179,000"/>
        <filter val="6,100,000"/>
        <filter val="6,175,000"/>
        <filter val="6,500,000"/>
        <filter val="7,200,000"/>
        <filter val="7,500,000"/>
        <filter val="8,900,000"/>
        <filter val="810,747,253"/>
        <filter val="870,000"/>
      </filters>
    </filterColumn>
  </autoFilter>
  <phoneticPr fontId="2" type="noConversion"/>
  <printOptions horizontalCentered="1"/>
  <pageMargins left="0.47244094488188981" right="0.47244094488188981" top="0.59055118110236227" bottom="0.59055118110236227" header="0.39370078740157483" footer="0.39370078740157483"/>
  <pageSetup paperSize="9" scale="85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topLeftCell="A128" zoomScaleNormal="100" workbookViewId="0">
      <selection activeCell="C25" sqref="C25"/>
    </sheetView>
  </sheetViews>
  <sheetFormatPr defaultColWidth="9" defaultRowHeight="16.5"/>
  <cols>
    <col min="1" max="1" width="14.375" style="1247" customWidth="1"/>
    <col min="2" max="2" width="5.75" style="1246" customWidth="1"/>
    <col min="3" max="3" width="41.5" style="1247" bestFit="1" customWidth="1"/>
    <col min="4" max="4" width="5.125" style="1247" customWidth="1"/>
    <col min="5" max="5" width="12.25" style="1247" customWidth="1"/>
    <col min="6" max="6" width="12.75" style="1248" hidden="1" customWidth="1"/>
    <col min="7" max="7" width="12.75" style="1249" hidden="1" customWidth="1"/>
    <col min="8" max="9" width="12.75" style="1250" hidden="1" customWidth="1"/>
    <col min="10" max="10" width="15.375" style="1250" bestFit="1" customWidth="1"/>
    <col min="11" max="12" width="9" style="1247"/>
    <col min="13" max="13" width="15.5" style="1247" customWidth="1"/>
    <col min="14" max="14" width="13.5" style="1247" bestFit="1" customWidth="1"/>
    <col min="15" max="16384" width="9" style="1247"/>
  </cols>
  <sheetData>
    <row r="1" spans="1:14">
      <c r="A1" s="1245" t="s">
        <v>676</v>
      </c>
    </row>
    <row r="3" spans="1:14" ht="20.25">
      <c r="A3" s="2064" t="s">
        <v>677</v>
      </c>
      <c r="B3" s="2064"/>
      <c r="C3" s="2064"/>
      <c r="D3" s="2064"/>
      <c r="E3" s="2064"/>
      <c r="F3" s="2064"/>
      <c r="G3" s="2064"/>
      <c r="H3" s="2064"/>
      <c r="I3" s="2064"/>
      <c r="J3" s="2064"/>
      <c r="K3" s="2064"/>
    </row>
    <row r="4" spans="1:14">
      <c r="A4" s="2065" t="s">
        <v>678</v>
      </c>
      <c r="B4" s="2065"/>
      <c r="C4" s="2065"/>
      <c r="D4" s="2065"/>
      <c r="E4" s="2065"/>
      <c r="F4" s="2065"/>
      <c r="G4" s="2065"/>
      <c r="H4" s="2065"/>
      <c r="I4" s="2065"/>
      <c r="J4" s="2065"/>
      <c r="K4" s="2065"/>
    </row>
    <row r="5" spans="1:14">
      <c r="K5" s="1251" t="s">
        <v>679</v>
      </c>
    </row>
    <row r="6" spans="1:14" ht="33">
      <c r="A6" s="1252" t="s">
        <v>680</v>
      </c>
      <c r="B6" s="1253" t="s">
        <v>681</v>
      </c>
      <c r="C6" s="1253" t="s">
        <v>682</v>
      </c>
      <c r="D6" s="1253" t="s">
        <v>683</v>
      </c>
      <c r="E6" s="1252" t="s">
        <v>684</v>
      </c>
      <c r="F6" s="1254" t="s">
        <v>685</v>
      </c>
      <c r="G6" s="1255" t="s">
        <v>686</v>
      </c>
      <c r="H6" s="1256" t="s">
        <v>687</v>
      </c>
      <c r="I6" s="1256" t="s">
        <v>688</v>
      </c>
      <c r="J6" s="1257" t="s">
        <v>689</v>
      </c>
      <c r="K6" s="1253" t="s">
        <v>690</v>
      </c>
      <c r="L6" s="1246"/>
      <c r="M6" s="1246"/>
    </row>
    <row r="7" spans="1:14">
      <c r="A7" s="1258" t="s">
        <v>691</v>
      </c>
      <c r="B7" s="1259" t="s">
        <v>692</v>
      </c>
      <c r="C7" s="1259" t="s">
        <v>693</v>
      </c>
      <c r="D7" s="1260">
        <v>1</v>
      </c>
      <c r="E7" s="1259">
        <v>1355.01</v>
      </c>
      <c r="F7" s="1261">
        <f>D7*E7</f>
        <v>1355.01</v>
      </c>
      <c r="G7" s="1262">
        <f t="shared" ref="G7:G70" si="0">F7/$F$140</f>
        <v>6.8036742482051925E-3</v>
      </c>
      <c r="H7" s="1263">
        <f>G7*N9</f>
        <v>1775869.2799484672</v>
      </c>
      <c r="I7" s="1263">
        <f>G7*$N$10</f>
        <v>43220.653630738903</v>
      </c>
      <c r="J7" s="1264">
        <f>H7+I7</f>
        <v>1819089.933579206</v>
      </c>
      <c r="K7" s="1258"/>
    </row>
    <row r="8" spans="1:14">
      <c r="A8" s="1258" t="s">
        <v>691</v>
      </c>
      <c r="B8" s="1259" t="s">
        <v>694</v>
      </c>
      <c r="C8" s="1259" t="s">
        <v>695</v>
      </c>
      <c r="D8" s="1260">
        <v>1</v>
      </c>
      <c r="E8" s="1259">
        <v>3240.12</v>
      </c>
      <c r="F8" s="1261">
        <f t="shared" ref="F8:F33" si="1">D8*E8</f>
        <v>3240.12</v>
      </c>
      <c r="G8" s="1262">
        <f t="shared" si="0"/>
        <v>1.6269046726662243E-2</v>
      </c>
      <c r="H8" s="1263">
        <f t="shared" ref="H8:H71" si="2">G8*$N$9</f>
        <v>4246484.9494443778</v>
      </c>
      <c r="I8" s="1263">
        <f t="shared" ref="I8:I71" si="3">G8*$N$10</f>
        <v>103349.86770727133</v>
      </c>
      <c r="J8" s="1264">
        <f t="shared" ref="J8:J71" si="4">H8+I8</f>
        <v>4349834.8171516489</v>
      </c>
      <c r="K8" s="1258"/>
    </row>
    <row r="9" spans="1:14">
      <c r="A9" s="1258" t="s">
        <v>691</v>
      </c>
      <c r="B9" s="1259" t="s">
        <v>696</v>
      </c>
      <c r="C9" s="1259" t="s">
        <v>697</v>
      </c>
      <c r="D9" s="1260">
        <v>1</v>
      </c>
      <c r="E9" s="1259">
        <v>137.63999999999999</v>
      </c>
      <c r="F9" s="1261">
        <f t="shared" si="1"/>
        <v>137.63999999999999</v>
      </c>
      <c r="G9" s="1262">
        <f t="shared" si="0"/>
        <v>6.9110761066188634E-4</v>
      </c>
      <c r="H9" s="1263">
        <f t="shared" si="2"/>
        <v>180390.29061933639</v>
      </c>
      <c r="I9" s="1263">
        <f t="shared" si="3"/>
        <v>4390.2928876797232</v>
      </c>
      <c r="J9" s="1264">
        <f t="shared" si="4"/>
        <v>184780.58350701613</v>
      </c>
      <c r="K9" s="1258"/>
      <c r="M9" s="1250" t="s">
        <v>698</v>
      </c>
      <c r="N9" s="1250">
        <v>261016212</v>
      </c>
    </row>
    <row r="10" spans="1:14">
      <c r="A10" s="1258" t="s">
        <v>691</v>
      </c>
      <c r="B10" s="1259" t="s">
        <v>699</v>
      </c>
      <c r="C10" s="1259" t="s">
        <v>700</v>
      </c>
      <c r="D10" s="1260">
        <v>1</v>
      </c>
      <c r="E10" s="1259">
        <v>624.96</v>
      </c>
      <c r="F10" s="1261">
        <f t="shared" si="1"/>
        <v>624.96</v>
      </c>
      <c r="G10" s="1262">
        <f t="shared" si="0"/>
        <v>3.1380021240864035E-3</v>
      </c>
      <c r="H10" s="1263">
        <f t="shared" si="2"/>
        <v>819069.42767698702</v>
      </c>
      <c r="I10" s="1263">
        <f t="shared" si="3"/>
        <v>19934.302841356584</v>
      </c>
      <c r="J10" s="1264">
        <f t="shared" si="4"/>
        <v>839003.73051834363</v>
      </c>
      <c r="K10" s="1258"/>
      <c r="M10" s="1250" t="s">
        <v>701</v>
      </c>
      <c r="N10" s="1250">
        <f>530600+20000+2334189+150000+777657+2540100</f>
        <v>6352546</v>
      </c>
    </row>
    <row r="11" spans="1:14">
      <c r="A11" s="1258" t="s">
        <v>691</v>
      </c>
      <c r="B11" s="1259" t="s">
        <v>702</v>
      </c>
      <c r="C11" s="1259" t="s">
        <v>703</v>
      </c>
      <c r="D11" s="1260">
        <v>1</v>
      </c>
      <c r="E11" s="1259">
        <v>4.6449999999999996</v>
      </c>
      <c r="F11" s="1261">
        <f t="shared" si="1"/>
        <v>4.6449999999999996</v>
      </c>
      <c r="G11" s="1262">
        <f t="shared" si="0"/>
        <v>2.3323124466175983E-5</v>
      </c>
      <c r="H11" s="1263">
        <f t="shared" si="2"/>
        <v>6087.7136001657773</v>
      </c>
      <c r="I11" s="1263">
        <f t="shared" si="3"/>
        <v>148.16122103510838</v>
      </c>
      <c r="J11" s="1264">
        <f t="shared" si="4"/>
        <v>6235.8748212008859</v>
      </c>
      <c r="K11" s="1258"/>
    </row>
    <row r="12" spans="1:14">
      <c r="A12" s="1258" t="s">
        <v>691</v>
      </c>
      <c r="B12" s="1259" t="s">
        <v>704</v>
      </c>
      <c r="C12" s="1259" t="s">
        <v>705</v>
      </c>
      <c r="D12" s="1260">
        <v>1</v>
      </c>
      <c r="E12" s="1259">
        <v>490.11</v>
      </c>
      <c r="F12" s="1261">
        <f t="shared" si="1"/>
        <v>490.11</v>
      </c>
      <c r="G12" s="1262">
        <f t="shared" si="0"/>
        <v>2.4609034514784739E-3</v>
      </c>
      <c r="H12" s="1263">
        <f t="shared" si="2"/>
        <v>642335.69700263708</v>
      </c>
      <c r="I12" s="1263">
        <f t="shared" si="3"/>
        <v>15633.002377075774</v>
      </c>
      <c r="J12" s="1264">
        <f t="shared" si="4"/>
        <v>657968.69937971281</v>
      </c>
      <c r="K12" s="1258"/>
    </row>
    <row r="13" spans="1:14">
      <c r="A13" s="1258" t="s">
        <v>691</v>
      </c>
      <c r="B13" s="1259" t="s">
        <v>706</v>
      </c>
      <c r="C13" s="1259" t="s">
        <v>707</v>
      </c>
      <c r="D13" s="1260">
        <v>1</v>
      </c>
      <c r="E13" s="1259">
        <v>50.22</v>
      </c>
      <c r="F13" s="1261">
        <f t="shared" si="1"/>
        <v>50.22</v>
      </c>
      <c r="G13" s="1262">
        <f t="shared" si="0"/>
        <v>2.5216088497122881E-4</v>
      </c>
      <c r="H13" s="1263">
        <f t="shared" si="2"/>
        <v>65818.079009757872</v>
      </c>
      <c r="I13" s="1263">
        <f t="shared" si="3"/>
        <v>1601.8636211804396</v>
      </c>
      <c r="J13" s="1264">
        <f t="shared" si="4"/>
        <v>67419.942630938313</v>
      </c>
      <c r="K13" s="1258"/>
    </row>
    <row r="14" spans="1:14">
      <c r="A14" s="1258" t="s">
        <v>691</v>
      </c>
      <c r="B14" s="1259" t="s">
        <v>708</v>
      </c>
      <c r="C14" s="1259" t="s">
        <v>709</v>
      </c>
      <c r="D14" s="1260">
        <v>1</v>
      </c>
      <c r="E14" s="1259">
        <v>78.12</v>
      </c>
      <c r="F14" s="1261">
        <f t="shared" si="1"/>
        <v>78.12</v>
      </c>
      <c r="G14" s="1262">
        <f t="shared" si="0"/>
        <v>3.9225026551080043E-4</v>
      </c>
      <c r="H14" s="1263">
        <f t="shared" si="2"/>
        <v>102383.67845962338</v>
      </c>
      <c r="I14" s="1263">
        <f t="shared" si="3"/>
        <v>2491.787855169573</v>
      </c>
      <c r="J14" s="1264">
        <f t="shared" si="4"/>
        <v>104875.46631479295</v>
      </c>
      <c r="K14" s="1258"/>
      <c r="N14" s="1265"/>
    </row>
    <row r="15" spans="1:14">
      <c r="A15" s="1258" t="s">
        <v>691</v>
      </c>
      <c r="B15" s="1259" t="s">
        <v>710</v>
      </c>
      <c r="C15" s="1259" t="s">
        <v>707</v>
      </c>
      <c r="D15" s="1260">
        <v>1</v>
      </c>
      <c r="E15" s="1259">
        <v>25.11</v>
      </c>
      <c r="F15" s="1261">
        <f t="shared" si="1"/>
        <v>25.11</v>
      </c>
      <c r="G15" s="1262">
        <f t="shared" si="0"/>
        <v>1.2608044248561441E-4</v>
      </c>
      <c r="H15" s="1263">
        <f t="shared" si="2"/>
        <v>32909.039504878936</v>
      </c>
      <c r="I15" s="1263">
        <f t="shared" si="3"/>
        <v>800.93181059021981</v>
      </c>
      <c r="J15" s="1264">
        <f t="shared" si="4"/>
        <v>33709.971315469156</v>
      </c>
      <c r="K15" s="1258"/>
    </row>
    <row r="16" spans="1:14">
      <c r="A16" s="1258" t="s">
        <v>691</v>
      </c>
      <c r="B16" s="1259" t="s">
        <v>711</v>
      </c>
      <c r="C16" s="1259" t="s">
        <v>712</v>
      </c>
      <c r="D16" s="1260">
        <v>2</v>
      </c>
      <c r="E16" s="1259">
        <v>95.79</v>
      </c>
      <c r="F16" s="1261">
        <f t="shared" si="1"/>
        <v>191.58</v>
      </c>
      <c r="G16" s="1262">
        <f t="shared" si="0"/>
        <v>9.619470797050582E-4</v>
      </c>
      <c r="H16" s="1263">
        <f t="shared" si="2"/>
        <v>251083.78288907636</v>
      </c>
      <c r="I16" s="1263">
        <f t="shared" si="3"/>
        <v>6110.8130733920489</v>
      </c>
      <c r="J16" s="1264">
        <f t="shared" si="4"/>
        <v>257194.59596246842</v>
      </c>
      <c r="K16" s="1258"/>
    </row>
    <row r="17" spans="1:11">
      <c r="A17" s="1258" t="s">
        <v>691</v>
      </c>
      <c r="B17" s="1259" t="s">
        <v>713</v>
      </c>
      <c r="C17" s="1259" t="s">
        <v>714</v>
      </c>
      <c r="D17" s="1260">
        <v>1</v>
      </c>
      <c r="E17" s="1259">
        <v>74.400000000000006</v>
      </c>
      <c r="F17" s="1261">
        <f t="shared" si="1"/>
        <v>74.400000000000006</v>
      </c>
      <c r="G17" s="1262">
        <f t="shared" si="0"/>
        <v>3.7357168143885755E-4</v>
      </c>
      <c r="H17" s="1263">
        <f t="shared" si="2"/>
        <v>97508.265199641304</v>
      </c>
      <c r="I17" s="1263">
        <f t="shared" si="3"/>
        <v>2373.1312906376888</v>
      </c>
      <c r="J17" s="1264">
        <f t="shared" si="4"/>
        <v>99881.396490278988</v>
      </c>
      <c r="K17" s="1258"/>
    </row>
    <row r="18" spans="1:11">
      <c r="A18" s="1258" t="s">
        <v>691</v>
      </c>
      <c r="B18" s="1259" t="s">
        <v>715</v>
      </c>
      <c r="C18" s="1259" t="s">
        <v>714</v>
      </c>
      <c r="D18" s="1260">
        <v>1</v>
      </c>
      <c r="E18" s="1259">
        <v>81.84</v>
      </c>
      <c r="F18" s="1261">
        <f t="shared" si="1"/>
        <v>81.84</v>
      </c>
      <c r="G18" s="1262">
        <f t="shared" si="0"/>
        <v>4.1092884958274332E-4</v>
      </c>
      <c r="H18" s="1263">
        <f t="shared" si="2"/>
        <v>107259.09171960544</v>
      </c>
      <c r="I18" s="1263">
        <f t="shared" si="3"/>
        <v>2610.4444197014577</v>
      </c>
      <c r="J18" s="1264">
        <f t="shared" si="4"/>
        <v>109869.53613930689</v>
      </c>
      <c r="K18" s="1258"/>
    </row>
    <row r="19" spans="1:11">
      <c r="A19" s="1258" t="s">
        <v>691</v>
      </c>
      <c r="B19" s="1259" t="s">
        <v>716</v>
      </c>
      <c r="C19" s="1259" t="s">
        <v>709</v>
      </c>
      <c r="D19" s="1260">
        <v>1</v>
      </c>
      <c r="E19" s="1259">
        <v>56.73</v>
      </c>
      <c r="F19" s="1261">
        <f t="shared" si="1"/>
        <v>56.73</v>
      </c>
      <c r="G19" s="1262">
        <f t="shared" si="0"/>
        <v>2.8484840709712883E-4</v>
      </c>
      <c r="H19" s="1263">
        <f t="shared" si="2"/>
        <v>74350.052214726486</v>
      </c>
      <c r="I19" s="1263">
        <f t="shared" si="3"/>
        <v>1809.5126091112375</v>
      </c>
      <c r="J19" s="1264">
        <f t="shared" si="4"/>
        <v>76159.564823837718</v>
      </c>
      <c r="K19" s="1258"/>
    </row>
    <row r="20" spans="1:11">
      <c r="A20" s="1258" t="s">
        <v>691</v>
      </c>
      <c r="B20" s="1259" t="s">
        <v>717</v>
      </c>
      <c r="C20" s="1259" t="s">
        <v>718</v>
      </c>
      <c r="D20" s="1260">
        <v>1</v>
      </c>
      <c r="E20" s="1259">
        <v>77.19</v>
      </c>
      <c r="F20" s="1261">
        <f t="shared" si="1"/>
        <v>77.19</v>
      </c>
      <c r="G20" s="1262">
        <f t="shared" si="0"/>
        <v>3.8758061949281468E-4</v>
      </c>
      <c r="H20" s="1263">
        <f t="shared" si="2"/>
        <v>101164.82514462784</v>
      </c>
      <c r="I20" s="1263">
        <f t="shared" si="3"/>
        <v>2462.123714036602</v>
      </c>
      <c r="J20" s="1264">
        <f t="shared" si="4"/>
        <v>103626.94885866444</v>
      </c>
      <c r="K20" s="1258"/>
    </row>
    <row r="21" spans="1:11">
      <c r="A21" s="1258" t="s">
        <v>691</v>
      </c>
      <c r="B21" s="1259" t="s">
        <v>719</v>
      </c>
      <c r="C21" s="1259" t="s">
        <v>720</v>
      </c>
      <c r="D21" s="1260">
        <v>1</v>
      </c>
      <c r="E21" s="1259">
        <v>31.62</v>
      </c>
      <c r="F21" s="1261">
        <f t="shared" si="1"/>
        <v>31.62</v>
      </c>
      <c r="G21" s="1262">
        <f t="shared" si="0"/>
        <v>1.5876796461151445E-4</v>
      </c>
      <c r="H21" s="1263">
        <f t="shared" si="2"/>
        <v>41441.012709847557</v>
      </c>
      <c r="I21" s="1263">
        <f t="shared" si="3"/>
        <v>1008.5807985210176</v>
      </c>
      <c r="J21" s="1264">
        <f t="shared" si="4"/>
        <v>42449.593508368576</v>
      </c>
      <c r="K21" s="1258"/>
    </row>
    <row r="22" spans="1:11">
      <c r="A22" s="1258" t="s">
        <v>691</v>
      </c>
      <c r="B22" s="1259" t="s">
        <v>721</v>
      </c>
      <c r="C22" s="1259" t="s">
        <v>720</v>
      </c>
      <c r="D22" s="1260">
        <v>1</v>
      </c>
      <c r="E22" s="1259">
        <v>106.02</v>
      </c>
      <c r="F22" s="1261">
        <f t="shared" si="1"/>
        <v>106.02</v>
      </c>
      <c r="G22" s="1262">
        <f t="shared" si="0"/>
        <v>5.32339646050372E-4</v>
      </c>
      <c r="H22" s="1263">
        <f t="shared" si="2"/>
        <v>138949.27790948885</v>
      </c>
      <c r="I22" s="1263">
        <f t="shared" si="3"/>
        <v>3381.7120891587065</v>
      </c>
      <c r="J22" s="1264">
        <f t="shared" si="4"/>
        <v>142330.98999864756</v>
      </c>
      <c r="K22" s="1258"/>
    </row>
    <row r="23" spans="1:11">
      <c r="A23" s="1258" t="s">
        <v>722</v>
      </c>
      <c r="B23" s="1259" t="s">
        <v>723</v>
      </c>
      <c r="C23" s="1259" t="s">
        <v>720</v>
      </c>
      <c r="D23" s="1260">
        <v>1</v>
      </c>
      <c r="E23" s="1259">
        <v>4.6500000000000004</v>
      </c>
      <c r="F23" s="1261">
        <f t="shared" si="1"/>
        <v>4.6500000000000004</v>
      </c>
      <c r="G23" s="1262">
        <f t="shared" si="0"/>
        <v>2.3348230089928597E-5</v>
      </c>
      <c r="H23" s="1263">
        <f t="shared" si="2"/>
        <v>6094.2665749775815</v>
      </c>
      <c r="I23" s="1263">
        <f t="shared" si="3"/>
        <v>148.32070566485555</v>
      </c>
      <c r="J23" s="1264">
        <f t="shared" si="4"/>
        <v>6242.5872806424368</v>
      </c>
      <c r="K23" s="1258"/>
    </row>
    <row r="24" spans="1:11">
      <c r="A24" s="1258" t="s">
        <v>691</v>
      </c>
      <c r="B24" s="1259" t="s">
        <v>724</v>
      </c>
      <c r="C24" s="1259" t="s">
        <v>720</v>
      </c>
      <c r="D24" s="1260">
        <v>1</v>
      </c>
      <c r="E24" s="1259">
        <v>24.18</v>
      </c>
      <c r="F24" s="1261">
        <f t="shared" si="1"/>
        <v>24.18</v>
      </c>
      <c r="G24" s="1262">
        <f t="shared" si="0"/>
        <v>1.214107964676287E-4</v>
      </c>
      <c r="H24" s="1263">
        <f t="shared" si="2"/>
        <v>31690.186189883425</v>
      </c>
      <c r="I24" s="1263">
        <f t="shared" si="3"/>
        <v>771.26766945724887</v>
      </c>
      <c r="J24" s="1264">
        <f t="shared" si="4"/>
        <v>32461.453859340672</v>
      </c>
      <c r="K24" s="1258"/>
    </row>
    <row r="25" spans="1:11">
      <c r="A25" s="1258" t="s">
        <v>691</v>
      </c>
      <c r="B25" s="1259" t="s">
        <v>725</v>
      </c>
      <c r="C25" s="1259" t="s">
        <v>726</v>
      </c>
      <c r="D25" s="1260">
        <v>4</v>
      </c>
      <c r="E25" s="1259">
        <v>72.540000000000006</v>
      </c>
      <c r="F25" s="1261">
        <f t="shared" si="1"/>
        <v>290.16000000000003</v>
      </c>
      <c r="G25" s="1262">
        <f t="shared" si="0"/>
        <v>1.4569295576115444E-3</v>
      </c>
      <c r="H25" s="1263">
        <f t="shared" si="2"/>
        <v>380282.23427860107</v>
      </c>
      <c r="I25" s="1263">
        <f t="shared" si="3"/>
        <v>9255.2120334869869</v>
      </c>
      <c r="J25" s="1264">
        <f t="shared" si="4"/>
        <v>389537.44631208805</v>
      </c>
      <c r="K25" s="1258"/>
    </row>
    <row r="26" spans="1:11">
      <c r="A26" s="1258" t="s">
        <v>691</v>
      </c>
      <c r="B26" s="1259" t="s">
        <v>727</v>
      </c>
      <c r="C26" s="1259" t="s">
        <v>707</v>
      </c>
      <c r="D26" s="1260">
        <v>1</v>
      </c>
      <c r="E26" s="1259">
        <v>27.9</v>
      </c>
      <c r="F26" s="1261">
        <f t="shared" si="1"/>
        <v>27.9</v>
      </c>
      <c r="G26" s="1262">
        <f t="shared" si="0"/>
        <v>1.4008938053957157E-4</v>
      </c>
      <c r="H26" s="1263">
        <f t="shared" si="2"/>
        <v>36565.599449865484</v>
      </c>
      <c r="I26" s="1263">
        <f t="shared" si="3"/>
        <v>889.9242339891332</v>
      </c>
      <c r="J26" s="1264">
        <f t="shared" si="4"/>
        <v>37455.523683854619</v>
      </c>
      <c r="K26" s="1258"/>
    </row>
    <row r="27" spans="1:11">
      <c r="A27" s="1258" t="s">
        <v>691</v>
      </c>
      <c r="B27" s="1259" t="s">
        <v>728</v>
      </c>
      <c r="C27" s="1259" t="s">
        <v>709</v>
      </c>
      <c r="D27" s="1260">
        <v>1</v>
      </c>
      <c r="E27" s="1259">
        <v>175.77</v>
      </c>
      <c r="F27" s="1261">
        <f t="shared" si="1"/>
        <v>175.77</v>
      </c>
      <c r="G27" s="1262">
        <f t="shared" si="0"/>
        <v>8.8256309739930092E-4</v>
      </c>
      <c r="H27" s="1263">
        <f t="shared" si="2"/>
        <v>230363.27653415257</v>
      </c>
      <c r="I27" s="1263">
        <f t="shared" si="3"/>
        <v>5606.5226741315391</v>
      </c>
      <c r="J27" s="1264">
        <f t="shared" si="4"/>
        <v>235969.79920828409</v>
      </c>
      <c r="K27" s="1258"/>
    </row>
    <row r="28" spans="1:11">
      <c r="A28" s="1258" t="s">
        <v>691</v>
      </c>
      <c r="B28" s="1259" t="s">
        <v>729</v>
      </c>
      <c r="C28" s="1259" t="s">
        <v>730</v>
      </c>
      <c r="D28" s="1260">
        <v>1</v>
      </c>
      <c r="E28" s="1259">
        <v>22.32</v>
      </c>
      <c r="F28" s="1261">
        <f t="shared" si="1"/>
        <v>22.32</v>
      </c>
      <c r="G28" s="1262">
        <f t="shared" si="0"/>
        <v>1.1207150443165726E-4</v>
      </c>
      <c r="H28" s="1263">
        <f t="shared" si="2"/>
        <v>29252.479559892388</v>
      </c>
      <c r="I28" s="1263">
        <f t="shared" si="3"/>
        <v>711.93938719130654</v>
      </c>
      <c r="J28" s="1264">
        <f t="shared" si="4"/>
        <v>29964.418947083694</v>
      </c>
      <c r="K28" s="1258"/>
    </row>
    <row r="29" spans="1:11">
      <c r="A29" s="1258" t="s">
        <v>691</v>
      </c>
      <c r="B29" s="1259" t="s">
        <v>731</v>
      </c>
      <c r="C29" s="1259" t="s">
        <v>732</v>
      </c>
      <c r="D29" s="1260">
        <v>1</v>
      </c>
      <c r="E29" s="1259">
        <v>104.16</v>
      </c>
      <c r="F29" s="1261">
        <f t="shared" si="1"/>
        <v>104.16</v>
      </c>
      <c r="G29" s="1262">
        <f t="shared" si="0"/>
        <v>5.230003540144005E-4</v>
      </c>
      <c r="H29" s="1263">
        <f t="shared" si="2"/>
        <v>136511.57127949782</v>
      </c>
      <c r="I29" s="1263">
        <f t="shared" si="3"/>
        <v>3322.3838068927639</v>
      </c>
      <c r="J29" s="1264">
        <f t="shared" si="4"/>
        <v>139833.95508639058</v>
      </c>
      <c r="K29" s="1258"/>
    </row>
    <row r="30" spans="1:11">
      <c r="A30" s="1258" t="s">
        <v>691</v>
      </c>
      <c r="B30" s="1259" t="s">
        <v>733</v>
      </c>
      <c r="C30" s="1259" t="s">
        <v>732</v>
      </c>
      <c r="D30" s="1260">
        <v>1</v>
      </c>
      <c r="E30" s="1259">
        <v>142.29</v>
      </c>
      <c r="F30" s="1261">
        <f t="shared" si="1"/>
        <v>142.29</v>
      </c>
      <c r="G30" s="1262">
        <f t="shared" si="0"/>
        <v>7.1445584075181497E-4</v>
      </c>
      <c r="H30" s="1263">
        <f t="shared" si="2"/>
        <v>186484.55719431397</v>
      </c>
      <c r="I30" s="1263">
        <f t="shared" si="3"/>
        <v>4538.6135933445794</v>
      </c>
      <c r="J30" s="1264">
        <f t="shared" si="4"/>
        <v>191023.17078765854</v>
      </c>
      <c r="K30" s="1258"/>
    </row>
    <row r="31" spans="1:11">
      <c r="A31" s="1258" t="s">
        <v>691</v>
      </c>
      <c r="B31" s="1259" t="s">
        <v>734</v>
      </c>
      <c r="C31" s="1259" t="s">
        <v>720</v>
      </c>
      <c r="D31" s="1260">
        <v>1</v>
      </c>
      <c r="E31" s="1259">
        <v>47.43</v>
      </c>
      <c r="F31" s="1261">
        <f t="shared" si="1"/>
        <v>47.43</v>
      </c>
      <c r="G31" s="1262">
        <f t="shared" si="0"/>
        <v>2.3815194691727168E-4</v>
      </c>
      <c r="H31" s="1263">
        <f t="shared" si="2"/>
        <v>62161.519064771332</v>
      </c>
      <c r="I31" s="1263">
        <f t="shared" si="3"/>
        <v>1512.8711977815265</v>
      </c>
      <c r="J31" s="1264">
        <f t="shared" si="4"/>
        <v>63674.390262552857</v>
      </c>
      <c r="K31" s="1258"/>
    </row>
    <row r="32" spans="1:11">
      <c r="A32" s="1258" t="s">
        <v>691</v>
      </c>
      <c r="B32" s="1259" t="s">
        <v>735</v>
      </c>
      <c r="C32" s="1259" t="s">
        <v>720</v>
      </c>
      <c r="D32" s="1260">
        <v>1</v>
      </c>
      <c r="E32" s="1259">
        <v>29.76</v>
      </c>
      <c r="F32" s="1261">
        <f t="shared" si="1"/>
        <v>29.76</v>
      </c>
      <c r="G32" s="1262">
        <f t="shared" si="0"/>
        <v>1.4942867257554301E-4</v>
      </c>
      <c r="H32" s="1263">
        <f t="shared" si="2"/>
        <v>39003.30607985652</v>
      </c>
      <c r="I32" s="1263">
        <f t="shared" si="3"/>
        <v>949.25251625507542</v>
      </c>
      <c r="J32" s="1264">
        <f t="shared" si="4"/>
        <v>39952.558596111594</v>
      </c>
      <c r="K32" s="1258"/>
    </row>
    <row r="33" spans="1:11">
      <c r="A33" s="1258" t="s">
        <v>691</v>
      </c>
      <c r="B33" s="1259" t="s">
        <v>736</v>
      </c>
      <c r="C33" s="1259" t="s">
        <v>720</v>
      </c>
      <c r="D33" s="1260">
        <v>1</v>
      </c>
      <c r="E33" s="1259">
        <v>4.6500000000000004</v>
      </c>
      <c r="F33" s="1261">
        <f t="shared" si="1"/>
        <v>4.6500000000000004</v>
      </c>
      <c r="G33" s="1262">
        <f t="shared" si="0"/>
        <v>2.3348230089928597E-5</v>
      </c>
      <c r="H33" s="1263">
        <f t="shared" si="2"/>
        <v>6094.2665749775815</v>
      </c>
      <c r="I33" s="1263">
        <f t="shared" si="3"/>
        <v>148.32070566485555</v>
      </c>
      <c r="J33" s="1264">
        <f t="shared" si="4"/>
        <v>6242.5872806424368</v>
      </c>
      <c r="K33" s="1258"/>
    </row>
    <row r="34" spans="1:11">
      <c r="A34" s="1258" t="s">
        <v>691</v>
      </c>
      <c r="B34" s="1259" t="s">
        <v>737</v>
      </c>
      <c r="C34" s="1259" t="s">
        <v>707</v>
      </c>
      <c r="D34" s="1260">
        <v>2</v>
      </c>
      <c r="E34" s="1259">
        <v>16.739999999999998</v>
      </c>
      <c r="F34" s="1261">
        <f>D34*E34</f>
        <v>33.479999999999997</v>
      </c>
      <c r="G34" s="1262">
        <f t="shared" si="0"/>
        <v>1.6810725664748586E-4</v>
      </c>
      <c r="H34" s="1263">
        <f t="shared" si="2"/>
        <v>43878.719339838579</v>
      </c>
      <c r="I34" s="1263">
        <f t="shared" si="3"/>
        <v>1067.9090807869597</v>
      </c>
      <c r="J34" s="1264">
        <f t="shared" si="4"/>
        <v>44946.628420625537</v>
      </c>
      <c r="K34" s="1258"/>
    </row>
    <row r="35" spans="1:11">
      <c r="A35" s="1258" t="s">
        <v>691</v>
      </c>
      <c r="B35" s="1259" t="s">
        <v>738</v>
      </c>
      <c r="C35" s="1259" t="s">
        <v>739</v>
      </c>
      <c r="D35" s="1260">
        <v>1</v>
      </c>
      <c r="E35" s="1259">
        <v>160.88999999999999</v>
      </c>
      <c r="F35" s="1261">
        <f t="shared" ref="F35:F60" si="5">D35*E35</f>
        <v>160.88999999999999</v>
      </c>
      <c r="G35" s="1262">
        <f t="shared" si="0"/>
        <v>8.0784876111152928E-4</v>
      </c>
      <c r="H35" s="1263">
        <f t="shared" si="2"/>
        <v>210861.62349422427</v>
      </c>
      <c r="I35" s="1263">
        <f t="shared" si="3"/>
        <v>5131.8964160040005</v>
      </c>
      <c r="J35" s="1264">
        <f t="shared" si="4"/>
        <v>215993.51991022826</v>
      </c>
      <c r="K35" s="1258"/>
    </row>
    <row r="36" spans="1:11">
      <c r="A36" s="1258" t="s">
        <v>691</v>
      </c>
      <c r="B36" s="1259" t="s">
        <v>740</v>
      </c>
      <c r="C36" s="1259" t="s">
        <v>732</v>
      </c>
      <c r="D36" s="1260">
        <v>1</v>
      </c>
      <c r="E36" s="1259">
        <v>388.74</v>
      </c>
      <c r="F36" s="1261">
        <f t="shared" si="5"/>
        <v>388.74</v>
      </c>
      <c r="G36" s="1262">
        <f t="shared" si="0"/>
        <v>1.9519120355180307E-3</v>
      </c>
      <c r="H36" s="1263">
        <f t="shared" si="2"/>
        <v>509480.68566812581</v>
      </c>
      <c r="I36" s="1263">
        <f t="shared" si="3"/>
        <v>12399.610993581924</v>
      </c>
      <c r="J36" s="1264">
        <f t="shared" si="4"/>
        <v>521880.29666170775</v>
      </c>
      <c r="K36" s="1258"/>
    </row>
    <row r="37" spans="1:11">
      <c r="A37" s="1258" t="s">
        <v>691</v>
      </c>
      <c r="B37" s="1259" t="s">
        <v>741</v>
      </c>
      <c r="C37" s="1259" t="s">
        <v>718</v>
      </c>
      <c r="D37" s="1260">
        <v>1</v>
      </c>
      <c r="E37" s="1259">
        <v>156.24</v>
      </c>
      <c r="F37" s="1261">
        <f t="shared" si="5"/>
        <v>156.24</v>
      </c>
      <c r="G37" s="1262">
        <f t="shared" si="0"/>
        <v>7.8450053102160086E-4</v>
      </c>
      <c r="H37" s="1263">
        <f t="shared" si="2"/>
        <v>204767.35691924675</v>
      </c>
      <c r="I37" s="1263">
        <f t="shared" si="3"/>
        <v>4983.5757103391461</v>
      </c>
      <c r="J37" s="1264">
        <f t="shared" si="4"/>
        <v>209750.93262958591</v>
      </c>
      <c r="K37" s="1258"/>
    </row>
    <row r="38" spans="1:11">
      <c r="A38" s="1258" t="s">
        <v>691</v>
      </c>
      <c r="B38" s="1259" t="s">
        <v>742</v>
      </c>
      <c r="C38" s="1259" t="s">
        <v>718</v>
      </c>
      <c r="D38" s="1260">
        <v>1</v>
      </c>
      <c r="E38" s="1259">
        <v>173.91</v>
      </c>
      <c r="F38" s="1261">
        <f t="shared" si="5"/>
        <v>173.91</v>
      </c>
      <c r="G38" s="1262">
        <f t="shared" si="0"/>
        <v>8.7322380536332942E-4</v>
      </c>
      <c r="H38" s="1263">
        <f t="shared" si="2"/>
        <v>227925.56990416153</v>
      </c>
      <c r="I38" s="1263">
        <f t="shared" si="3"/>
        <v>5547.194391865597</v>
      </c>
      <c r="J38" s="1264">
        <f t="shared" si="4"/>
        <v>233472.76429602713</v>
      </c>
      <c r="K38" s="1258"/>
    </row>
    <row r="39" spans="1:11">
      <c r="A39" s="1258" t="s">
        <v>722</v>
      </c>
      <c r="B39" s="1259" t="s">
        <v>743</v>
      </c>
      <c r="C39" s="1259" t="s">
        <v>730</v>
      </c>
      <c r="D39" s="1260">
        <v>1</v>
      </c>
      <c r="E39" s="1259">
        <v>123.69</v>
      </c>
      <c r="F39" s="1261">
        <f t="shared" si="5"/>
        <v>123.69</v>
      </c>
      <c r="G39" s="1262">
        <f t="shared" si="0"/>
        <v>6.2106292039210067E-4</v>
      </c>
      <c r="H39" s="1263">
        <f t="shared" si="2"/>
        <v>162107.49089440366</v>
      </c>
      <c r="I39" s="1263">
        <f t="shared" si="3"/>
        <v>3945.3307706851574</v>
      </c>
      <c r="J39" s="1264">
        <f t="shared" si="4"/>
        <v>166052.82166508882</v>
      </c>
      <c r="K39" s="1258"/>
    </row>
    <row r="40" spans="1:11">
      <c r="A40" s="1258" t="s">
        <v>691</v>
      </c>
      <c r="B40" s="1259" t="s">
        <v>744</v>
      </c>
      <c r="C40" s="1259" t="s">
        <v>707</v>
      </c>
      <c r="D40" s="1260">
        <v>1</v>
      </c>
      <c r="E40" s="1259">
        <v>59.52</v>
      </c>
      <c r="F40" s="1261">
        <f t="shared" si="5"/>
        <v>59.52</v>
      </c>
      <c r="G40" s="1262">
        <f t="shared" si="0"/>
        <v>2.9885734515108602E-4</v>
      </c>
      <c r="H40" s="1263">
        <f t="shared" si="2"/>
        <v>78006.61215971304</v>
      </c>
      <c r="I40" s="1263">
        <f t="shared" si="3"/>
        <v>1898.5050325101508</v>
      </c>
      <c r="J40" s="1264">
        <f t="shared" si="4"/>
        <v>79905.117192223188</v>
      </c>
      <c r="K40" s="1258"/>
    </row>
    <row r="41" spans="1:11">
      <c r="A41" s="1258" t="s">
        <v>691</v>
      </c>
      <c r="B41" s="1259" t="s">
        <v>745</v>
      </c>
      <c r="C41" s="1259" t="s">
        <v>720</v>
      </c>
      <c r="D41" s="1260">
        <v>1</v>
      </c>
      <c r="E41" s="1259">
        <v>24.18</v>
      </c>
      <c r="F41" s="1261">
        <f t="shared" si="5"/>
        <v>24.18</v>
      </c>
      <c r="G41" s="1262">
        <f t="shared" si="0"/>
        <v>1.214107964676287E-4</v>
      </c>
      <c r="H41" s="1263">
        <f t="shared" si="2"/>
        <v>31690.186189883425</v>
      </c>
      <c r="I41" s="1263">
        <f t="shared" si="3"/>
        <v>771.26766945724887</v>
      </c>
      <c r="J41" s="1264">
        <f t="shared" si="4"/>
        <v>32461.453859340672</v>
      </c>
      <c r="K41" s="1258"/>
    </row>
    <row r="42" spans="1:11">
      <c r="A42" s="1258" t="s">
        <v>691</v>
      </c>
      <c r="B42" s="1259" t="s">
        <v>746</v>
      </c>
      <c r="C42" s="1259" t="s">
        <v>720</v>
      </c>
      <c r="D42" s="1260">
        <v>1</v>
      </c>
      <c r="E42" s="1259">
        <v>14.88</v>
      </c>
      <c r="F42" s="1261">
        <f t="shared" si="5"/>
        <v>14.88</v>
      </c>
      <c r="G42" s="1262">
        <f t="shared" si="0"/>
        <v>7.4714336287771504E-5</v>
      </c>
      <c r="H42" s="1263">
        <f t="shared" si="2"/>
        <v>19501.65303992826</v>
      </c>
      <c r="I42" s="1263">
        <f t="shared" si="3"/>
        <v>474.62625812753771</v>
      </c>
      <c r="J42" s="1264">
        <f t="shared" si="4"/>
        <v>19976.279298055797</v>
      </c>
      <c r="K42" s="1258"/>
    </row>
    <row r="43" spans="1:11">
      <c r="A43" s="1258" t="s">
        <v>691</v>
      </c>
      <c r="B43" s="1259" t="s">
        <v>747</v>
      </c>
      <c r="C43" s="1259" t="s">
        <v>720</v>
      </c>
      <c r="D43" s="1260">
        <v>1</v>
      </c>
      <c r="E43" s="1259">
        <v>26.97</v>
      </c>
      <c r="F43" s="1261">
        <f t="shared" si="5"/>
        <v>26.97</v>
      </c>
      <c r="G43" s="1262">
        <f t="shared" si="0"/>
        <v>1.3541973452158585E-4</v>
      </c>
      <c r="H43" s="1263">
        <f t="shared" si="2"/>
        <v>35346.746134869973</v>
      </c>
      <c r="I43" s="1263">
        <f t="shared" si="3"/>
        <v>860.26009285616203</v>
      </c>
      <c r="J43" s="1264">
        <f t="shared" si="4"/>
        <v>36207.006227726131</v>
      </c>
      <c r="K43" s="1258"/>
    </row>
    <row r="44" spans="1:11">
      <c r="A44" s="1258" t="s">
        <v>691</v>
      </c>
      <c r="B44" s="1259" t="s">
        <v>748</v>
      </c>
      <c r="C44" s="1259" t="s">
        <v>749</v>
      </c>
      <c r="D44" s="1260">
        <v>2</v>
      </c>
      <c r="E44" s="1259">
        <v>15.81</v>
      </c>
      <c r="F44" s="1261">
        <f t="shared" si="5"/>
        <v>31.62</v>
      </c>
      <c r="G44" s="1262">
        <f t="shared" si="0"/>
        <v>1.5876796461151445E-4</v>
      </c>
      <c r="H44" s="1263">
        <f t="shared" si="2"/>
        <v>41441.012709847557</v>
      </c>
      <c r="I44" s="1263">
        <f t="shared" si="3"/>
        <v>1008.5807985210176</v>
      </c>
      <c r="J44" s="1264">
        <f t="shared" si="4"/>
        <v>42449.593508368576</v>
      </c>
      <c r="K44" s="1258"/>
    </row>
    <row r="45" spans="1:11">
      <c r="A45" s="1258" t="s">
        <v>691</v>
      </c>
      <c r="B45" s="1259" t="s">
        <v>750</v>
      </c>
      <c r="C45" s="1259" t="s">
        <v>720</v>
      </c>
      <c r="D45" s="1260">
        <v>2</v>
      </c>
      <c r="E45" s="1259">
        <v>13.02</v>
      </c>
      <c r="F45" s="1261">
        <f t="shared" si="5"/>
        <v>26.04</v>
      </c>
      <c r="G45" s="1262">
        <f t="shared" si="0"/>
        <v>1.3075008850360013E-4</v>
      </c>
      <c r="H45" s="1263">
        <f t="shared" si="2"/>
        <v>34127.892819874454</v>
      </c>
      <c r="I45" s="1263">
        <f t="shared" si="3"/>
        <v>830.59595172319098</v>
      </c>
      <c r="J45" s="1264">
        <f t="shared" si="4"/>
        <v>34958.488771597644</v>
      </c>
      <c r="K45" s="1258"/>
    </row>
    <row r="46" spans="1:11">
      <c r="A46" s="1258" t="s">
        <v>722</v>
      </c>
      <c r="B46" s="1259" t="s">
        <v>751</v>
      </c>
      <c r="C46" s="1259" t="s">
        <v>752</v>
      </c>
      <c r="D46" s="1260">
        <v>2</v>
      </c>
      <c r="E46" s="1259">
        <v>13.02</v>
      </c>
      <c r="F46" s="1261">
        <f t="shared" si="5"/>
        <v>26.04</v>
      </c>
      <c r="G46" s="1262">
        <f t="shared" si="0"/>
        <v>1.3075008850360013E-4</v>
      </c>
      <c r="H46" s="1263">
        <f t="shared" si="2"/>
        <v>34127.892819874454</v>
      </c>
      <c r="I46" s="1263">
        <f t="shared" si="3"/>
        <v>830.59595172319098</v>
      </c>
      <c r="J46" s="1264">
        <f t="shared" si="4"/>
        <v>34958.488771597644</v>
      </c>
      <c r="K46" s="1258"/>
    </row>
    <row r="47" spans="1:11">
      <c r="A47" s="1258" t="s">
        <v>691</v>
      </c>
      <c r="B47" s="1259" t="s">
        <v>753</v>
      </c>
      <c r="C47" s="1259" t="s">
        <v>754</v>
      </c>
      <c r="D47" s="1260">
        <v>2</v>
      </c>
      <c r="E47" s="1259">
        <v>347.82</v>
      </c>
      <c r="F47" s="1261">
        <f t="shared" si="5"/>
        <v>695.64</v>
      </c>
      <c r="G47" s="1262">
        <f t="shared" si="0"/>
        <v>3.4928952214533177E-3</v>
      </c>
      <c r="H47" s="1263">
        <f t="shared" si="2"/>
        <v>911702.27961664612</v>
      </c>
      <c r="I47" s="1263">
        <f t="shared" si="3"/>
        <v>22188.777567462388</v>
      </c>
      <c r="J47" s="1264">
        <f t="shared" si="4"/>
        <v>933891.05718410853</v>
      </c>
      <c r="K47" s="1258"/>
    </row>
    <row r="48" spans="1:11">
      <c r="A48" s="1258" t="s">
        <v>691</v>
      </c>
      <c r="B48" s="1259" t="s">
        <v>755</v>
      </c>
      <c r="C48" s="1259" t="s">
        <v>756</v>
      </c>
      <c r="D48" s="1260">
        <v>54</v>
      </c>
      <c r="E48" s="1259">
        <v>118.11</v>
      </c>
      <c r="F48" s="1261">
        <f t="shared" si="5"/>
        <v>6377.94</v>
      </c>
      <c r="G48" s="1262">
        <f t="shared" si="0"/>
        <v>3.2024432391346058E-2</v>
      </c>
      <c r="H48" s="1263">
        <f t="shared" si="2"/>
        <v>8358896.0342392493</v>
      </c>
      <c r="I48" s="1263">
        <f t="shared" si="3"/>
        <v>203436.67988991583</v>
      </c>
      <c r="J48" s="1264">
        <f t="shared" si="4"/>
        <v>8562332.7141291648</v>
      </c>
      <c r="K48" s="1258"/>
    </row>
    <row r="49" spans="1:11">
      <c r="A49" s="1258" t="s">
        <v>691</v>
      </c>
      <c r="B49" s="1259" t="s">
        <v>757</v>
      </c>
      <c r="C49" s="1259" t="s">
        <v>703</v>
      </c>
      <c r="D49" s="1260">
        <v>2</v>
      </c>
      <c r="E49" s="1259">
        <v>5.58</v>
      </c>
      <c r="F49" s="1261">
        <f t="shared" si="5"/>
        <v>11.16</v>
      </c>
      <c r="G49" s="1262">
        <f t="shared" si="0"/>
        <v>5.6035752215828628E-5</v>
      </c>
      <c r="H49" s="1263">
        <f t="shared" si="2"/>
        <v>14626.239779946194</v>
      </c>
      <c r="I49" s="1263">
        <f t="shared" si="3"/>
        <v>355.96969359565327</v>
      </c>
      <c r="J49" s="1264">
        <f t="shared" si="4"/>
        <v>14982.209473541847</v>
      </c>
      <c r="K49" s="1258"/>
    </row>
    <row r="50" spans="1:11">
      <c r="A50" s="1258" t="s">
        <v>691</v>
      </c>
      <c r="B50" s="1259" t="s">
        <v>758</v>
      </c>
      <c r="C50" s="1259" t="s">
        <v>732</v>
      </c>
      <c r="D50" s="1260">
        <v>2</v>
      </c>
      <c r="E50" s="1259">
        <v>388.74</v>
      </c>
      <c r="F50" s="1261">
        <f t="shared" si="5"/>
        <v>777.48</v>
      </c>
      <c r="G50" s="1262">
        <f t="shared" si="0"/>
        <v>3.9038240710360613E-3</v>
      </c>
      <c r="H50" s="1263">
        <f t="shared" si="2"/>
        <v>1018961.3713362516</v>
      </c>
      <c r="I50" s="1263">
        <f t="shared" si="3"/>
        <v>24799.221987163848</v>
      </c>
      <c r="J50" s="1264">
        <f t="shared" si="4"/>
        <v>1043760.5933234155</v>
      </c>
      <c r="K50" s="1258"/>
    </row>
    <row r="51" spans="1:11">
      <c r="A51" s="1258" t="s">
        <v>691</v>
      </c>
      <c r="B51" s="1259" t="s">
        <v>759</v>
      </c>
      <c r="C51" s="1259" t="s">
        <v>709</v>
      </c>
      <c r="D51" s="1260">
        <v>2</v>
      </c>
      <c r="E51" s="1259">
        <v>156.24</v>
      </c>
      <c r="F51" s="1261">
        <f t="shared" si="5"/>
        <v>312.48</v>
      </c>
      <c r="G51" s="1262">
        <f t="shared" si="0"/>
        <v>1.5690010620432017E-3</v>
      </c>
      <c r="H51" s="1263">
        <f t="shared" si="2"/>
        <v>409534.71383849351</v>
      </c>
      <c r="I51" s="1263">
        <f t="shared" si="3"/>
        <v>9967.1514206782922</v>
      </c>
      <c r="J51" s="1264">
        <f t="shared" si="4"/>
        <v>419501.86525917181</v>
      </c>
      <c r="K51" s="1258"/>
    </row>
    <row r="52" spans="1:11">
      <c r="A52" s="1258" t="s">
        <v>691</v>
      </c>
      <c r="B52" s="1259" t="s">
        <v>760</v>
      </c>
      <c r="C52" s="1259" t="s">
        <v>709</v>
      </c>
      <c r="D52" s="1260">
        <v>2</v>
      </c>
      <c r="E52" s="1259">
        <v>173.91</v>
      </c>
      <c r="F52" s="1261">
        <f t="shared" si="5"/>
        <v>347.82</v>
      </c>
      <c r="G52" s="1262">
        <f t="shared" si="0"/>
        <v>1.7464476107266588E-3</v>
      </c>
      <c r="H52" s="1263">
        <f t="shared" si="2"/>
        <v>455851.13980832306</v>
      </c>
      <c r="I52" s="1263">
        <f t="shared" si="3"/>
        <v>11094.388783731194</v>
      </c>
      <c r="J52" s="1264">
        <f t="shared" si="4"/>
        <v>466945.52859205427</v>
      </c>
      <c r="K52" s="1258"/>
    </row>
    <row r="53" spans="1:11">
      <c r="A53" s="1258" t="s">
        <v>691</v>
      </c>
      <c r="B53" s="1259" t="s">
        <v>761</v>
      </c>
      <c r="C53" s="1259" t="s">
        <v>707</v>
      </c>
      <c r="D53" s="1260">
        <v>2</v>
      </c>
      <c r="E53" s="1259">
        <v>123.69</v>
      </c>
      <c r="F53" s="1261">
        <f t="shared" si="5"/>
        <v>247.38</v>
      </c>
      <c r="G53" s="1262">
        <f t="shared" si="0"/>
        <v>1.2421258407842013E-3</v>
      </c>
      <c r="H53" s="1263">
        <f t="shared" si="2"/>
        <v>324214.98178880732</v>
      </c>
      <c r="I53" s="1263">
        <f t="shared" si="3"/>
        <v>7890.6615413703148</v>
      </c>
      <c r="J53" s="1264">
        <f t="shared" si="4"/>
        <v>332105.64333017764</v>
      </c>
      <c r="K53" s="1258"/>
    </row>
    <row r="54" spans="1:11">
      <c r="A54" s="1258" t="s">
        <v>691</v>
      </c>
      <c r="B54" s="1259" t="s">
        <v>762</v>
      </c>
      <c r="C54" s="1259" t="s">
        <v>707</v>
      </c>
      <c r="D54" s="1260">
        <v>2</v>
      </c>
      <c r="E54" s="1259">
        <v>59.52</v>
      </c>
      <c r="F54" s="1261">
        <f t="shared" si="5"/>
        <v>119.04</v>
      </c>
      <c r="G54" s="1262">
        <f t="shared" si="0"/>
        <v>5.9771469030217204E-4</v>
      </c>
      <c r="H54" s="1263">
        <f t="shared" si="2"/>
        <v>156013.22431942608</v>
      </c>
      <c r="I54" s="1263">
        <f t="shared" si="3"/>
        <v>3797.0100650203017</v>
      </c>
      <c r="J54" s="1264">
        <f t="shared" si="4"/>
        <v>159810.23438444638</v>
      </c>
      <c r="K54" s="1258"/>
    </row>
    <row r="55" spans="1:11">
      <c r="A55" s="1258" t="s">
        <v>691</v>
      </c>
      <c r="B55" s="1259" t="s">
        <v>763</v>
      </c>
      <c r="C55" s="1259" t="s">
        <v>764</v>
      </c>
      <c r="D55" s="1260">
        <v>2</v>
      </c>
      <c r="E55" s="1259">
        <v>24.18</v>
      </c>
      <c r="F55" s="1261">
        <f t="shared" si="5"/>
        <v>48.36</v>
      </c>
      <c r="G55" s="1262">
        <f t="shared" si="0"/>
        <v>2.428215929352574E-4</v>
      </c>
      <c r="H55" s="1263">
        <f t="shared" si="2"/>
        <v>63380.37237976685</v>
      </c>
      <c r="I55" s="1263">
        <f t="shared" si="3"/>
        <v>1542.5353389144977</v>
      </c>
      <c r="J55" s="1264">
        <f t="shared" si="4"/>
        <v>64922.907718681345</v>
      </c>
      <c r="K55" s="1258"/>
    </row>
    <row r="56" spans="1:11">
      <c r="A56" s="1258" t="s">
        <v>691</v>
      </c>
      <c r="B56" s="1259" t="s">
        <v>765</v>
      </c>
      <c r="C56" s="1259" t="s">
        <v>764</v>
      </c>
      <c r="D56" s="1260">
        <v>2</v>
      </c>
      <c r="E56" s="1259">
        <v>14.88</v>
      </c>
      <c r="F56" s="1261">
        <f t="shared" si="5"/>
        <v>29.76</v>
      </c>
      <c r="G56" s="1262">
        <f t="shared" si="0"/>
        <v>1.4942867257554301E-4</v>
      </c>
      <c r="H56" s="1263">
        <f t="shared" si="2"/>
        <v>39003.30607985652</v>
      </c>
      <c r="I56" s="1263">
        <f t="shared" si="3"/>
        <v>949.25251625507542</v>
      </c>
      <c r="J56" s="1264">
        <f t="shared" si="4"/>
        <v>39952.558596111594</v>
      </c>
      <c r="K56" s="1258"/>
    </row>
    <row r="57" spans="1:11">
      <c r="A57" s="1258" t="s">
        <v>691</v>
      </c>
      <c r="B57" s="1259" t="s">
        <v>766</v>
      </c>
      <c r="C57" s="1259" t="s">
        <v>764</v>
      </c>
      <c r="D57" s="1260">
        <v>2</v>
      </c>
      <c r="E57" s="1259">
        <v>26.97</v>
      </c>
      <c r="F57" s="1261">
        <f t="shared" si="5"/>
        <v>53.94</v>
      </c>
      <c r="G57" s="1262">
        <f t="shared" si="0"/>
        <v>2.7083946904317169E-4</v>
      </c>
      <c r="H57" s="1263">
        <f t="shared" si="2"/>
        <v>70693.492269739945</v>
      </c>
      <c r="I57" s="1263">
        <f t="shared" si="3"/>
        <v>1720.5201857123241</v>
      </c>
      <c r="J57" s="1264">
        <f t="shared" si="4"/>
        <v>72414.012455452263</v>
      </c>
      <c r="K57" s="1258"/>
    </row>
    <row r="58" spans="1:11">
      <c r="A58" s="1258" t="s">
        <v>691</v>
      </c>
      <c r="B58" s="1259" t="s">
        <v>767</v>
      </c>
      <c r="C58" s="1259" t="s">
        <v>764</v>
      </c>
      <c r="D58" s="1260">
        <v>4</v>
      </c>
      <c r="E58" s="1259">
        <v>15.81</v>
      </c>
      <c r="F58" s="1261">
        <f t="shared" si="5"/>
        <v>63.24</v>
      </c>
      <c r="G58" s="1262">
        <f t="shared" si="0"/>
        <v>3.175359292230289E-4</v>
      </c>
      <c r="H58" s="1263">
        <f t="shared" si="2"/>
        <v>82882.025419695114</v>
      </c>
      <c r="I58" s="1263">
        <f t="shared" si="3"/>
        <v>2017.1615970420353</v>
      </c>
      <c r="J58" s="1264">
        <f t="shared" si="4"/>
        <v>84899.187016737153</v>
      </c>
      <c r="K58" s="1258"/>
    </row>
    <row r="59" spans="1:11">
      <c r="A59" s="1258" t="s">
        <v>691</v>
      </c>
      <c r="B59" s="1259" t="s">
        <v>768</v>
      </c>
      <c r="C59" s="1259" t="s">
        <v>764</v>
      </c>
      <c r="D59" s="1260">
        <v>4</v>
      </c>
      <c r="E59" s="1259">
        <v>10.23</v>
      </c>
      <c r="F59" s="1261">
        <f t="shared" si="5"/>
        <v>40.92</v>
      </c>
      <c r="G59" s="1262">
        <f t="shared" si="0"/>
        <v>2.0546442479137166E-4</v>
      </c>
      <c r="H59" s="1263">
        <f t="shared" si="2"/>
        <v>53629.545859802718</v>
      </c>
      <c r="I59" s="1263">
        <f t="shared" si="3"/>
        <v>1305.2222098507289</v>
      </c>
      <c r="J59" s="1264">
        <f t="shared" si="4"/>
        <v>54934.768069653444</v>
      </c>
      <c r="K59" s="1258"/>
    </row>
    <row r="60" spans="1:11">
      <c r="A60" s="1258" t="s">
        <v>691</v>
      </c>
      <c r="B60" s="1259" t="s">
        <v>769</v>
      </c>
      <c r="C60" s="1259" t="s">
        <v>770</v>
      </c>
      <c r="D60" s="1260">
        <v>4</v>
      </c>
      <c r="E60" s="1259">
        <v>13.02</v>
      </c>
      <c r="F60" s="1261">
        <f t="shared" si="5"/>
        <v>52.08</v>
      </c>
      <c r="G60" s="1262">
        <f t="shared" si="0"/>
        <v>2.6150017700720025E-4</v>
      </c>
      <c r="H60" s="1263">
        <f t="shared" si="2"/>
        <v>68255.785639748909</v>
      </c>
      <c r="I60" s="1263">
        <f t="shared" si="3"/>
        <v>1661.191903446382</v>
      </c>
      <c r="J60" s="1264">
        <f t="shared" si="4"/>
        <v>69916.977543195288</v>
      </c>
      <c r="K60" s="1258"/>
    </row>
    <row r="61" spans="1:11">
      <c r="A61" s="1258" t="s">
        <v>691</v>
      </c>
      <c r="B61" s="1259" t="s">
        <v>771</v>
      </c>
      <c r="C61" s="1266" t="s">
        <v>772</v>
      </c>
      <c r="D61" s="1267">
        <v>4</v>
      </c>
      <c r="E61" s="1266">
        <v>106.95</v>
      </c>
      <c r="F61" s="1261">
        <f>D61*E61</f>
        <v>427.8</v>
      </c>
      <c r="G61" s="1262">
        <f t="shared" si="0"/>
        <v>2.148037168273431E-3</v>
      </c>
      <c r="H61" s="1263">
        <f t="shared" si="2"/>
        <v>560672.52489793755</v>
      </c>
      <c r="I61" s="1263">
        <f t="shared" si="3"/>
        <v>13645.50492116671</v>
      </c>
      <c r="J61" s="1264">
        <f t="shared" si="4"/>
        <v>574318.02981910424</v>
      </c>
      <c r="K61" s="1258"/>
    </row>
    <row r="62" spans="1:11">
      <c r="A62" s="1258" t="s">
        <v>691</v>
      </c>
      <c r="B62" s="1259" t="s">
        <v>773</v>
      </c>
      <c r="C62" s="1266" t="s">
        <v>774</v>
      </c>
      <c r="D62" s="1267">
        <v>4</v>
      </c>
      <c r="E62" s="1266">
        <v>24.18</v>
      </c>
      <c r="F62" s="1261">
        <f t="shared" ref="F62:F87" si="6">D62*E62</f>
        <v>96.72</v>
      </c>
      <c r="G62" s="1262">
        <f t="shared" si="0"/>
        <v>4.8564318587051479E-4</v>
      </c>
      <c r="H62" s="1263">
        <f t="shared" si="2"/>
        <v>126760.7447595337</v>
      </c>
      <c r="I62" s="1263">
        <f t="shared" si="3"/>
        <v>3085.0706778289955</v>
      </c>
      <c r="J62" s="1264">
        <f t="shared" si="4"/>
        <v>129845.81543736269</v>
      </c>
      <c r="K62" s="1258"/>
    </row>
    <row r="63" spans="1:11">
      <c r="A63" s="1258" t="s">
        <v>691</v>
      </c>
      <c r="B63" s="1259" t="s">
        <v>775</v>
      </c>
      <c r="C63" s="1259" t="s">
        <v>776</v>
      </c>
      <c r="D63" s="1260">
        <v>8</v>
      </c>
      <c r="E63" s="1259">
        <v>911.4</v>
      </c>
      <c r="F63" s="1261">
        <f t="shared" si="6"/>
        <v>7291.2</v>
      </c>
      <c r="G63" s="1262">
        <f t="shared" si="0"/>
        <v>3.6610024781008034E-2</v>
      </c>
      <c r="H63" s="1263">
        <f t="shared" si="2"/>
        <v>9555809.9895648472</v>
      </c>
      <c r="I63" s="1263">
        <f t="shared" si="3"/>
        <v>232566.86648249347</v>
      </c>
      <c r="J63" s="1264">
        <f t="shared" si="4"/>
        <v>9788376.8560473397</v>
      </c>
      <c r="K63" s="1258"/>
    </row>
    <row r="64" spans="1:11">
      <c r="A64" s="1258" t="s">
        <v>691</v>
      </c>
      <c r="B64" s="1259" t="s">
        <v>777</v>
      </c>
      <c r="C64" s="1259" t="s">
        <v>778</v>
      </c>
      <c r="D64" s="1260">
        <v>8</v>
      </c>
      <c r="E64" s="1259">
        <v>5.58</v>
      </c>
      <c r="F64" s="1261">
        <f t="shared" si="6"/>
        <v>44.64</v>
      </c>
      <c r="G64" s="1262">
        <f t="shared" si="0"/>
        <v>2.2414300886331451E-4</v>
      </c>
      <c r="H64" s="1263">
        <f t="shared" si="2"/>
        <v>58504.959119784777</v>
      </c>
      <c r="I64" s="1263">
        <f t="shared" si="3"/>
        <v>1423.8787743826131</v>
      </c>
      <c r="J64" s="1264">
        <f t="shared" si="4"/>
        <v>59928.837894167387</v>
      </c>
      <c r="K64" s="1258"/>
    </row>
    <row r="65" spans="1:11">
      <c r="A65" s="1258" t="s">
        <v>691</v>
      </c>
      <c r="B65" s="1259" t="s">
        <v>779</v>
      </c>
      <c r="C65" s="1259" t="s">
        <v>780</v>
      </c>
      <c r="D65" s="1260">
        <v>2</v>
      </c>
      <c r="E65" s="1259">
        <v>106.95</v>
      </c>
      <c r="F65" s="1261">
        <f t="shared" si="6"/>
        <v>213.9</v>
      </c>
      <c r="G65" s="1262">
        <f t="shared" si="0"/>
        <v>1.0740185841367155E-3</v>
      </c>
      <c r="H65" s="1263">
        <f t="shared" si="2"/>
        <v>280336.26244896877</v>
      </c>
      <c r="I65" s="1263">
        <f t="shared" si="3"/>
        <v>6822.7524605833551</v>
      </c>
      <c r="J65" s="1264">
        <f t="shared" si="4"/>
        <v>287159.01490955212</v>
      </c>
      <c r="K65" s="1258"/>
    </row>
    <row r="66" spans="1:11">
      <c r="A66" s="1258" t="s">
        <v>722</v>
      </c>
      <c r="B66" s="1259" t="s">
        <v>781</v>
      </c>
      <c r="C66" s="1259" t="s">
        <v>782</v>
      </c>
      <c r="D66" s="1260">
        <v>12</v>
      </c>
      <c r="E66" s="1259">
        <v>21.39</v>
      </c>
      <c r="F66" s="1261">
        <f t="shared" si="6"/>
        <v>256.68</v>
      </c>
      <c r="G66" s="1262">
        <f t="shared" si="0"/>
        <v>1.2888223009640584E-3</v>
      </c>
      <c r="H66" s="1263">
        <f t="shared" si="2"/>
        <v>336403.51493876247</v>
      </c>
      <c r="I66" s="1263">
        <f t="shared" si="3"/>
        <v>8187.3029527000253</v>
      </c>
      <c r="J66" s="1264">
        <f t="shared" si="4"/>
        <v>344590.81789146247</v>
      </c>
      <c r="K66" s="1258"/>
    </row>
    <row r="67" spans="1:11">
      <c r="A67" s="1258" t="s">
        <v>691</v>
      </c>
      <c r="B67" s="1259" t="s">
        <v>783</v>
      </c>
      <c r="C67" s="1259" t="s">
        <v>784</v>
      </c>
      <c r="D67" s="1260">
        <v>4</v>
      </c>
      <c r="E67" s="1259">
        <v>257.61</v>
      </c>
      <c r="F67" s="1261">
        <f t="shared" si="6"/>
        <v>1030.44</v>
      </c>
      <c r="G67" s="1262">
        <f t="shared" si="0"/>
        <v>5.1739677879281774E-3</v>
      </c>
      <c r="H67" s="1263">
        <f t="shared" si="2"/>
        <v>1350489.4730150322</v>
      </c>
      <c r="I67" s="1263">
        <f t="shared" si="3"/>
        <v>32867.868375331993</v>
      </c>
      <c r="J67" s="1264">
        <f t="shared" si="4"/>
        <v>1383357.3413903643</v>
      </c>
      <c r="K67" s="1258"/>
    </row>
    <row r="68" spans="1:11">
      <c r="A68" s="1258" t="s">
        <v>691</v>
      </c>
      <c r="B68" s="1259" t="s">
        <v>785</v>
      </c>
      <c r="C68" s="1259" t="s">
        <v>786</v>
      </c>
      <c r="D68" s="1260">
        <v>2</v>
      </c>
      <c r="E68" s="1259">
        <v>105.09</v>
      </c>
      <c r="F68" s="1261">
        <f t="shared" si="6"/>
        <v>210.18</v>
      </c>
      <c r="G68" s="1262">
        <f t="shared" si="0"/>
        <v>1.0553400000647725E-3</v>
      </c>
      <c r="H68" s="1263">
        <f t="shared" si="2"/>
        <v>275460.8491889867</v>
      </c>
      <c r="I68" s="1263">
        <f t="shared" si="3"/>
        <v>6704.0958960514699</v>
      </c>
      <c r="J68" s="1264">
        <f t="shared" si="4"/>
        <v>282164.9450850382</v>
      </c>
      <c r="K68" s="1258"/>
    </row>
    <row r="69" spans="1:11">
      <c r="A69" s="1258" t="s">
        <v>691</v>
      </c>
      <c r="B69" s="1259" t="s">
        <v>787</v>
      </c>
      <c r="C69" s="1259" t="s">
        <v>788</v>
      </c>
      <c r="D69" s="1260">
        <v>1</v>
      </c>
      <c r="E69" s="1259">
        <v>1720.5</v>
      </c>
      <c r="F69" s="1261">
        <f t="shared" si="6"/>
        <v>1720.5</v>
      </c>
      <c r="G69" s="1262">
        <f t="shared" si="0"/>
        <v>8.6388451332735806E-3</v>
      </c>
      <c r="H69" s="1263">
        <f t="shared" si="2"/>
        <v>2254878.632741705</v>
      </c>
      <c r="I69" s="1263">
        <f t="shared" si="3"/>
        <v>54878.661095996555</v>
      </c>
      <c r="J69" s="1264">
        <f t="shared" si="4"/>
        <v>2309757.2938377014</v>
      </c>
      <c r="K69" s="1258"/>
    </row>
    <row r="70" spans="1:11">
      <c r="A70" s="1258" t="s">
        <v>691</v>
      </c>
      <c r="B70" s="1259" t="s">
        <v>789</v>
      </c>
      <c r="C70" s="1259" t="s">
        <v>790</v>
      </c>
      <c r="D70" s="1260">
        <v>1</v>
      </c>
      <c r="E70" s="1259">
        <v>3189.9</v>
      </c>
      <c r="F70" s="1261">
        <f t="shared" si="6"/>
        <v>3189.9</v>
      </c>
      <c r="G70" s="1262">
        <f t="shared" si="0"/>
        <v>1.6016885841691017E-2</v>
      </c>
      <c r="H70" s="1263">
        <f t="shared" si="2"/>
        <v>4180666.8704346209</v>
      </c>
      <c r="I70" s="1263">
        <f t="shared" si="3"/>
        <v>101748.00408609091</v>
      </c>
      <c r="J70" s="1264">
        <f t="shared" si="4"/>
        <v>4282414.8745207116</v>
      </c>
      <c r="K70" s="1258"/>
    </row>
    <row r="71" spans="1:11">
      <c r="A71" s="1258" t="s">
        <v>691</v>
      </c>
      <c r="B71" s="1259" t="s">
        <v>791</v>
      </c>
      <c r="C71" s="1259" t="s">
        <v>792</v>
      </c>
      <c r="D71" s="1260">
        <v>1</v>
      </c>
      <c r="E71" s="1259">
        <v>4.6500000000000004</v>
      </c>
      <c r="F71" s="1261">
        <f t="shared" si="6"/>
        <v>4.6500000000000004</v>
      </c>
      <c r="G71" s="1262">
        <f t="shared" ref="G71:G134" si="7">F71/$F$140</f>
        <v>2.3348230089928597E-5</v>
      </c>
      <c r="H71" s="1263">
        <f t="shared" si="2"/>
        <v>6094.2665749775815</v>
      </c>
      <c r="I71" s="1263">
        <f t="shared" si="3"/>
        <v>148.32070566485555</v>
      </c>
      <c r="J71" s="1264">
        <f t="shared" si="4"/>
        <v>6242.5872806424368</v>
      </c>
      <c r="K71" s="1258"/>
    </row>
    <row r="72" spans="1:11">
      <c r="A72" s="1258" t="s">
        <v>691</v>
      </c>
      <c r="B72" s="1259" t="s">
        <v>793</v>
      </c>
      <c r="C72" s="1259" t="s">
        <v>794</v>
      </c>
      <c r="D72" s="1260">
        <v>1</v>
      </c>
      <c r="E72" s="1259">
        <v>446.4</v>
      </c>
      <c r="F72" s="1261">
        <f t="shared" si="6"/>
        <v>446.4</v>
      </c>
      <c r="G72" s="1262">
        <f t="shared" si="7"/>
        <v>2.2414300886331451E-3</v>
      </c>
      <c r="H72" s="1263">
        <f t="shared" ref="H72:H135" si="8">G72*$N$9</f>
        <v>585049.59119784774</v>
      </c>
      <c r="I72" s="1263">
        <f t="shared" ref="I72:I135" si="9">G72*$N$10</f>
        <v>14238.787743826131</v>
      </c>
      <c r="J72" s="1264">
        <f t="shared" ref="J72:J135" si="10">H72+I72</f>
        <v>599288.3789416739</v>
      </c>
      <c r="K72" s="1258"/>
    </row>
    <row r="73" spans="1:11">
      <c r="A73" s="1258" t="s">
        <v>691</v>
      </c>
      <c r="B73" s="1259" t="s">
        <v>795</v>
      </c>
      <c r="C73" s="1259" t="s">
        <v>774</v>
      </c>
      <c r="D73" s="1260">
        <v>3</v>
      </c>
      <c r="E73" s="1259">
        <v>4.6500000000000004</v>
      </c>
      <c r="F73" s="1261">
        <f t="shared" si="6"/>
        <v>13.950000000000001</v>
      </c>
      <c r="G73" s="1262">
        <f t="shared" si="7"/>
        <v>7.0044690269785797E-5</v>
      </c>
      <c r="H73" s="1263">
        <f t="shared" si="8"/>
        <v>18282.799724932745</v>
      </c>
      <c r="I73" s="1263">
        <f t="shared" si="9"/>
        <v>444.96211699456671</v>
      </c>
      <c r="J73" s="1264">
        <f t="shared" si="10"/>
        <v>18727.761841927313</v>
      </c>
      <c r="K73" s="1258"/>
    </row>
    <row r="74" spans="1:11">
      <c r="A74" s="1258" t="s">
        <v>691</v>
      </c>
      <c r="B74" s="1259" t="s">
        <v>796</v>
      </c>
      <c r="C74" s="1259" t="s">
        <v>797</v>
      </c>
      <c r="D74" s="1260">
        <v>3</v>
      </c>
      <c r="E74" s="1259">
        <v>10.23</v>
      </c>
      <c r="F74" s="1261">
        <f t="shared" si="6"/>
        <v>30.69</v>
      </c>
      <c r="G74" s="1262">
        <f t="shared" si="7"/>
        <v>1.5409831859352873E-4</v>
      </c>
      <c r="H74" s="1263">
        <f t="shared" si="8"/>
        <v>40222.159394852039</v>
      </c>
      <c r="I74" s="1263">
        <f t="shared" si="9"/>
        <v>978.91665738804659</v>
      </c>
      <c r="J74" s="1264">
        <f t="shared" si="10"/>
        <v>41201.076052240081</v>
      </c>
      <c r="K74" s="1258"/>
    </row>
    <row r="75" spans="1:11">
      <c r="A75" s="1258" t="s">
        <v>691</v>
      </c>
      <c r="B75" s="1259" t="s">
        <v>798</v>
      </c>
      <c r="C75" s="1259" t="s">
        <v>799</v>
      </c>
      <c r="D75" s="1260">
        <v>1</v>
      </c>
      <c r="E75" s="1259">
        <v>7.44</v>
      </c>
      <c r="F75" s="1261">
        <f t="shared" si="6"/>
        <v>7.44</v>
      </c>
      <c r="G75" s="1262">
        <f t="shared" si="7"/>
        <v>3.7357168143885752E-5</v>
      </c>
      <c r="H75" s="1263">
        <f t="shared" si="8"/>
        <v>9750.8265199641301</v>
      </c>
      <c r="I75" s="1263">
        <f t="shared" si="9"/>
        <v>237.31312906376886</v>
      </c>
      <c r="J75" s="1264">
        <f t="shared" si="10"/>
        <v>9988.1396490278985</v>
      </c>
      <c r="K75" s="1258"/>
    </row>
    <row r="76" spans="1:11">
      <c r="A76" s="1258" t="s">
        <v>722</v>
      </c>
      <c r="B76" s="1259" t="s">
        <v>800</v>
      </c>
      <c r="C76" s="1259" t="s">
        <v>801</v>
      </c>
      <c r="D76" s="1260">
        <v>4</v>
      </c>
      <c r="E76" s="1259">
        <v>69.75</v>
      </c>
      <c r="F76" s="1261">
        <f t="shared" si="6"/>
        <v>279</v>
      </c>
      <c r="G76" s="1262">
        <f t="shared" si="7"/>
        <v>1.4008938053957157E-3</v>
      </c>
      <c r="H76" s="1263">
        <f t="shared" si="8"/>
        <v>365655.99449865485</v>
      </c>
      <c r="I76" s="1263">
        <f t="shared" si="9"/>
        <v>8899.2423398913324</v>
      </c>
      <c r="J76" s="1264">
        <f t="shared" si="10"/>
        <v>374555.23683854617</v>
      </c>
      <c r="K76" s="1258"/>
    </row>
    <row r="77" spans="1:11">
      <c r="A77" s="1258" t="s">
        <v>691</v>
      </c>
      <c r="B77" s="1259" t="s">
        <v>802</v>
      </c>
      <c r="C77" s="1259" t="s">
        <v>803</v>
      </c>
      <c r="D77" s="1260">
        <v>4</v>
      </c>
      <c r="E77" s="1259">
        <v>53.94</v>
      </c>
      <c r="F77" s="1261">
        <f t="shared" si="6"/>
        <v>215.76</v>
      </c>
      <c r="G77" s="1262">
        <f t="shared" si="7"/>
        <v>1.0833578761726868E-3</v>
      </c>
      <c r="H77" s="1263">
        <f t="shared" si="8"/>
        <v>282773.96907895978</v>
      </c>
      <c r="I77" s="1263">
        <f t="shared" si="9"/>
        <v>6882.0807428492963</v>
      </c>
      <c r="J77" s="1264">
        <f t="shared" si="10"/>
        <v>289656.04982180905</v>
      </c>
      <c r="K77" s="1258"/>
    </row>
    <row r="78" spans="1:11">
      <c r="A78" s="1258" t="s">
        <v>722</v>
      </c>
      <c r="B78" s="1259" t="s">
        <v>804</v>
      </c>
      <c r="C78" s="1259" t="s">
        <v>805</v>
      </c>
      <c r="D78" s="1260">
        <v>4</v>
      </c>
      <c r="E78" s="1259">
        <v>4.6500000000000004</v>
      </c>
      <c r="F78" s="1261">
        <f t="shared" si="6"/>
        <v>18.600000000000001</v>
      </c>
      <c r="G78" s="1262">
        <f t="shared" si="7"/>
        <v>9.3392920359714387E-5</v>
      </c>
      <c r="H78" s="1263">
        <f t="shared" si="8"/>
        <v>24377.066299910326</v>
      </c>
      <c r="I78" s="1263">
        <f t="shared" si="9"/>
        <v>593.28282265942221</v>
      </c>
      <c r="J78" s="1264">
        <f t="shared" si="10"/>
        <v>24970.349122569747</v>
      </c>
      <c r="K78" s="1258"/>
    </row>
    <row r="79" spans="1:11">
      <c r="A79" s="1258" t="s">
        <v>691</v>
      </c>
      <c r="B79" s="1259" t="s">
        <v>806</v>
      </c>
      <c r="C79" s="1259" t="s">
        <v>797</v>
      </c>
      <c r="D79" s="1260">
        <v>4</v>
      </c>
      <c r="E79" s="1259">
        <v>4.6500000000000004</v>
      </c>
      <c r="F79" s="1261">
        <f t="shared" si="6"/>
        <v>18.600000000000001</v>
      </c>
      <c r="G79" s="1262">
        <f t="shared" si="7"/>
        <v>9.3392920359714387E-5</v>
      </c>
      <c r="H79" s="1263">
        <f t="shared" si="8"/>
        <v>24377.066299910326</v>
      </c>
      <c r="I79" s="1263">
        <f t="shared" si="9"/>
        <v>593.28282265942221</v>
      </c>
      <c r="J79" s="1264">
        <f t="shared" si="10"/>
        <v>24970.349122569747</v>
      </c>
      <c r="K79" s="1258"/>
    </row>
    <row r="80" spans="1:11">
      <c r="A80" s="1258" t="s">
        <v>691</v>
      </c>
      <c r="B80" s="1259" t="s">
        <v>807</v>
      </c>
      <c r="C80" s="1266" t="s">
        <v>808</v>
      </c>
      <c r="D80" s="1267">
        <v>1</v>
      </c>
      <c r="E80" s="1266">
        <v>159.96</v>
      </c>
      <c r="F80" s="1261">
        <f t="shared" si="6"/>
        <v>159.96</v>
      </c>
      <c r="G80" s="1262">
        <f t="shared" si="7"/>
        <v>8.0317911509354375E-4</v>
      </c>
      <c r="H80" s="1263">
        <f t="shared" si="8"/>
        <v>209642.77017922883</v>
      </c>
      <c r="I80" s="1263">
        <f t="shared" si="9"/>
        <v>5102.2322748710312</v>
      </c>
      <c r="J80" s="1264">
        <f t="shared" si="10"/>
        <v>214745.00245409986</v>
      </c>
      <c r="K80" s="1258"/>
    </row>
    <row r="81" spans="1:11">
      <c r="A81" s="1258" t="s">
        <v>691</v>
      </c>
      <c r="B81" s="1259" t="s">
        <v>809</v>
      </c>
      <c r="C81" s="1266" t="s">
        <v>774</v>
      </c>
      <c r="D81" s="1267">
        <v>4</v>
      </c>
      <c r="E81" s="1266">
        <v>4.6500000000000004</v>
      </c>
      <c r="F81" s="1261">
        <f t="shared" si="6"/>
        <v>18.600000000000001</v>
      </c>
      <c r="G81" s="1262">
        <f t="shared" si="7"/>
        <v>9.3392920359714387E-5</v>
      </c>
      <c r="H81" s="1263">
        <f t="shared" si="8"/>
        <v>24377.066299910326</v>
      </c>
      <c r="I81" s="1263">
        <f t="shared" si="9"/>
        <v>593.28282265942221</v>
      </c>
      <c r="J81" s="1264">
        <f t="shared" si="10"/>
        <v>24970.349122569747</v>
      </c>
      <c r="K81" s="1258"/>
    </row>
    <row r="82" spans="1:11">
      <c r="A82" s="1258" t="s">
        <v>722</v>
      </c>
      <c r="B82" s="1259" t="s">
        <v>810</v>
      </c>
      <c r="C82" s="1266" t="s">
        <v>797</v>
      </c>
      <c r="D82" s="1267">
        <v>4</v>
      </c>
      <c r="E82" s="1266">
        <v>4.6500000000000004</v>
      </c>
      <c r="F82" s="1261">
        <f t="shared" si="6"/>
        <v>18.600000000000001</v>
      </c>
      <c r="G82" s="1262">
        <f t="shared" si="7"/>
        <v>9.3392920359714387E-5</v>
      </c>
      <c r="H82" s="1263">
        <f t="shared" si="8"/>
        <v>24377.066299910326</v>
      </c>
      <c r="I82" s="1263">
        <f t="shared" si="9"/>
        <v>593.28282265942221</v>
      </c>
      <c r="J82" s="1264">
        <f t="shared" si="10"/>
        <v>24970.349122569747</v>
      </c>
      <c r="K82" s="1258"/>
    </row>
    <row r="83" spans="1:11">
      <c r="A83" s="1258" t="s">
        <v>691</v>
      </c>
      <c r="B83" s="1259" t="s">
        <v>811</v>
      </c>
      <c r="C83" s="1266" t="s">
        <v>774</v>
      </c>
      <c r="D83" s="1267">
        <v>6</v>
      </c>
      <c r="E83" s="1266">
        <v>4.6500000000000004</v>
      </c>
      <c r="F83" s="1261">
        <f t="shared" si="6"/>
        <v>27.900000000000002</v>
      </c>
      <c r="G83" s="1262">
        <f t="shared" si="7"/>
        <v>1.4008938053957159E-4</v>
      </c>
      <c r="H83" s="1263">
        <f t="shared" si="8"/>
        <v>36565.599449865491</v>
      </c>
      <c r="I83" s="1263">
        <f t="shared" si="9"/>
        <v>889.92423398913343</v>
      </c>
      <c r="J83" s="1264">
        <f t="shared" si="10"/>
        <v>37455.523683854626</v>
      </c>
      <c r="K83" s="1258"/>
    </row>
    <row r="84" spans="1:11">
      <c r="A84" s="1258" t="s">
        <v>691</v>
      </c>
      <c r="B84" s="1259" t="s">
        <v>812</v>
      </c>
      <c r="C84" s="1266" t="s">
        <v>797</v>
      </c>
      <c r="D84" s="1267">
        <v>6</v>
      </c>
      <c r="E84" s="1266">
        <v>4.6500000000000004</v>
      </c>
      <c r="F84" s="1261">
        <f t="shared" si="6"/>
        <v>27.900000000000002</v>
      </c>
      <c r="G84" s="1262">
        <f t="shared" si="7"/>
        <v>1.4008938053957159E-4</v>
      </c>
      <c r="H84" s="1263">
        <f t="shared" si="8"/>
        <v>36565.599449865491</v>
      </c>
      <c r="I84" s="1263">
        <f t="shared" si="9"/>
        <v>889.92423398913343</v>
      </c>
      <c r="J84" s="1264">
        <f t="shared" si="10"/>
        <v>37455.523683854626</v>
      </c>
      <c r="K84" s="1258"/>
    </row>
    <row r="85" spans="1:11">
      <c r="A85" s="1258" t="s">
        <v>722</v>
      </c>
      <c r="B85" s="1259" t="s">
        <v>813</v>
      </c>
      <c r="C85" s="1259" t="s">
        <v>814</v>
      </c>
      <c r="D85" s="1260">
        <v>1</v>
      </c>
      <c r="E85" s="1259">
        <v>62.31</v>
      </c>
      <c r="F85" s="1261">
        <f t="shared" si="6"/>
        <v>62.31</v>
      </c>
      <c r="G85" s="1262">
        <f t="shared" si="7"/>
        <v>3.1286628320504321E-4</v>
      </c>
      <c r="H85" s="1263">
        <f t="shared" si="8"/>
        <v>81663.172104699595</v>
      </c>
      <c r="I85" s="1263">
        <f t="shared" si="9"/>
        <v>1987.4974559090645</v>
      </c>
      <c r="J85" s="1264">
        <f t="shared" si="10"/>
        <v>83650.669560608658</v>
      </c>
      <c r="K85" s="1258"/>
    </row>
    <row r="86" spans="1:11">
      <c r="A86" s="1258" t="s">
        <v>691</v>
      </c>
      <c r="B86" s="1259" t="s">
        <v>815</v>
      </c>
      <c r="C86" s="1259" t="s">
        <v>816</v>
      </c>
      <c r="D86" s="1260">
        <v>1</v>
      </c>
      <c r="E86" s="1259">
        <v>492.9</v>
      </c>
      <c r="F86" s="1261">
        <f t="shared" si="6"/>
        <v>492.9</v>
      </c>
      <c r="G86" s="1262">
        <f t="shared" si="7"/>
        <v>2.4749123895324312E-3</v>
      </c>
      <c r="H86" s="1263">
        <f t="shared" si="8"/>
        <v>645992.25694762368</v>
      </c>
      <c r="I86" s="1263">
        <f t="shared" si="9"/>
        <v>15721.994800474688</v>
      </c>
      <c r="J86" s="1264">
        <f t="shared" si="10"/>
        <v>661714.25174809841</v>
      </c>
      <c r="K86" s="1258"/>
    </row>
    <row r="87" spans="1:11">
      <c r="A87" s="1258" t="s">
        <v>691</v>
      </c>
      <c r="B87" s="1259" t="s">
        <v>817</v>
      </c>
      <c r="C87" s="1259" t="s">
        <v>818</v>
      </c>
      <c r="D87" s="1260">
        <v>2</v>
      </c>
      <c r="E87" s="1259">
        <v>10.23</v>
      </c>
      <c r="F87" s="1261">
        <f t="shared" si="6"/>
        <v>20.46</v>
      </c>
      <c r="G87" s="1262">
        <f t="shared" si="7"/>
        <v>1.0273221239568583E-4</v>
      </c>
      <c r="H87" s="1263">
        <f t="shared" si="8"/>
        <v>26814.772929901359</v>
      </c>
      <c r="I87" s="1263">
        <f t="shared" si="9"/>
        <v>652.61110492536443</v>
      </c>
      <c r="J87" s="1264">
        <f t="shared" si="10"/>
        <v>27467.384034826722</v>
      </c>
      <c r="K87" s="1258"/>
    </row>
    <row r="88" spans="1:11">
      <c r="A88" s="1258">
        <v>20093402</v>
      </c>
      <c r="B88" s="1259" t="s">
        <v>702</v>
      </c>
      <c r="C88" s="1268" t="s">
        <v>819</v>
      </c>
      <c r="D88" s="1260">
        <v>2</v>
      </c>
      <c r="E88" s="1259">
        <v>609.15</v>
      </c>
      <c r="F88" s="1261">
        <v>1218.3</v>
      </c>
      <c r="G88" s="1262">
        <f t="shared" si="7"/>
        <v>6.1172362835612915E-3</v>
      </c>
      <c r="H88" s="1263">
        <f t="shared" si="8"/>
        <v>1596697.8426441262</v>
      </c>
      <c r="I88" s="1263">
        <f t="shared" si="9"/>
        <v>38860.024884192149</v>
      </c>
      <c r="J88" s="1264">
        <f t="shared" si="10"/>
        <v>1635557.8675283182</v>
      </c>
      <c r="K88" s="1258"/>
    </row>
    <row r="89" spans="1:11">
      <c r="A89" s="1258">
        <v>20093402</v>
      </c>
      <c r="B89" s="1259" t="s">
        <v>704</v>
      </c>
      <c r="C89" s="1268" t="s">
        <v>820</v>
      </c>
      <c r="D89" s="1260">
        <v>2</v>
      </c>
      <c r="E89" s="1259">
        <v>100.44</v>
      </c>
      <c r="F89" s="1261">
        <v>200.88</v>
      </c>
      <c r="G89" s="1262">
        <f t="shared" si="7"/>
        <v>1.0086435398849152E-3</v>
      </c>
      <c r="H89" s="1263">
        <f t="shared" si="8"/>
        <v>263272.31603903149</v>
      </c>
      <c r="I89" s="1263">
        <f t="shared" si="9"/>
        <v>6407.4544847217585</v>
      </c>
      <c r="J89" s="1264">
        <f t="shared" si="10"/>
        <v>269679.77052375325</v>
      </c>
      <c r="K89" s="1258"/>
    </row>
    <row r="90" spans="1:11">
      <c r="A90" s="1258">
        <v>20093402</v>
      </c>
      <c r="B90" s="1259" t="s">
        <v>708</v>
      </c>
      <c r="C90" s="1268" t="s">
        <v>821</v>
      </c>
      <c r="D90" s="1260">
        <v>4</v>
      </c>
      <c r="E90" s="1259">
        <v>144.15</v>
      </c>
      <c r="F90" s="1261">
        <v>576.6</v>
      </c>
      <c r="G90" s="1262">
        <f t="shared" si="7"/>
        <v>2.8951805311511459E-3</v>
      </c>
      <c r="H90" s="1263">
        <f t="shared" si="8"/>
        <v>755689.05529722013</v>
      </c>
      <c r="I90" s="1263">
        <f t="shared" si="9"/>
        <v>18391.767502442086</v>
      </c>
      <c r="J90" s="1264">
        <f t="shared" si="10"/>
        <v>774080.82279966224</v>
      </c>
      <c r="K90" s="1258"/>
    </row>
    <row r="91" spans="1:11">
      <c r="A91" s="1258">
        <v>20093402</v>
      </c>
      <c r="B91" s="1259" t="s">
        <v>710</v>
      </c>
      <c r="C91" s="1268" t="s">
        <v>822</v>
      </c>
      <c r="D91" s="1260">
        <v>4</v>
      </c>
      <c r="E91" s="1259">
        <v>27.9</v>
      </c>
      <c r="F91" s="1261">
        <v>111.6</v>
      </c>
      <c r="G91" s="1262">
        <f t="shared" si="7"/>
        <v>5.6035752215828627E-4</v>
      </c>
      <c r="H91" s="1263">
        <f t="shared" si="8"/>
        <v>146262.39779946193</v>
      </c>
      <c r="I91" s="1263">
        <f t="shared" si="9"/>
        <v>3559.6969359565328</v>
      </c>
      <c r="J91" s="1264">
        <f t="shared" si="10"/>
        <v>149822.09473541848</v>
      </c>
      <c r="K91" s="1258"/>
    </row>
    <row r="92" spans="1:11">
      <c r="A92" s="1258">
        <v>20093402</v>
      </c>
      <c r="B92" s="1259" t="s">
        <v>711</v>
      </c>
      <c r="C92" s="1268" t="s">
        <v>823</v>
      </c>
      <c r="D92" s="1260">
        <v>1</v>
      </c>
      <c r="E92" s="1259">
        <v>9648.75</v>
      </c>
      <c r="F92" s="1261">
        <v>9648.75</v>
      </c>
      <c r="G92" s="1262">
        <f t="shared" si="7"/>
        <v>4.8447577436601837E-2</v>
      </c>
      <c r="H92" s="1263">
        <f t="shared" si="8"/>
        <v>12645603.143078482</v>
      </c>
      <c r="I92" s="1263">
        <f t="shared" si="9"/>
        <v>307765.46425457526</v>
      </c>
      <c r="J92" s="1264">
        <f t="shared" si="10"/>
        <v>12953368.607333057</v>
      </c>
      <c r="K92" s="1258"/>
    </row>
    <row r="93" spans="1:11">
      <c r="A93" s="1258">
        <v>20093402</v>
      </c>
      <c r="B93" s="1259" t="s">
        <v>713</v>
      </c>
      <c r="C93" s="1268" t="s">
        <v>824</v>
      </c>
      <c r="D93" s="1260">
        <v>104</v>
      </c>
      <c r="E93" s="1259">
        <v>2.33</v>
      </c>
      <c r="F93" s="1261">
        <v>241.8</v>
      </c>
      <c r="G93" s="1262">
        <f t="shared" si="7"/>
        <v>1.2141079646762871E-3</v>
      </c>
      <c r="H93" s="1263">
        <f t="shared" si="8"/>
        <v>316901.86189883424</v>
      </c>
      <c r="I93" s="1263">
        <f t="shared" si="9"/>
        <v>7712.6766945724885</v>
      </c>
      <c r="J93" s="1264">
        <f t="shared" si="10"/>
        <v>324614.53859340673</v>
      </c>
      <c r="K93" s="1258"/>
    </row>
    <row r="94" spans="1:11">
      <c r="A94" s="1258">
        <v>20093402</v>
      </c>
      <c r="B94" s="1259" t="s">
        <v>715</v>
      </c>
      <c r="C94" s="1268" t="s">
        <v>825</v>
      </c>
      <c r="D94" s="1260">
        <v>8</v>
      </c>
      <c r="E94" s="1259">
        <v>577.53</v>
      </c>
      <c r="F94" s="1261">
        <v>4620.24</v>
      </c>
      <c r="G94" s="1262">
        <f t="shared" si="7"/>
        <v>2.3198801417353049E-2</v>
      </c>
      <c r="H94" s="1263">
        <f t="shared" si="8"/>
        <v>6055263.2688977243</v>
      </c>
      <c r="I94" s="1263">
        <f t="shared" si="9"/>
        <v>147371.45314860044</v>
      </c>
      <c r="J94" s="1264">
        <f t="shared" si="10"/>
        <v>6202634.722046325</v>
      </c>
      <c r="K94" s="1258"/>
    </row>
    <row r="95" spans="1:11">
      <c r="A95" s="1258">
        <v>20093402</v>
      </c>
      <c r="B95" s="1259" t="s">
        <v>719</v>
      </c>
      <c r="C95" s="1268" t="s">
        <v>826</v>
      </c>
      <c r="D95" s="1260">
        <v>2</v>
      </c>
      <c r="E95" s="1259">
        <v>13.95</v>
      </c>
      <c r="F95" s="1261">
        <v>27.9</v>
      </c>
      <c r="G95" s="1262">
        <f t="shared" si="7"/>
        <v>1.4008938053957157E-4</v>
      </c>
      <c r="H95" s="1263">
        <f t="shared" si="8"/>
        <v>36565.599449865484</v>
      </c>
      <c r="I95" s="1263">
        <f t="shared" si="9"/>
        <v>889.9242339891332</v>
      </c>
      <c r="J95" s="1264">
        <f t="shared" si="10"/>
        <v>37455.523683854619</v>
      </c>
      <c r="K95" s="1258"/>
    </row>
    <row r="96" spans="1:11">
      <c r="A96" s="1258">
        <v>20093402</v>
      </c>
      <c r="B96" s="1259" t="s">
        <v>727</v>
      </c>
      <c r="C96" s="1268" t="s">
        <v>827</v>
      </c>
      <c r="D96" s="1260">
        <v>1</v>
      </c>
      <c r="E96" s="1259">
        <v>5425.62</v>
      </c>
      <c r="F96" s="1261">
        <v>5425.62</v>
      </c>
      <c r="G96" s="1262">
        <f t="shared" si="7"/>
        <v>2.7242714868928684E-2</v>
      </c>
      <c r="H96" s="1263">
        <f t="shared" si="8"/>
        <v>7110790.2396838414</v>
      </c>
      <c r="I96" s="1263">
        <f t="shared" si="9"/>
        <v>173060.59936975344</v>
      </c>
      <c r="J96" s="1264">
        <f t="shared" si="10"/>
        <v>7283850.8390535945</v>
      </c>
      <c r="K96" s="1258"/>
    </row>
    <row r="97" spans="1:11">
      <c r="A97" s="1258">
        <v>20093402</v>
      </c>
      <c r="B97" s="1259" t="s">
        <v>728</v>
      </c>
      <c r="C97" s="1268" t="s">
        <v>828</v>
      </c>
      <c r="D97" s="1260">
        <v>1</v>
      </c>
      <c r="E97" s="1259">
        <v>3925.53</v>
      </c>
      <c r="F97" s="1261">
        <v>3925.53</v>
      </c>
      <c r="G97" s="1262">
        <f t="shared" si="7"/>
        <v>1.9710575841917721E-2</v>
      </c>
      <c r="H97" s="1263">
        <f t="shared" si="8"/>
        <v>5144779.8425960746</v>
      </c>
      <c r="I97" s="1263">
        <f t="shared" si="9"/>
        <v>125212.33972227105</v>
      </c>
      <c r="J97" s="1264">
        <f t="shared" si="10"/>
        <v>5269992.1823183456</v>
      </c>
      <c r="K97" s="1258"/>
    </row>
    <row r="98" spans="1:11">
      <c r="A98" s="1258">
        <v>20093402</v>
      </c>
      <c r="B98" s="1259" t="s">
        <v>729</v>
      </c>
      <c r="C98" s="1268" t="s">
        <v>829</v>
      </c>
      <c r="D98" s="1260">
        <v>1</v>
      </c>
      <c r="E98" s="1259">
        <v>1370.82</v>
      </c>
      <c r="F98" s="1261">
        <v>1370.82</v>
      </c>
      <c r="G98" s="1262">
        <f t="shared" si="7"/>
        <v>6.8830582305109498E-3</v>
      </c>
      <c r="H98" s="1263">
        <f t="shared" si="8"/>
        <v>1796589.786303391</v>
      </c>
      <c r="I98" s="1263">
        <f t="shared" si="9"/>
        <v>43724.944029999409</v>
      </c>
      <c r="J98" s="1264">
        <f t="shared" si="10"/>
        <v>1840314.7303333904</v>
      </c>
      <c r="K98" s="1258"/>
    </row>
    <row r="99" spans="1:11">
      <c r="A99" s="1258">
        <v>20093402</v>
      </c>
      <c r="B99" s="1259" t="s">
        <v>731</v>
      </c>
      <c r="C99" s="1268" t="s">
        <v>830</v>
      </c>
      <c r="D99" s="1260">
        <v>1</v>
      </c>
      <c r="E99" s="1259">
        <v>15345</v>
      </c>
      <c r="F99" s="1261">
        <v>15345</v>
      </c>
      <c r="G99" s="1262">
        <f t="shared" si="7"/>
        <v>7.7049159296764369E-2</v>
      </c>
      <c r="H99" s="1263">
        <f t="shared" si="8"/>
        <v>20111079.697426021</v>
      </c>
      <c r="I99" s="1263">
        <f t="shared" si="9"/>
        <v>489458.32869402331</v>
      </c>
      <c r="J99" s="1264">
        <f t="shared" si="10"/>
        <v>20600538.026120044</v>
      </c>
      <c r="K99" s="1258"/>
    </row>
    <row r="100" spans="1:11">
      <c r="A100" s="1258">
        <v>20093402</v>
      </c>
      <c r="B100" s="1259" t="s">
        <v>733</v>
      </c>
      <c r="C100" s="1268" t="s">
        <v>831</v>
      </c>
      <c r="D100" s="1260">
        <v>16</v>
      </c>
      <c r="E100" s="1259">
        <v>20.46</v>
      </c>
      <c r="F100" s="1261">
        <v>327.36</v>
      </c>
      <c r="G100" s="1262">
        <f t="shared" si="7"/>
        <v>1.6437153983309733E-3</v>
      </c>
      <c r="H100" s="1263">
        <f t="shared" si="8"/>
        <v>429036.36687842174</v>
      </c>
      <c r="I100" s="1263">
        <f t="shared" si="9"/>
        <v>10441.777678805831</v>
      </c>
      <c r="J100" s="1264">
        <f t="shared" si="10"/>
        <v>439478.14455722756</v>
      </c>
      <c r="K100" s="1258"/>
    </row>
    <row r="101" spans="1:11">
      <c r="A101" s="1258">
        <v>20093402</v>
      </c>
      <c r="B101" s="1259" t="s">
        <v>734</v>
      </c>
      <c r="C101" s="1268" t="s">
        <v>832</v>
      </c>
      <c r="D101" s="1260">
        <v>4</v>
      </c>
      <c r="E101" s="1259">
        <v>2.33</v>
      </c>
      <c r="F101" s="1261">
        <v>9.3000000000000007</v>
      </c>
      <c r="G101" s="1262">
        <f t="shared" si="7"/>
        <v>4.6696460179857194E-5</v>
      </c>
      <c r="H101" s="1263">
        <f t="shared" si="8"/>
        <v>12188.533149955163</v>
      </c>
      <c r="I101" s="1263">
        <f t="shared" si="9"/>
        <v>296.6414113297111</v>
      </c>
      <c r="J101" s="1264">
        <f t="shared" si="10"/>
        <v>12485.174561284874</v>
      </c>
      <c r="K101" s="1258"/>
    </row>
    <row r="102" spans="1:11">
      <c r="A102" s="1258">
        <v>20093402</v>
      </c>
      <c r="B102" s="1259" t="s">
        <v>736</v>
      </c>
      <c r="C102" s="1268" t="s">
        <v>833</v>
      </c>
      <c r="D102" s="1260">
        <v>16</v>
      </c>
      <c r="E102" s="1259">
        <v>13.95</v>
      </c>
      <c r="F102" s="1261">
        <v>223.2</v>
      </c>
      <c r="G102" s="1262">
        <f t="shared" si="7"/>
        <v>1.1207150443165725E-3</v>
      </c>
      <c r="H102" s="1263">
        <f t="shared" si="8"/>
        <v>292524.79559892387</v>
      </c>
      <c r="I102" s="1263">
        <f t="shared" si="9"/>
        <v>7119.3938719130656</v>
      </c>
      <c r="J102" s="1264">
        <f t="shared" si="10"/>
        <v>299644.18947083695</v>
      </c>
      <c r="K102" s="1258"/>
    </row>
    <row r="103" spans="1:11">
      <c r="A103" s="1258">
        <v>20093402</v>
      </c>
      <c r="B103" s="1259" t="s">
        <v>737</v>
      </c>
      <c r="C103" s="1268" t="s">
        <v>834</v>
      </c>
      <c r="D103" s="1260">
        <v>16</v>
      </c>
      <c r="E103" s="1259">
        <v>2.79</v>
      </c>
      <c r="F103" s="1261">
        <v>44.64</v>
      </c>
      <c r="G103" s="1262">
        <f t="shared" si="7"/>
        <v>2.2414300886331451E-4</v>
      </c>
      <c r="H103" s="1263">
        <f t="shared" si="8"/>
        <v>58504.959119784777</v>
      </c>
      <c r="I103" s="1263">
        <f t="shared" si="9"/>
        <v>1423.8787743826131</v>
      </c>
      <c r="J103" s="1264">
        <f t="shared" si="10"/>
        <v>59928.837894167387</v>
      </c>
      <c r="K103" s="1258"/>
    </row>
    <row r="104" spans="1:11">
      <c r="A104" s="1258">
        <v>20093402</v>
      </c>
      <c r="B104" s="1259" t="s">
        <v>741</v>
      </c>
      <c r="C104" s="1268" t="s">
        <v>835</v>
      </c>
      <c r="D104" s="1260">
        <v>8</v>
      </c>
      <c r="E104" s="1259">
        <v>11.16</v>
      </c>
      <c r="F104" s="1261">
        <v>89.28</v>
      </c>
      <c r="G104" s="1262">
        <f t="shared" si="7"/>
        <v>4.4828601772662903E-4</v>
      </c>
      <c r="H104" s="1263">
        <f t="shared" si="8"/>
        <v>117009.91823956955</v>
      </c>
      <c r="I104" s="1263">
        <f t="shared" si="9"/>
        <v>2847.7575487652261</v>
      </c>
      <c r="J104" s="1264">
        <f t="shared" si="10"/>
        <v>119857.67578833477</v>
      </c>
      <c r="K104" s="1258"/>
    </row>
    <row r="105" spans="1:11">
      <c r="A105" s="1258">
        <v>20093402</v>
      </c>
      <c r="B105" s="1259" t="s">
        <v>742</v>
      </c>
      <c r="C105" s="1268" t="s">
        <v>836</v>
      </c>
      <c r="D105" s="1260">
        <v>4</v>
      </c>
      <c r="E105" s="1259">
        <v>25.11</v>
      </c>
      <c r="F105" s="1261">
        <v>100.44</v>
      </c>
      <c r="G105" s="1262">
        <f t="shared" si="7"/>
        <v>5.0432176994245762E-4</v>
      </c>
      <c r="H105" s="1263">
        <f t="shared" si="8"/>
        <v>131636.15801951574</v>
      </c>
      <c r="I105" s="1263">
        <f t="shared" si="9"/>
        <v>3203.7272423608792</v>
      </c>
      <c r="J105" s="1264">
        <f t="shared" si="10"/>
        <v>134839.88526187663</v>
      </c>
      <c r="K105" s="1258"/>
    </row>
    <row r="106" spans="1:11">
      <c r="A106" s="1258">
        <v>20093402</v>
      </c>
      <c r="B106" s="1259" t="s">
        <v>744</v>
      </c>
      <c r="C106" s="1268" t="s">
        <v>837</v>
      </c>
      <c r="D106" s="1260">
        <v>6</v>
      </c>
      <c r="E106" s="1259">
        <v>4.6500000000000004</v>
      </c>
      <c r="F106" s="1261">
        <v>27.900000000000002</v>
      </c>
      <c r="G106" s="1262">
        <f t="shared" si="7"/>
        <v>1.4008938053957159E-4</v>
      </c>
      <c r="H106" s="1263">
        <f t="shared" si="8"/>
        <v>36565.599449865491</v>
      </c>
      <c r="I106" s="1263">
        <f t="shared" si="9"/>
        <v>889.92423398913343</v>
      </c>
      <c r="J106" s="1264">
        <f t="shared" si="10"/>
        <v>37455.523683854626</v>
      </c>
      <c r="K106" s="1258"/>
    </row>
    <row r="107" spans="1:11">
      <c r="A107" s="1258">
        <v>20093402</v>
      </c>
      <c r="B107" s="1259" t="s">
        <v>745</v>
      </c>
      <c r="C107" s="1268" t="s">
        <v>831</v>
      </c>
      <c r="D107" s="1260">
        <v>4</v>
      </c>
      <c r="E107" s="1259">
        <v>2.33</v>
      </c>
      <c r="F107" s="1261">
        <v>9.3000000000000007</v>
      </c>
      <c r="G107" s="1262">
        <f t="shared" si="7"/>
        <v>4.6696460179857194E-5</v>
      </c>
      <c r="H107" s="1263">
        <f t="shared" si="8"/>
        <v>12188.533149955163</v>
      </c>
      <c r="I107" s="1263">
        <f t="shared" si="9"/>
        <v>296.6414113297111</v>
      </c>
      <c r="J107" s="1264">
        <f t="shared" si="10"/>
        <v>12485.174561284874</v>
      </c>
      <c r="K107" s="1258"/>
    </row>
    <row r="108" spans="1:11">
      <c r="A108" s="1258">
        <v>20093402</v>
      </c>
      <c r="B108" s="1259" t="s">
        <v>746</v>
      </c>
      <c r="C108" s="1268" t="s">
        <v>838</v>
      </c>
      <c r="D108" s="1260">
        <v>16</v>
      </c>
      <c r="E108" s="1259">
        <v>41.85</v>
      </c>
      <c r="F108" s="1261">
        <v>669.6</v>
      </c>
      <c r="G108" s="1262">
        <f t="shared" si="7"/>
        <v>3.3621451329497176E-3</v>
      </c>
      <c r="H108" s="1263">
        <f t="shared" si="8"/>
        <v>877574.38679677167</v>
      </c>
      <c r="I108" s="1263">
        <f t="shared" si="9"/>
        <v>21358.181615739199</v>
      </c>
      <c r="J108" s="1264">
        <f t="shared" si="10"/>
        <v>898932.56841251091</v>
      </c>
      <c r="K108" s="1258"/>
    </row>
    <row r="109" spans="1:11">
      <c r="A109" s="1258">
        <v>20093402</v>
      </c>
      <c r="B109" s="1259" t="s">
        <v>747</v>
      </c>
      <c r="C109" s="1268" t="s">
        <v>832</v>
      </c>
      <c r="D109" s="1260">
        <v>16</v>
      </c>
      <c r="E109" s="1259">
        <v>2.33</v>
      </c>
      <c r="F109" s="1261">
        <v>37.200000000000003</v>
      </c>
      <c r="G109" s="1262">
        <f t="shared" si="7"/>
        <v>1.8678584071942877E-4</v>
      </c>
      <c r="H109" s="1263">
        <f t="shared" si="8"/>
        <v>48754.132599820652</v>
      </c>
      <c r="I109" s="1263">
        <f t="shared" si="9"/>
        <v>1186.5656453188444</v>
      </c>
      <c r="J109" s="1264">
        <f t="shared" si="10"/>
        <v>49940.698245139494</v>
      </c>
      <c r="K109" s="1258"/>
    </row>
    <row r="110" spans="1:11">
      <c r="A110" s="1258">
        <v>20093402</v>
      </c>
      <c r="B110" s="1259" t="s">
        <v>748</v>
      </c>
      <c r="C110" s="1268" t="s">
        <v>832</v>
      </c>
      <c r="D110" s="1260">
        <v>4</v>
      </c>
      <c r="E110" s="1259">
        <v>2.33</v>
      </c>
      <c r="F110" s="1261">
        <v>9.3000000000000007</v>
      </c>
      <c r="G110" s="1262">
        <f t="shared" si="7"/>
        <v>4.6696460179857194E-5</v>
      </c>
      <c r="H110" s="1263">
        <f t="shared" si="8"/>
        <v>12188.533149955163</v>
      </c>
      <c r="I110" s="1263">
        <f t="shared" si="9"/>
        <v>296.6414113297111</v>
      </c>
      <c r="J110" s="1264">
        <f t="shared" si="10"/>
        <v>12485.174561284874</v>
      </c>
      <c r="K110" s="1258"/>
    </row>
    <row r="111" spans="1:11">
      <c r="A111" s="1258">
        <v>20093402</v>
      </c>
      <c r="B111" s="1259" t="s">
        <v>751</v>
      </c>
      <c r="C111" s="1268" t="s">
        <v>839</v>
      </c>
      <c r="D111" s="1260">
        <v>16</v>
      </c>
      <c r="E111" s="1259">
        <v>2.33</v>
      </c>
      <c r="F111" s="1261">
        <v>37.200000000000003</v>
      </c>
      <c r="G111" s="1262">
        <f t="shared" si="7"/>
        <v>1.8678584071942877E-4</v>
      </c>
      <c r="H111" s="1263">
        <f t="shared" si="8"/>
        <v>48754.132599820652</v>
      </c>
      <c r="I111" s="1263">
        <f t="shared" si="9"/>
        <v>1186.5656453188444</v>
      </c>
      <c r="J111" s="1264">
        <f t="shared" si="10"/>
        <v>49940.698245139494</v>
      </c>
      <c r="K111" s="1258"/>
    </row>
    <row r="112" spans="1:11">
      <c r="A112" s="1258">
        <v>20093402</v>
      </c>
      <c r="B112" s="1259" t="s">
        <v>753</v>
      </c>
      <c r="C112" s="1268" t="s">
        <v>833</v>
      </c>
      <c r="D112" s="1260">
        <v>16</v>
      </c>
      <c r="E112" s="1259">
        <v>19.53</v>
      </c>
      <c r="F112" s="1261">
        <v>312.48</v>
      </c>
      <c r="G112" s="1262">
        <f t="shared" si="7"/>
        <v>1.5690010620432017E-3</v>
      </c>
      <c r="H112" s="1263">
        <f t="shared" si="8"/>
        <v>409534.71383849351</v>
      </c>
      <c r="I112" s="1263">
        <f t="shared" si="9"/>
        <v>9967.1514206782922</v>
      </c>
      <c r="J112" s="1264">
        <f t="shared" si="10"/>
        <v>419501.86525917181</v>
      </c>
      <c r="K112" s="1258"/>
    </row>
    <row r="113" spans="1:11">
      <c r="A113" s="1258">
        <v>20093402</v>
      </c>
      <c r="B113" s="1259" t="s">
        <v>840</v>
      </c>
      <c r="C113" s="1268" t="s">
        <v>841</v>
      </c>
      <c r="D113" s="1260">
        <v>1</v>
      </c>
      <c r="E113" s="1259">
        <v>11671.5</v>
      </c>
      <c r="F113" s="1261">
        <v>11671.5</v>
      </c>
      <c r="G113" s="1262">
        <f t="shared" si="7"/>
        <v>5.8604057525720774E-2</v>
      </c>
      <c r="H113" s="1263">
        <f t="shared" si="8"/>
        <v>15296609.103193728</v>
      </c>
      <c r="I113" s="1263">
        <f t="shared" si="9"/>
        <v>372284.97121878742</v>
      </c>
      <c r="J113" s="1264">
        <f t="shared" si="10"/>
        <v>15668894.074412515</v>
      </c>
      <c r="K113" s="1258"/>
    </row>
    <row r="114" spans="1:11">
      <c r="A114" s="1258">
        <v>20093402</v>
      </c>
      <c r="B114" s="1259" t="s">
        <v>755</v>
      </c>
      <c r="C114" s="1268" t="s">
        <v>842</v>
      </c>
      <c r="D114" s="1260">
        <v>1</v>
      </c>
      <c r="E114" s="1259">
        <v>11020.5</v>
      </c>
      <c r="F114" s="1261">
        <v>11020.5</v>
      </c>
      <c r="G114" s="1262">
        <f t="shared" si="7"/>
        <v>5.5335305313130773E-2</v>
      </c>
      <c r="H114" s="1263">
        <f t="shared" si="8"/>
        <v>14443411.782696867</v>
      </c>
      <c r="I114" s="1263">
        <f t="shared" si="9"/>
        <v>351520.07242570765</v>
      </c>
      <c r="J114" s="1264">
        <f t="shared" si="10"/>
        <v>14794931.855122576</v>
      </c>
      <c r="K114" s="1258"/>
    </row>
    <row r="115" spans="1:11">
      <c r="A115" s="1258">
        <v>20093402</v>
      </c>
      <c r="B115" s="1259" t="s">
        <v>761</v>
      </c>
      <c r="C115" s="1268" t="s">
        <v>836</v>
      </c>
      <c r="D115" s="1260">
        <v>8</v>
      </c>
      <c r="E115" s="1259">
        <v>25.11</v>
      </c>
      <c r="F115" s="1261">
        <v>200.88</v>
      </c>
      <c r="G115" s="1262">
        <f t="shared" si="7"/>
        <v>1.0086435398849152E-3</v>
      </c>
      <c r="H115" s="1263">
        <f t="shared" si="8"/>
        <v>263272.31603903149</v>
      </c>
      <c r="I115" s="1263">
        <f t="shared" si="9"/>
        <v>6407.4544847217585</v>
      </c>
      <c r="J115" s="1264">
        <f t="shared" si="10"/>
        <v>269679.77052375325</v>
      </c>
      <c r="K115" s="1258"/>
    </row>
    <row r="116" spans="1:11">
      <c r="A116" s="1258">
        <v>20093402</v>
      </c>
      <c r="B116" s="1259" t="s">
        <v>763</v>
      </c>
      <c r="C116" s="1268" t="s">
        <v>837</v>
      </c>
      <c r="D116" s="1260">
        <v>6</v>
      </c>
      <c r="E116" s="1259">
        <v>4.6500000000000004</v>
      </c>
      <c r="F116" s="1261">
        <v>27.900000000000002</v>
      </c>
      <c r="G116" s="1262">
        <f t="shared" si="7"/>
        <v>1.4008938053957159E-4</v>
      </c>
      <c r="H116" s="1263">
        <f t="shared" si="8"/>
        <v>36565.599449865491</v>
      </c>
      <c r="I116" s="1263">
        <f t="shared" si="9"/>
        <v>889.92423398913343</v>
      </c>
      <c r="J116" s="1264">
        <f t="shared" si="10"/>
        <v>37455.523683854626</v>
      </c>
      <c r="K116" s="1258"/>
    </row>
    <row r="117" spans="1:11">
      <c r="A117" s="1258">
        <v>20093402</v>
      </c>
      <c r="B117" s="1259" t="s">
        <v>765</v>
      </c>
      <c r="C117" s="1268" t="s">
        <v>831</v>
      </c>
      <c r="D117" s="1260">
        <v>4</v>
      </c>
      <c r="E117" s="1259">
        <v>2.33</v>
      </c>
      <c r="F117" s="1261">
        <v>9.3000000000000007</v>
      </c>
      <c r="G117" s="1262">
        <f t="shared" si="7"/>
        <v>4.6696460179857194E-5</v>
      </c>
      <c r="H117" s="1263">
        <f t="shared" si="8"/>
        <v>12188.533149955163</v>
      </c>
      <c r="I117" s="1263">
        <f t="shared" si="9"/>
        <v>296.6414113297111</v>
      </c>
      <c r="J117" s="1264">
        <f t="shared" si="10"/>
        <v>12485.174561284874</v>
      </c>
      <c r="K117" s="1258"/>
    </row>
    <row r="118" spans="1:11">
      <c r="A118" s="1258">
        <v>20093402</v>
      </c>
      <c r="B118" s="1259" t="s">
        <v>766</v>
      </c>
      <c r="C118" s="1268" t="s">
        <v>838</v>
      </c>
      <c r="D118" s="1260">
        <v>8</v>
      </c>
      <c r="E118" s="1259">
        <v>41.85</v>
      </c>
      <c r="F118" s="1261">
        <v>334.8</v>
      </c>
      <c r="G118" s="1262">
        <f t="shared" si="7"/>
        <v>1.6810725664748588E-3</v>
      </c>
      <c r="H118" s="1263">
        <f t="shared" si="8"/>
        <v>438787.19339838583</v>
      </c>
      <c r="I118" s="1263">
        <f t="shared" si="9"/>
        <v>10679.090807869599</v>
      </c>
      <c r="J118" s="1264">
        <f t="shared" si="10"/>
        <v>449466.28420625546</v>
      </c>
      <c r="K118" s="1258"/>
    </row>
    <row r="119" spans="1:11">
      <c r="A119" s="1258">
        <v>20093402</v>
      </c>
      <c r="B119" s="1259" t="s">
        <v>768</v>
      </c>
      <c r="C119" s="1268" t="s">
        <v>832</v>
      </c>
      <c r="D119" s="1260">
        <v>4</v>
      </c>
      <c r="E119" s="1259">
        <v>2.33</v>
      </c>
      <c r="F119" s="1261">
        <v>9.3000000000000007</v>
      </c>
      <c r="G119" s="1262">
        <f t="shared" si="7"/>
        <v>4.6696460179857194E-5</v>
      </c>
      <c r="H119" s="1263">
        <f t="shared" si="8"/>
        <v>12188.533149955163</v>
      </c>
      <c r="I119" s="1263">
        <f t="shared" si="9"/>
        <v>296.6414113297111</v>
      </c>
      <c r="J119" s="1264">
        <f t="shared" si="10"/>
        <v>12485.174561284874</v>
      </c>
      <c r="K119" s="1258"/>
    </row>
    <row r="120" spans="1:11">
      <c r="A120" s="1258">
        <v>20093402</v>
      </c>
      <c r="B120" s="1259" t="s">
        <v>843</v>
      </c>
      <c r="C120" s="1268" t="s">
        <v>842</v>
      </c>
      <c r="D120" s="1260">
        <v>1</v>
      </c>
      <c r="E120" s="1259">
        <v>12782.85</v>
      </c>
      <c r="F120" s="1261">
        <v>12782.85</v>
      </c>
      <c r="G120" s="1262">
        <f t="shared" si="7"/>
        <v>6.4184284517213711E-2</v>
      </c>
      <c r="H120" s="1263">
        <f t="shared" si="8"/>
        <v>16753138.814613372</v>
      </c>
      <c r="I120" s="1263">
        <f t="shared" si="9"/>
        <v>407733.61987268791</v>
      </c>
      <c r="J120" s="1264">
        <f t="shared" si="10"/>
        <v>17160872.434486061</v>
      </c>
      <c r="K120" s="1258"/>
    </row>
    <row r="121" spans="1:11">
      <c r="A121" s="1258">
        <v>20093402</v>
      </c>
      <c r="B121" s="1259" t="s">
        <v>844</v>
      </c>
      <c r="C121" s="1268" t="s">
        <v>845</v>
      </c>
      <c r="D121" s="1260">
        <v>1</v>
      </c>
      <c r="E121" s="1259">
        <v>23017.5</v>
      </c>
      <c r="F121" s="1261">
        <v>23017.5</v>
      </c>
      <c r="G121" s="1262">
        <f t="shared" si="7"/>
        <v>0.11557373894514654</v>
      </c>
      <c r="H121" s="1263">
        <f t="shared" si="8"/>
        <v>30166619.546139024</v>
      </c>
      <c r="I121" s="1263">
        <f t="shared" si="9"/>
        <v>734187.4930410349</v>
      </c>
      <c r="J121" s="1264">
        <f t="shared" si="10"/>
        <v>30900807.039180059</v>
      </c>
      <c r="K121" s="1258"/>
    </row>
    <row r="122" spans="1:11">
      <c r="A122" s="1258">
        <v>20093402</v>
      </c>
      <c r="B122" s="1259" t="s">
        <v>846</v>
      </c>
      <c r="C122" s="1268" t="s">
        <v>847</v>
      </c>
      <c r="D122" s="1260">
        <v>1</v>
      </c>
      <c r="E122" s="1259">
        <v>205.53</v>
      </c>
      <c r="F122" s="1261">
        <v>205.53</v>
      </c>
      <c r="G122" s="1262">
        <f t="shared" si="7"/>
        <v>1.031991769974844E-3</v>
      </c>
      <c r="H122" s="1263">
        <f t="shared" si="8"/>
        <v>269366.58261400909</v>
      </c>
      <c r="I122" s="1263">
        <f t="shared" si="9"/>
        <v>6555.7751903866156</v>
      </c>
      <c r="J122" s="1264">
        <f t="shared" si="10"/>
        <v>275922.35780439572</v>
      </c>
      <c r="K122" s="1258"/>
    </row>
    <row r="123" spans="1:11">
      <c r="A123" s="1258">
        <v>20093402</v>
      </c>
      <c r="B123" s="1259" t="s">
        <v>848</v>
      </c>
      <c r="C123" s="1268" t="s">
        <v>847</v>
      </c>
      <c r="D123" s="1260">
        <v>1</v>
      </c>
      <c r="E123" s="1259">
        <v>175.77</v>
      </c>
      <c r="F123" s="1261">
        <v>175.77</v>
      </c>
      <c r="G123" s="1262">
        <f t="shared" si="7"/>
        <v>8.8256309739930092E-4</v>
      </c>
      <c r="H123" s="1263">
        <f t="shared" si="8"/>
        <v>230363.27653415257</v>
      </c>
      <c r="I123" s="1263">
        <f t="shared" si="9"/>
        <v>5606.5226741315391</v>
      </c>
      <c r="J123" s="1264">
        <f t="shared" si="10"/>
        <v>235969.79920828409</v>
      </c>
      <c r="K123" s="1258"/>
    </row>
    <row r="124" spans="1:11">
      <c r="A124" s="1258">
        <v>20093402</v>
      </c>
      <c r="B124" s="1259" t="s">
        <v>849</v>
      </c>
      <c r="C124" s="1268" t="s">
        <v>850</v>
      </c>
      <c r="D124" s="1260">
        <v>9</v>
      </c>
      <c r="E124" s="1259">
        <v>19.53</v>
      </c>
      <c r="F124" s="1261">
        <v>175.77</v>
      </c>
      <c r="G124" s="1262">
        <f t="shared" si="7"/>
        <v>8.8256309739930092E-4</v>
      </c>
      <c r="H124" s="1263">
        <f t="shared" si="8"/>
        <v>230363.27653415257</v>
      </c>
      <c r="I124" s="1263">
        <f t="shared" si="9"/>
        <v>5606.5226741315391</v>
      </c>
      <c r="J124" s="1264">
        <f t="shared" si="10"/>
        <v>235969.79920828409</v>
      </c>
      <c r="K124" s="1258"/>
    </row>
    <row r="125" spans="1:11">
      <c r="A125" s="1258">
        <v>20093402</v>
      </c>
      <c r="B125" s="1259" t="s">
        <v>851</v>
      </c>
      <c r="C125" s="1268" t="s">
        <v>850</v>
      </c>
      <c r="D125" s="1260">
        <v>1</v>
      </c>
      <c r="E125" s="1259">
        <v>20.46</v>
      </c>
      <c r="F125" s="1261">
        <v>20.46</v>
      </c>
      <c r="G125" s="1262">
        <f t="shared" si="7"/>
        <v>1.0273221239568583E-4</v>
      </c>
      <c r="H125" s="1263">
        <f t="shared" si="8"/>
        <v>26814.772929901359</v>
      </c>
      <c r="I125" s="1263">
        <f t="shared" si="9"/>
        <v>652.61110492536443</v>
      </c>
      <c r="J125" s="1264">
        <f t="shared" si="10"/>
        <v>27467.384034826722</v>
      </c>
      <c r="K125" s="1258"/>
    </row>
    <row r="126" spans="1:11">
      <c r="A126" s="1258">
        <v>20093402</v>
      </c>
      <c r="B126" s="1259" t="s">
        <v>773</v>
      </c>
      <c r="C126" s="1268" t="s">
        <v>852</v>
      </c>
      <c r="D126" s="1260">
        <v>32</v>
      </c>
      <c r="E126" s="1259">
        <v>60.45</v>
      </c>
      <c r="F126" s="1261">
        <v>1934.4</v>
      </c>
      <c r="G126" s="1262">
        <f t="shared" si="7"/>
        <v>9.7128637174102965E-3</v>
      </c>
      <c r="H126" s="1263">
        <f t="shared" si="8"/>
        <v>2535214.8951906739</v>
      </c>
      <c r="I126" s="1263">
        <f t="shared" si="9"/>
        <v>61701.413556579908</v>
      </c>
      <c r="J126" s="1264">
        <f t="shared" si="10"/>
        <v>2596916.3087472538</v>
      </c>
      <c r="K126" s="1258"/>
    </row>
    <row r="127" spans="1:11">
      <c r="A127" s="1258">
        <v>20093402</v>
      </c>
      <c r="B127" s="1259" t="s">
        <v>853</v>
      </c>
      <c r="C127" s="1268" t="s">
        <v>854</v>
      </c>
      <c r="D127" s="1260">
        <v>1</v>
      </c>
      <c r="E127" s="1259">
        <v>4519.8</v>
      </c>
      <c r="F127" s="1261">
        <v>4519.8</v>
      </c>
      <c r="G127" s="1262">
        <f t="shared" si="7"/>
        <v>2.2694479647410594E-2</v>
      </c>
      <c r="H127" s="1263">
        <f t="shared" si="8"/>
        <v>5923627.1108782087</v>
      </c>
      <c r="I127" s="1263">
        <f t="shared" si="9"/>
        <v>144167.72590623959</v>
      </c>
      <c r="J127" s="1264">
        <f t="shared" si="10"/>
        <v>6067794.8367844485</v>
      </c>
      <c r="K127" s="1258"/>
    </row>
    <row r="128" spans="1:11">
      <c r="A128" s="1258">
        <v>20093402</v>
      </c>
      <c r="B128" s="1259" t="s">
        <v>775</v>
      </c>
      <c r="C128" s="1268" t="s">
        <v>845</v>
      </c>
      <c r="D128" s="1260">
        <v>1</v>
      </c>
      <c r="E128" s="1259">
        <v>18195.45</v>
      </c>
      <c r="F128" s="1261">
        <v>18195.45</v>
      </c>
      <c r="G128" s="1262">
        <f t="shared" si="7"/>
        <v>9.1361624341890602E-2</v>
      </c>
      <c r="H128" s="1263">
        <f t="shared" si="8"/>
        <v>23846865.107887279</v>
      </c>
      <c r="I128" s="1263">
        <f t="shared" si="9"/>
        <v>580378.92126657977</v>
      </c>
      <c r="J128" s="1264">
        <f t="shared" si="10"/>
        <v>24427244.029153857</v>
      </c>
      <c r="K128" s="1258"/>
    </row>
    <row r="129" spans="1:11">
      <c r="A129" s="1258">
        <v>20093402</v>
      </c>
      <c r="B129" s="1259" t="s">
        <v>781</v>
      </c>
      <c r="C129" s="1268" t="s">
        <v>855</v>
      </c>
      <c r="D129" s="1260">
        <v>1</v>
      </c>
      <c r="E129" s="1259">
        <v>1376.4</v>
      </c>
      <c r="F129" s="1261">
        <v>1376.4</v>
      </c>
      <c r="G129" s="1262">
        <f t="shared" si="7"/>
        <v>6.9110761066188643E-3</v>
      </c>
      <c r="H129" s="1263">
        <f t="shared" si="8"/>
        <v>1803902.9061933642</v>
      </c>
      <c r="I129" s="1263">
        <f t="shared" si="9"/>
        <v>43902.928876797239</v>
      </c>
      <c r="J129" s="1264">
        <f t="shared" si="10"/>
        <v>1847805.8350701614</v>
      </c>
      <c r="K129" s="1258"/>
    </row>
    <row r="130" spans="1:11">
      <c r="A130" s="1258">
        <v>20093402</v>
      </c>
      <c r="B130" s="1259" t="s">
        <v>783</v>
      </c>
      <c r="C130" s="1268" t="s">
        <v>855</v>
      </c>
      <c r="D130" s="1260">
        <v>1</v>
      </c>
      <c r="E130" s="1259">
        <v>1471.26</v>
      </c>
      <c r="F130" s="1261">
        <v>1471.26</v>
      </c>
      <c r="G130" s="1262">
        <f t="shared" si="7"/>
        <v>7.3873800004534071E-3</v>
      </c>
      <c r="H130" s="1263">
        <f t="shared" si="8"/>
        <v>1928225.9443229067</v>
      </c>
      <c r="I130" s="1263">
        <f t="shared" si="9"/>
        <v>46928.67127236029</v>
      </c>
      <c r="J130" s="1264">
        <f t="shared" si="10"/>
        <v>1975154.6155952669</v>
      </c>
      <c r="K130" s="1258"/>
    </row>
    <row r="131" spans="1:11">
      <c r="A131" s="1258">
        <v>20093402</v>
      </c>
      <c r="B131" s="1259" t="s">
        <v>785</v>
      </c>
      <c r="C131" s="1268" t="s">
        <v>834</v>
      </c>
      <c r="D131" s="1260">
        <v>12</v>
      </c>
      <c r="E131" s="1259">
        <v>4.6500000000000004</v>
      </c>
      <c r="F131" s="1261">
        <v>55.800000000000004</v>
      </c>
      <c r="G131" s="1262">
        <f t="shared" si="7"/>
        <v>2.8017876107914319E-4</v>
      </c>
      <c r="H131" s="1263">
        <f t="shared" si="8"/>
        <v>73131.198899730982</v>
      </c>
      <c r="I131" s="1263">
        <f t="shared" si="9"/>
        <v>1779.8484679782669</v>
      </c>
      <c r="J131" s="1264">
        <f t="shared" si="10"/>
        <v>74911.047367709252</v>
      </c>
      <c r="K131" s="1258"/>
    </row>
    <row r="132" spans="1:11">
      <c r="A132" s="1258">
        <v>20093402</v>
      </c>
      <c r="B132" s="1259" t="s">
        <v>787</v>
      </c>
      <c r="C132" s="1268" t="s">
        <v>856</v>
      </c>
      <c r="D132" s="1260">
        <v>32</v>
      </c>
      <c r="E132" s="1259">
        <v>20.46</v>
      </c>
      <c r="F132" s="1261">
        <v>654.72</v>
      </c>
      <c r="G132" s="1262">
        <f t="shared" si="7"/>
        <v>3.2874307966619465E-3</v>
      </c>
      <c r="H132" s="1263">
        <f t="shared" si="8"/>
        <v>858072.73375684349</v>
      </c>
      <c r="I132" s="1263">
        <f t="shared" si="9"/>
        <v>20883.555357611662</v>
      </c>
      <c r="J132" s="1264">
        <f t="shared" si="10"/>
        <v>878956.28911445511</v>
      </c>
      <c r="K132" s="1258"/>
    </row>
    <row r="133" spans="1:11">
      <c r="A133" s="1258">
        <v>20093402</v>
      </c>
      <c r="B133" s="1259" t="s">
        <v>857</v>
      </c>
      <c r="C133" s="1268" t="s">
        <v>833</v>
      </c>
      <c r="D133" s="1260">
        <v>32</v>
      </c>
      <c r="E133" s="1259">
        <v>18.600000000000001</v>
      </c>
      <c r="F133" s="1261">
        <v>595.20000000000005</v>
      </c>
      <c r="G133" s="1262">
        <f t="shared" si="7"/>
        <v>2.9885734515108604E-3</v>
      </c>
      <c r="H133" s="1263">
        <f t="shared" si="8"/>
        <v>780066.12159713043</v>
      </c>
      <c r="I133" s="1263">
        <f t="shared" si="9"/>
        <v>18985.050325101511</v>
      </c>
      <c r="J133" s="1264">
        <f t="shared" si="10"/>
        <v>799051.17192223191</v>
      </c>
      <c r="K133" s="1258"/>
    </row>
    <row r="134" spans="1:11">
      <c r="A134" s="1258">
        <v>20105015</v>
      </c>
      <c r="B134" s="1268" t="s">
        <v>692</v>
      </c>
      <c r="C134" s="1259" t="s">
        <v>858</v>
      </c>
      <c r="D134" s="1260">
        <v>1</v>
      </c>
      <c r="E134" s="1259">
        <v>1972.53</v>
      </c>
      <c r="F134" s="1261">
        <f t="shared" ref="F134:F139" si="11">D134*E134</f>
        <v>1972.53</v>
      </c>
      <c r="G134" s="1262">
        <f t="shared" si="7"/>
        <v>9.9043192041477091E-3</v>
      </c>
      <c r="H134" s="1263">
        <f t="shared" si="8"/>
        <v>2585187.8811054896</v>
      </c>
      <c r="I134" s="1263">
        <f t="shared" si="9"/>
        <v>62917.643343031712</v>
      </c>
      <c r="J134" s="1264">
        <f t="shared" si="10"/>
        <v>2648105.5244485214</v>
      </c>
      <c r="K134" s="1258"/>
    </row>
    <row r="135" spans="1:11">
      <c r="A135" s="1258">
        <v>20105016</v>
      </c>
      <c r="B135" s="1268" t="s">
        <v>694</v>
      </c>
      <c r="C135" s="1259" t="s">
        <v>859</v>
      </c>
      <c r="D135" s="1260">
        <v>30</v>
      </c>
      <c r="E135" s="1259">
        <v>212.04</v>
      </c>
      <c r="F135" s="1261">
        <f t="shared" si="11"/>
        <v>6361.2</v>
      </c>
      <c r="G135" s="1262">
        <f>F135/$F$140</f>
        <v>3.1940378763022317E-2</v>
      </c>
      <c r="H135" s="1263">
        <f t="shared" si="8"/>
        <v>8336956.6745693311</v>
      </c>
      <c r="I135" s="1263">
        <f t="shared" si="9"/>
        <v>202902.72534952237</v>
      </c>
      <c r="J135" s="1264">
        <f t="shared" si="10"/>
        <v>8539859.3999188542</v>
      </c>
      <c r="K135" s="1258"/>
    </row>
    <row r="136" spans="1:11">
      <c r="A136" s="1258">
        <v>20105017</v>
      </c>
      <c r="B136" s="1268" t="s">
        <v>696</v>
      </c>
      <c r="C136" s="1259" t="s">
        <v>859</v>
      </c>
      <c r="D136" s="1260">
        <v>39</v>
      </c>
      <c r="E136" s="1259">
        <v>238.08</v>
      </c>
      <c r="F136" s="1261">
        <f t="shared" si="11"/>
        <v>9285.1200000000008</v>
      </c>
      <c r="G136" s="1262">
        <f>F136/$F$140</f>
        <v>4.6621745843569422E-2</v>
      </c>
      <c r="H136" s="1263">
        <f>G136*$N$9</f>
        <v>12169031.496915234</v>
      </c>
      <c r="I136" s="1263">
        <f>G136*$N$10</f>
        <v>296166.78507158358</v>
      </c>
      <c r="J136" s="1264">
        <f>H136+I136</f>
        <v>12465198.281986818</v>
      </c>
      <c r="K136" s="1258"/>
    </row>
    <row r="137" spans="1:11">
      <c r="A137" s="1258">
        <v>20105018</v>
      </c>
      <c r="B137" s="1268" t="s">
        <v>699</v>
      </c>
      <c r="C137" s="1259" t="s">
        <v>859</v>
      </c>
      <c r="D137" s="1260">
        <v>51</v>
      </c>
      <c r="E137" s="1259">
        <v>220.41</v>
      </c>
      <c r="F137" s="1261">
        <f t="shared" si="11"/>
        <v>11240.91</v>
      </c>
      <c r="G137" s="1262">
        <f>F137/$F$140</f>
        <v>5.6442011419393388E-2</v>
      </c>
      <c r="H137" s="1263">
        <f>G137*$N$9</f>
        <v>14732280.018350806</v>
      </c>
      <c r="I137" s="1263">
        <f>G137*$N$10</f>
        <v>358550.47387422179</v>
      </c>
      <c r="J137" s="1264">
        <f>H137+I137</f>
        <v>15090830.492225029</v>
      </c>
      <c r="K137" s="1258"/>
    </row>
    <row r="138" spans="1:11">
      <c r="A138" s="1258">
        <v>20105019</v>
      </c>
      <c r="B138" s="1268" t="s">
        <v>702</v>
      </c>
      <c r="C138" s="1259" t="s">
        <v>860</v>
      </c>
      <c r="D138" s="1260">
        <v>3</v>
      </c>
      <c r="E138" s="1259">
        <v>279.93</v>
      </c>
      <c r="F138" s="1261">
        <f t="shared" si="11"/>
        <v>839.79</v>
      </c>
      <c r="G138" s="1262">
        <f>F138/$F$140</f>
        <v>4.2166903542411038E-3</v>
      </c>
      <c r="H138" s="1263">
        <f>G138*$N$9</f>
        <v>1100624.543440951</v>
      </c>
      <c r="I138" s="1263">
        <f>G138*$N$10</f>
        <v>26786.719443072907</v>
      </c>
      <c r="J138" s="1264">
        <f>H138+I138</f>
        <v>1127411.2628840238</v>
      </c>
      <c r="K138" s="1258"/>
    </row>
    <row r="139" spans="1:11">
      <c r="A139" s="1258">
        <v>20105020</v>
      </c>
      <c r="B139" s="1268" t="s">
        <v>704</v>
      </c>
      <c r="C139" s="1259" t="s">
        <v>861</v>
      </c>
      <c r="D139" s="1260">
        <v>9</v>
      </c>
      <c r="E139" s="1259">
        <v>236.22</v>
      </c>
      <c r="F139" s="1261">
        <f t="shared" si="11"/>
        <v>2125.98</v>
      </c>
      <c r="G139" s="1262">
        <f>F139/$F$140</f>
        <v>1.0674810797115354E-2</v>
      </c>
      <c r="H139" s="1263">
        <f>G139*$N$9</f>
        <v>2786298.6780797504</v>
      </c>
      <c r="I139" s="1263">
        <f>G139*$N$10</f>
        <v>67812.226629971963</v>
      </c>
      <c r="J139" s="1264">
        <f>H139+I139</f>
        <v>2854110.9047097224</v>
      </c>
      <c r="K139" s="1258"/>
    </row>
    <row r="140" spans="1:11" ht="18.75">
      <c r="A140" s="2066" t="s">
        <v>862</v>
      </c>
      <c r="B140" s="2066"/>
      <c r="C140" s="2066"/>
      <c r="D140" s="2066"/>
      <c r="E140" s="2066"/>
      <c r="F140" s="1261">
        <f>SUM(F7:F139)</f>
        <v>199158.565</v>
      </c>
      <c r="G140" s="1262">
        <f>SUM(G7:G139)</f>
        <v>0.99999999999999989</v>
      </c>
      <c r="H140" s="1263">
        <f>SUM(H7:H139)</f>
        <v>261016211.99999991</v>
      </c>
      <c r="I140" s="1263">
        <f>SUM(I7:I139)</f>
        <v>6352545.9999999991</v>
      </c>
      <c r="J140" s="1269">
        <f>SUM(J7:J139)</f>
        <v>267368758.00000006</v>
      </c>
      <c r="K140" s="1258"/>
    </row>
  </sheetData>
  <mergeCells count="3">
    <mergeCell ref="A3:K3"/>
    <mergeCell ref="A4:K4"/>
    <mergeCell ref="A140:E140"/>
  </mergeCells>
  <phoneticPr fontId="2" type="noConversion"/>
  <pageMargins left="0.7" right="0.7" top="0.75" bottom="0.75" header="0.3" footer="0.3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ColWidth="12.625" defaultRowHeight="20.100000000000001" customHeight="1"/>
  <cols>
    <col min="1" max="1" width="24" style="4" customWidth="1"/>
    <col min="2" max="2" width="32.75" style="80" customWidth="1"/>
    <col min="3" max="3" width="18.75" style="80" customWidth="1"/>
    <col min="4" max="4" width="18.75" style="4" customWidth="1"/>
    <col min="5" max="5" width="22.5" style="4" customWidth="1"/>
    <col min="6" max="6" width="12.625" style="4"/>
    <col min="7" max="8" width="0" style="4" hidden="1" customWidth="1"/>
    <col min="9" max="16384" width="12.625" style="4"/>
  </cols>
  <sheetData>
    <row r="1" spans="1:8" ht="20.100000000000001" customHeight="1">
      <c r="A1" s="3" t="s">
        <v>1014</v>
      </c>
    </row>
    <row r="2" spans="1:8" ht="9.75" customHeight="1">
      <c r="B2" s="7"/>
      <c r="C2" s="7"/>
      <c r="D2" s="8"/>
    </row>
    <row r="3" spans="1:8" ht="20.100000000000001" customHeight="1">
      <c r="A3" s="1">
        <f>매출채권!A3</f>
        <v>45504</v>
      </c>
      <c r="B3" s="10"/>
      <c r="C3" s="10"/>
      <c r="D3" s="11"/>
      <c r="E3" s="12" t="s">
        <v>0</v>
      </c>
    </row>
    <row r="4" spans="1:8" ht="20.100000000000001" customHeight="1">
      <c r="A4" s="13" t="s">
        <v>1</v>
      </c>
      <c r="B4" s="13" t="s">
        <v>2</v>
      </c>
      <c r="C4" s="13" t="s">
        <v>56</v>
      </c>
      <c r="D4" s="14" t="s">
        <v>3</v>
      </c>
      <c r="E4" s="15" t="s">
        <v>4</v>
      </c>
      <c r="G4" s="11" t="s">
        <v>1023</v>
      </c>
    </row>
    <row r="5" spans="1:8" ht="21.95" customHeight="1">
      <c r="A5" s="18"/>
      <c r="B5" s="571"/>
      <c r="C5" s="1490"/>
      <c r="D5" s="146"/>
      <c r="E5" s="20"/>
      <c r="G5" s="1600" t="s">
        <v>1015</v>
      </c>
      <c r="H5" s="1601">
        <v>985</v>
      </c>
    </row>
    <row r="6" spans="1:8" ht="21.95" customHeight="1">
      <c r="A6" s="170"/>
      <c r="B6" s="571"/>
      <c r="C6" s="1490"/>
      <c r="D6" s="146"/>
      <c r="E6" s="1174"/>
      <c r="G6" s="1600" t="s">
        <v>1016</v>
      </c>
      <c r="H6" s="1601">
        <v>1258</v>
      </c>
    </row>
    <row r="7" spans="1:8" ht="21.95" customHeight="1">
      <c r="A7" s="18"/>
      <c r="B7" s="571"/>
      <c r="C7" s="1490"/>
      <c r="D7" s="146"/>
      <c r="E7" s="20"/>
      <c r="G7" s="1600" t="s">
        <v>1017</v>
      </c>
      <c r="H7" s="1601">
        <v>886</v>
      </c>
    </row>
    <row r="8" spans="1:8" ht="21.95" customHeight="1">
      <c r="A8" s="18"/>
      <c r="B8" s="571"/>
      <c r="C8" s="1490"/>
      <c r="D8" s="146"/>
      <c r="E8" s="21"/>
      <c r="G8" s="1600" t="s">
        <v>1018</v>
      </c>
      <c r="H8" s="1601">
        <v>1307</v>
      </c>
    </row>
    <row r="9" spans="1:8" ht="21.95" customHeight="1">
      <c r="A9" s="18"/>
      <c r="B9" s="571"/>
      <c r="C9" s="1490"/>
      <c r="D9" s="19"/>
      <c r="E9" s="20"/>
      <c r="G9" s="1600" t="s">
        <v>1019</v>
      </c>
      <c r="H9" s="1601">
        <v>1364</v>
      </c>
    </row>
    <row r="10" spans="1:8" ht="21.95" customHeight="1">
      <c r="A10" s="18"/>
      <c r="B10" s="571"/>
      <c r="C10" s="1490"/>
      <c r="D10" s="146"/>
      <c r="E10" s="20"/>
      <c r="G10" s="1600" t="s">
        <v>1020</v>
      </c>
      <c r="H10" s="1601">
        <v>986</v>
      </c>
    </row>
    <row r="11" spans="1:8" ht="21.95" customHeight="1">
      <c r="A11" s="18"/>
      <c r="B11" s="571"/>
      <c r="C11" s="1490"/>
      <c r="D11" s="19"/>
      <c r="E11" s="20"/>
      <c r="G11" s="1600" t="s">
        <v>1021</v>
      </c>
      <c r="H11" s="1601">
        <v>1013</v>
      </c>
    </row>
    <row r="12" spans="1:8" ht="21.95" customHeight="1">
      <c r="A12" s="77"/>
      <c r="B12" s="571"/>
      <c r="C12" s="1490"/>
      <c r="D12" s="84"/>
      <c r="E12" s="129"/>
      <c r="G12" s="1600" t="s">
        <v>1022</v>
      </c>
      <c r="H12" s="1601"/>
    </row>
    <row r="13" spans="1:8" ht="21.95" customHeight="1">
      <c r="A13" s="16"/>
      <c r="B13" s="571"/>
      <c r="C13" s="1490"/>
      <c r="D13" s="19"/>
      <c r="E13" s="22"/>
      <c r="G13" s="1600" t="s">
        <v>1050</v>
      </c>
      <c r="H13" s="1601"/>
    </row>
    <row r="14" spans="1:8" ht="21.95" customHeight="1">
      <c r="A14" s="16"/>
      <c r="B14" s="571"/>
      <c r="C14" s="1490"/>
      <c r="D14" s="19"/>
      <c r="E14" s="20"/>
      <c r="G14" s="1602" t="s">
        <v>40</v>
      </c>
      <c r="H14" s="1602">
        <f>SUM(H5:H13)</f>
        <v>7799</v>
      </c>
    </row>
    <row r="15" spans="1:8" ht="21.95" customHeight="1">
      <c r="A15" s="16"/>
      <c r="B15" s="571"/>
      <c r="C15" s="1490"/>
      <c r="D15" s="19"/>
      <c r="E15" s="20"/>
    </row>
    <row r="16" spans="1:8" ht="21.95" customHeight="1">
      <c r="A16" s="16"/>
      <c r="B16" s="571"/>
      <c r="C16" s="1490"/>
      <c r="D16" s="19"/>
      <c r="E16" s="146"/>
    </row>
    <row r="17" spans="1:5" ht="20.100000000000001" customHeight="1">
      <c r="A17" s="13" t="s">
        <v>5</v>
      </c>
      <c r="B17" s="13"/>
      <c r="C17" s="13"/>
      <c r="D17" s="25">
        <f>SUM(D5:D16)</f>
        <v>0</v>
      </c>
      <c r="E17" s="26"/>
    </row>
    <row r="18" spans="1:5" ht="20.100000000000001" customHeight="1">
      <c r="A18" s="2" t="str">
        <f>저장품!A74</f>
        <v>김천에너지서비스㈜</v>
      </c>
    </row>
  </sheetData>
  <phoneticPr fontId="2" type="noConversion"/>
  <printOptions horizontalCentered="1"/>
  <pageMargins left="0.47244094488188981" right="0.47244094488188981" top="0.59055118110236227" bottom="0.59055118110236227" header="0.39370078740157483" footer="0.39370078740157483"/>
  <pageSetup paperSize="9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workbookViewId="0"/>
  </sheetViews>
  <sheetFormatPr defaultColWidth="12.625" defaultRowHeight="20.100000000000001" customHeight="1"/>
  <cols>
    <col min="1" max="1" width="24" style="4" customWidth="1"/>
    <col min="2" max="2" width="27.625" style="80" customWidth="1"/>
    <col min="3" max="3" width="18.75" style="80" customWidth="1"/>
    <col min="4" max="4" width="18.75" style="4" customWidth="1"/>
    <col min="5" max="5" width="33.375" style="4" customWidth="1"/>
    <col min="6" max="16384" width="12.625" style="4"/>
  </cols>
  <sheetData>
    <row r="1" spans="1:5" ht="20.100000000000001" customHeight="1">
      <c r="A1" s="3" t="s">
        <v>105</v>
      </c>
    </row>
    <row r="2" spans="1:5" ht="9.75" customHeight="1">
      <c r="B2" s="7"/>
      <c r="C2" s="7"/>
      <c r="D2" s="8"/>
    </row>
    <row r="3" spans="1:5" ht="20.100000000000001" customHeight="1">
      <c r="A3" s="1">
        <f>재무상태표!A3</f>
        <v>45504</v>
      </c>
      <c r="B3" s="10"/>
      <c r="C3" s="10"/>
      <c r="D3" s="11"/>
      <c r="E3" s="12" t="s">
        <v>0</v>
      </c>
    </row>
    <row r="4" spans="1:5" ht="20.100000000000001" customHeight="1">
      <c r="A4" s="13" t="s">
        <v>1</v>
      </c>
      <c r="B4" s="13" t="s">
        <v>2</v>
      </c>
      <c r="C4" s="13" t="s">
        <v>56</v>
      </c>
      <c r="D4" s="14" t="s">
        <v>3</v>
      </c>
      <c r="E4" s="15" t="s">
        <v>4</v>
      </c>
    </row>
    <row r="5" spans="1:5" ht="21.95" customHeight="1">
      <c r="A5" s="18" t="s">
        <v>101</v>
      </c>
      <c r="B5" s="2070" t="s">
        <v>1313</v>
      </c>
      <c r="C5" s="2073">
        <v>45504</v>
      </c>
      <c r="D5" s="19">
        <v>743299955</v>
      </c>
      <c r="E5" s="20"/>
    </row>
    <row r="6" spans="1:5" ht="21.95" customHeight="1">
      <c r="A6" s="18" t="s">
        <v>102</v>
      </c>
      <c r="B6" s="2071"/>
      <c r="C6" s="2074"/>
      <c r="D6" s="19">
        <v>571173979</v>
      </c>
      <c r="E6" s="20"/>
    </row>
    <row r="7" spans="1:5" ht="21.95" customHeight="1">
      <c r="A7" s="170" t="s">
        <v>1237</v>
      </c>
      <c r="B7" s="2071"/>
      <c r="C7" s="2074"/>
      <c r="D7" s="19">
        <v>3369192787</v>
      </c>
      <c r="E7" s="171"/>
    </row>
    <row r="8" spans="1:5" ht="21.95" customHeight="1">
      <c r="A8" s="170" t="s">
        <v>1024</v>
      </c>
      <c r="B8" s="2071"/>
      <c r="C8" s="2074"/>
      <c r="D8" s="19">
        <v>197830241</v>
      </c>
      <c r="E8" s="171"/>
    </row>
    <row r="9" spans="1:5" ht="21.95" customHeight="1">
      <c r="A9" s="1603" t="s">
        <v>103</v>
      </c>
      <c r="B9" s="2071"/>
      <c r="C9" s="2074"/>
      <c r="D9" s="19">
        <v>841803347</v>
      </c>
      <c r="E9" s="1604"/>
    </row>
    <row r="10" spans="1:5" ht="21.95" customHeight="1">
      <c r="A10" s="1603" t="s">
        <v>1025</v>
      </c>
      <c r="B10" s="2071"/>
      <c r="C10" s="2074"/>
      <c r="D10" s="19">
        <v>76464427</v>
      </c>
      <c r="E10" s="1604"/>
    </row>
    <row r="11" spans="1:5" ht="21.95" customHeight="1">
      <c r="A11" s="1603" t="s">
        <v>1111</v>
      </c>
      <c r="B11" s="2071"/>
      <c r="C11" s="2074"/>
      <c r="D11" s="19">
        <v>128521841</v>
      </c>
      <c r="E11" s="1604"/>
    </row>
    <row r="12" spans="1:5" ht="21.95" customHeight="1">
      <c r="A12" s="1603" t="s">
        <v>1026</v>
      </c>
      <c r="B12" s="2071"/>
      <c r="C12" s="2074"/>
      <c r="D12" s="19">
        <v>1125942544</v>
      </c>
      <c r="E12" s="1604" t="str">
        <f>E14</f>
        <v>VAT 제외(세금계산서 발행 : 2024.08.01)</v>
      </c>
    </row>
    <row r="13" spans="1:5" ht="21.95" customHeight="1">
      <c r="A13" s="1603" t="s">
        <v>119</v>
      </c>
      <c r="B13" s="2071"/>
      <c r="C13" s="2074"/>
      <c r="D13" s="19">
        <v>36324305</v>
      </c>
      <c r="E13" s="1604"/>
    </row>
    <row r="14" spans="1:5" ht="21.95" customHeight="1">
      <c r="A14" s="170" t="s">
        <v>1027</v>
      </c>
      <c r="B14" s="2071"/>
      <c r="C14" s="2074"/>
      <c r="D14" s="19">
        <v>14218013</v>
      </c>
      <c r="E14" s="171" t="s">
        <v>1317</v>
      </c>
    </row>
    <row r="15" spans="1:5" ht="21.95" customHeight="1">
      <c r="A15" s="170" t="s">
        <v>1028</v>
      </c>
      <c r="B15" s="2071"/>
      <c r="C15" s="2074"/>
      <c r="D15" s="19">
        <v>25883324</v>
      </c>
      <c r="E15" s="171"/>
    </row>
    <row r="16" spans="1:5" ht="21.95" customHeight="1">
      <c r="A16" s="170" t="s">
        <v>1029</v>
      </c>
      <c r="B16" s="2071"/>
      <c r="C16" s="2074"/>
      <c r="D16" s="19">
        <v>15600391</v>
      </c>
      <c r="E16" s="171"/>
    </row>
    <row r="17" spans="1:5" ht="21.95" customHeight="1">
      <c r="A17" s="18" t="s">
        <v>1030</v>
      </c>
      <c r="B17" s="2071"/>
      <c r="C17" s="2074"/>
      <c r="D17" s="19">
        <v>20528526</v>
      </c>
      <c r="E17" s="20"/>
    </row>
    <row r="18" spans="1:5" ht="21.95" customHeight="1">
      <c r="A18" s="1345" t="s">
        <v>1123</v>
      </c>
      <c r="B18" s="2072"/>
      <c r="C18" s="2075"/>
      <c r="D18" s="1346">
        <v>20571314</v>
      </c>
      <c r="E18" s="1766"/>
    </row>
    <row r="19" spans="1:5" ht="21.95" customHeight="1">
      <c r="A19" s="1345" t="s">
        <v>1097</v>
      </c>
      <c r="B19" s="1345" t="s">
        <v>1314</v>
      </c>
      <c r="C19" s="1765">
        <v>45474</v>
      </c>
      <c r="D19" s="19">
        <v>1368712028</v>
      </c>
      <c r="E19" s="1766"/>
    </row>
    <row r="20" spans="1:5" ht="21.95" customHeight="1">
      <c r="A20" s="77"/>
      <c r="B20" s="77"/>
      <c r="C20" s="1605"/>
      <c r="D20" s="19"/>
      <c r="E20" s="129"/>
    </row>
    <row r="21" spans="1:5" ht="21.95" customHeight="1">
      <c r="A21" s="2067" t="s">
        <v>1031</v>
      </c>
      <c r="B21" s="18"/>
      <c r="C21" s="335"/>
      <c r="D21" s="19"/>
      <c r="E21" s="22"/>
    </row>
    <row r="22" spans="1:5" ht="21.95" customHeight="1">
      <c r="A22" s="2068"/>
      <c r="B22" s="18" t="s">
        <v>1315</v>
      </c>
      <c r="C22" s="335">
        <v>45504</v>
      </c>
      <c r="D22" s="19">
        <v>3870247784</v>
      </c>
      <c r="E22" s="20"/>
    </row>
    <row r="23" spans="1:5" ht="21.95" customHeight="1">
      <c r="A23" s="2068"/>
      <c r="B23" s="18" t="s">
        <v>1316</v>
      </c>
      <c r="C23" s="335">
        <v>45504</v>
      </c>
      <c r="D23" s="19">
        <v>8635213</v>
      </c>
      <c r="E23" s="20"/>
    </row>
    <row r="24" spans="1:5" ht="21.95" customHeight="1">
      <c r="A24" s="2069"/>
      <c r="B24" s="18"/>
      <c r="C24" s="335"/>
      <c r="D24" s="19"/>
      <c r="E24" s="86"/>
    </row>
    <row r="25" spans="1:5" ht="20.100000000000001" customHeight="1">
      <c r="A25" s="13" t="s">
        <v>5</v>
      </c>
      <c r="B25" s="13"/>
      <c r="C25" s="13"/>
      <c r="D25" s="25">
        <f>SUM(D5:D24)</f>
        <v>12434950019</v>
      </c>
      <c r="E25" s="26"/>
    </row>
    <row r="26" spans="1:5" ht="20.100000000000001" customHeight="1">
      <c r="A26" s="2" t="str">
        <f>기타재고!A18</f>
        <v>김천에너지서비스㈜</v>
      </c>
    </row>
  </sheetData>
  <mergeCells count="3">
    <mergeCell ref="A21:A24"/>
    <mergeCell ref="B5:B18"/>
    <mergeCell ref="C5:C18"/>
  </mergeCells>
  <phoneticPr fontId="2" type="noConversion"/>
  <printOptions horizontalCentered="1"/>
  <pageMargins left="0.47244094488188981" right="0.47244094488188981" top="0.59055118110236227" bottom="0.59055118110236227" header="0.39370078740157483" footer="0.39370078740157483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/>
  </sheetViews>
  <sheetFormatPr defaultColWidth="12.625" defaultRowHeight="20.100000000000001" customHeight="1"/>
  <cols>
    <col min="1" max="1" width="24" style="4" customWidth="1"/>
    <col min="2" max="2" width="32.75" style="80" customWidth="1"/>
    <col min="3" max="3" width="18.75" style="80" customWidth="1"/>
    <col min="4" max="4" width="18.75" style="4" customWidth="1"/>
    <col min="5" max="5" width="22.5" style="4" customWidth="1"/>
    <col min="6" max="16384" width="12.625" style="4"/>
  </cols>
  <sheetData>
    <row r="1" spans="1:5" ht="20.100000000000001" customHeight="1">
      <c r="A1" s="3" t="s">
        <v>1078</v>
      </c>
    </row>
    <row r="2" spans="1:5" ht="9.75" customHeight="1">
      <c r="B2" s="7"/>
      <c r="C2" s="7"/>
      <c r="D2" s="8"/>
    </row>
    <row r="3" spans="1:5" ht="20.100000000000001" customHeight="1">
      <c r="A3" s="1">
        <f>매출채권!A3</f>
        <v>45504</v>
      </c>
      <c r="B3" s="10"/>
      <c r="C3" s="10"/>
      <c r="D3" s="11"/>
      <c r="E3" s="12" t="s">
        <v>0</v>
      </c>
    </row>
    <row r="4" spans="1:5" ht="20.100000000000001" customHeight="1">
      <c r="A4" s="13" t="s">
        <v>1</v>
      </c>
      <c r="B4" s="13" t="s">
        <v>2</v>
      </c>
      <c r="C4" s="13" t="s">
        <v>56</v>
      </c>
      <c r="D4" s="14" t="s">
        <v>3</v>
      </c>
      <c r="E4" s="15" t="s">
        <v>4</v>
      </c>
    </row>
    <row r="5" spans="1:5" ht="21.95" customHeight="1">
      <c r="A5" s="18" t="s">
        <v>566</v>
      </c>
      <c r="B5" s="571" t="s">
        <v>1320</v>
      </c>
      <c r="C5" s="335">
        <v>45504</v>
      </c>
      <c r="D5" s="19">
        <v>1047420</v>
      </c>
      <c r="E5" s="20"/>
    </row>
    <row r="6" spans="1:5" ht="21.95" customHeight="1">
      <c r="A6" s="18" t="s">
        <v>1286</v>
      </c>
      <c r="B6" s="571" t="s">
        <v>1320</v>
      </c>
      <c r="C6" s="335">
        <v>45504</v>
      </c>
      <c r="D6" s="19">
        <v>4343856</v>
      </c>
      <c r="E6" s="20"/>
    </row>
    <row r="7" spans="1:5" ht="21.95" customHeight="1">
      <c r="A7" s="18" t="s">
        <v>1318</v>
      </c>
      <c r="B7" s="18" t="s">
        <v>1319</v>
      </c>
      <c r="C7" s="335">
        <v>45504</v>
      </c>
      <c r="D7" s="146">
        <v>68200</v>
      </c>
      <c r="E7" s="20"/>
    </row>
    <row r="8" spans="1:5" ht="21.95" customHeight="1">
      <c r="A8" s="18"/>
      <c r="B8" s="18"/>
      <c r="C8" s="335"/>
      <c r="D8" s="19"/>
      <c r="E8" s="20"/>
    </row>
    <row r="9" spans="1:5" ht="21.95" customHeight="1">
      <c r="A9" s="77"/>
      <c r="B9" s="77"/>
      <c r="C9" s="335"/>
      <c r="D9" s="84"/>
      <c r="E9" s="129"/>
    </row>
    <row r="10" spans="1:5" ht="21.95" customHeight="1">
      <c r="A10" s="16"/>
      <c r="B10" s="18"/>
      <c r="C10" s="335"/>
      <c r="D10" s="19"/>
      <c r="E10" s="22"/>
    </row>
    <row r="11" spans="1:5" ht="21.95" customHeight="1">
      <c r="A11" s="18"/>
      <c r="B11" s="18"/>
      <c r="C11" s="335"/>
      <c r="D11" s="19"/>
      <c r="E11" s="20"/>
    </row>
    <row r="12" spans="1:5" ht="21.95" customHeight="1">
      <c r="A12" s="77"/>
      <c r="B12" s="77"/>
      <c r="C12" s="335"/>
      <c r="D12" s="84"/>
      <c r="E12" s="129"/>
    </row>
    <row r="13" spans="1:5" ht="21.95" customHeight="1">
      <c r="A13" s="16"/>
      <c r="B13" s="18"/>
      <c r="C13" s="335"/>
      <c r="D13" s="19"/>
      <c r="E13" s="22"/>
    </row>
    <row r="14" spans="1:5" ht="21.95" customHeight="1">
      <c r="A14" s="16"/>
      <c r="B14" s="18"/>
      <c r="C14" s="335"/>
      <c r="D14" s="19"/>
      <c r="E14" s="20"/>
    </row>
    <row r="15" spans="1:5" ht="21.95" customHeight="1">
      <c r="A15" s="16"/>
      <c r="B15" s="18"/>
      <c r="C15" s="335"/>
      <c r="D15" s="19"/>
      <c r="E15" s="20"/>
    </row>
    <row r="16" spans="1:5" ht="21.95" customHeight="1">
      <c r="A16" s="16"/>
      <c r="B16" s="18"/>
      <c r="C16" s="335"/>
      <c r="D16" s="19"/>
      <c r="E16" s="146"/>
    </row>
    <row r="17" spans="1:5" ht="20.100000000000001" customHeight="1">
      <c r="A17" s="13" t="s">
        <v>5</v>
      </c>
      <c r="B17" s="13"/>
      <c r="C17" s="13"/>
      <c r="D17" s="25">
        <f>SUM(D5:D16)</f>
        <v>5459476</v>
      </c>
      <c r="E17" s="26"/>
    </row>
    <row r="18" spans="1:5" ht="20.100000000000001" customHeight="1">
      <c r="A18" s="2" t="str">
        <f>매출채권!A26</f>
        <v>김천에너지서비스㈜</v>
      </c>
    </row>
  </sheetData>
  <phoneticPr fontId="2" type="noConversion"/>
  <printOptions horizontalCentered="1"/>
  <pageMargins left="0.47244094488188981" right="0.47244094488188981" top="0.59055118110236227" bottom="0.59055118110236227" header="0.39370078740157483" footer="0.39370078740157483"/>
  <pageSetup paperSize="9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3AE565BD64DEF488B58638737563F94" ma:contentTypeVersion="18" ma:contentTypeDescription="새 문서를 만듭니다." ma:contentTypeScope="" ma:versionID="e6a8e80dc4687b6dbc3439679e8060fa">
  <xsd:schema xmlns:xsd="http://www.w3.org/2001/XMLSchema" xmlns:xs="http://www.w3.org/2001/XMLSchema" xmlns:p="http://schemas.microsoft.com/office/2006/metadata/properties" xmlns:ns2="ec155db1-cb73-40bf-9d51-0e889ceee67a" xmlns:ns3="f5a47379-fd49-427d-8f9a-12d97d7f7ec2" xmlns:ns4="4243d5be-521d-4052-81ca-f0f31ea6f2da" targetNamespace="http://schemas.microsoft.com/office/2006/metadata/properties" ma:root="true" ma:fieldsID="5d773d3e19fdd1d8bd9e5c8173754cef" ns2:_="" ns3:_="" ns4:_="">
    <xsd:import namespace="ec155db1-cb73-40bf-9d51-0e889ceee67a"/>
    <xsd:import namespace="f5a47379-fd49-427d-8f9a-12d97d7f7ec2"/>
    <xsd:import namespace="4243d5be-521d-4052-81ca-f0f31ea6f2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55db1-cb73-40bf-9d51-0e889ceee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이미지 태그" ma:readOnly="false" ma:fieldId="{5cf76f15-5ced-4ddc-b409-7134ff3c332f}" ma:taxonomyMulti="true" ma:sspId="8883d318-f35c-4577-94aa-4c8e836d27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a47379-fd49-427d-8f9a-12d97d7f7e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3d5be-521d-4052-81ca-f0f31ea6f2da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62e95ae-8f3d-4ee8-898b-69b75e445c9c}" ma:internalName="TaxCatchAll" ma:showField="CatchAllData" ma:web="f5a47379-fd49-427d-8f9a-12d97d7f7e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FB86A1-2A0D-471F-B18A-71EF4BF531B5}"/>
</file>

<file path=customXml/itemProps2.xml><?xml version="1.0" encoding="utf-8"?>
<ds:datastoreItem xmlns:ds="http://schemas.openxmlformats.org/officeDocument/2006/customXml" ds:itemID="{08F21CA0-FDF5-4D1D-A603-29E5BEF4C2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40</vt:i4>
      </vt:variant>
      <vt:variant>
        <vt:lpstr>이름이 지정된 범위</vt:lpstr>
      </vt:variant>
      <vt:variant>
        <vt:i4>9</vt:i4>
      </vt:variant>
    </vt:vector>
  </HeadingPairs>
  <TitlesOfParts>
    <vt:vector size="49" baseType="lpstr">
      <vt:lpstr>재무상태표</vt:lpstr>
      <vt:lpstr>기타무형자산</vt:lpstr>
      <vt:lpstr>배출권</vt:lpstr>
      <vt:lpstr>원재료</vt:lpstr>
      <vt:lpstr>저장품</vt:lpstr>
      <vt:lpstr>저장품첨부</vt:lpstr>
      <vt:lpstr>기타재고</vt:lpstr>
      <vt:lpstr>매출채권</vt:lpstr>
      <vt:lpstr>미수금</vt:lpstr>
      <vt:lpstr>미수수익</vt:lpstr>
      <vt:lpstr>선급비용(이자)</vt:lpstr>
      <vt:lpstr>선급금</vt:lpstr>
      <vt:lpstr>선급비용(법인세,지방소득세)</vt:lpstr>
      <vt:lpstr>선급비용(보험료,기타)</vt:lpstr>
      <vt:lpstr>조기상환(161013)</vt:lpstr>
      <vt:lpstr>참고1</vt:lpstr>
      <vt:lpstr>참고2</vt:lpstr>
      <vt:lpstr>이자비용</vt:lpstr>
      <vt:lpstr>현금예금</vt:lpstr>
      <vt:lpstr>차입금(장기,유동성)</vt:lpstr>
      <vt:lpstr>확정급여부채</vt:lpstr>
      <vt:lpstr>사외적립자산</vt:lpstr>
      <vt:lpstr>참고3-사외적립자산</vt:lpstr>
      <vt:lpstr>장기선수수익</vt:lpstr>
      <vt:lpstr>매입채무(외상매입금)</vt:lpstr>
      <vt:lpstr>미지급금(일반)</vt:lpstr>
      <vt:lpstr>미지급금(법인카드,자동이체)</vt:lpstr>
      <vt:lpstr>미지급법인세</vt:lpstr>
      <vt:lpstr>예수금</vt:lpstr>
      <vt:lpstr>예수금(소득,주민세)</vt:lpstr>
      <vt:lpstr>예수금(기타)</vt:lpstr>
      <vt:lpstr>예수금(법인세)</vt:lpstr>
      <vt:lpstr>주발차</vt:lpstr>
      <vt:lpstr>미지급분</vt:lpstr>
      <vt:lpstr>예수보증금</vt:lpstr>
      <vt:lpstr>미지급비용</vt:lpstr>
      <vt:lpstr>가수금</vt:lpstr>
      <vt:lpstr>보험수리적손익</vt:lpstr>
      <vt:lpstr>첨부4</vt:lpstr>
      <vt:lpstr>이익준비금</vt:lpstr>
      <vt:lpstr>'미지급금(법인카드,자동이체)'!Print_Area</vt:lpstr>
      <vt:lpstr>미지급법인세!Print_Area</vt:lpstr>
      <vt:lpstr>배출권!Print_Area</vt:lpstr>
      <vt:lpstr>'선급비용(보험료,기타)'!Print_Area</vt:lpstr>
      <vt:lpstr>'선급비용(이자)'!Print_Area</vt:lpstr>
      <vt:lpstr>원재료!Print_Area</vt:lpstr>
      <vt:lpstr>이자비용!Print_Area</vt:lpstr>
      <vt:lpstr>재무상태표!Print_Area</vt:lpstr>
      <vt:lpstr>현금예금!Print_Area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N0013</dc:creator>
  <cp:lastModifiedBy>SAMSUNG</cp:lastModifiedBy>
  <cp:lastPrinted>2024-08-08T00:48:13Z</cp:lastPrinted>
  <dcterms:created xsi:type="dcterms:W3CDTF">2012-06-05T09:39:44Z</dcterms:created>
  <dcterms:modified xsi:type="dcterms:W3CDTF">2024-08-21T06:11:43Z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