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chae23\QuantifyPro\workplace\Study\새 폴더\"/>
    </mc:Choice>
  </mc:AlternateContent>
  <bookViews>
    <workbookView xWindow="0" yWindow="0" windowWidth="28800" windowHeight="12255" activeTab="3"/>
  </bookViews>
  <sheets>
    <sheet name="A&amp;R" sheetId="1" r:id="rId1"/>
    <sheet name="계약서 캡쳐" sheetId="2" r:id="rId2"/>
    <sheet name="1. 주가이항과정" sheetId="3" r:id="rId3"/>
    <sheet name="부트스트랩" sheetId="4" r:id="rId4"/>
    <sheet name="채권만기수익률_Seibro" sheetId="5" r:id="rId5"/>
  </sheets>
  <definedNames>
    <definedName name="exit">'A&amp;R'!$D$10</definedName>
    <definedName name="start">'A&amp;R'!$D$9</definedName>
    <definedName name="상환일">'A&amp;R'!$D$38</definedName>
    <definedName name="전환일">'A&amp;R'!$D$37</definedName>
    <definedName name="평가기준일">'A&amp;R'!$D$27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AX32" i="3"/>
  <c r="AW32" i="3"/>
  <c r="AV32" i="3"/>
  <c r="AU32" i="3"/>
  <c r="AT32" i="3"/>
  <c r="AS32" i="3"/>
  <c r="AR32" i="3"/>
  <c r="AQ32" i="3"/>
  <c r="AP32" i="3"/>
  <c r="V32" i="3"/>
  <c r="U32" i="3"/>
  <c r="T32" i="3"/>
  <c r="S32" i="3"/>
  <c r="R32" i="3"/>
  <c r="Q32" i="3"/>
  <c r="P32" i="3"/>
  <c r="O32" i="3"/>
  <c r="N32" i="3"/>
  <c r="BQ31" i="3"/>
  <c r="BQ32" i="3" s="1"/>
  <c r="BP31" i="3"/>
  <c r="BP32" i="3" s="1"/>
  <c r="BO31" i="3"/>
  <c r="BO32" i="3" s="1"/>
  <c r="BN31" i="3"/>
  <c r="BN32" i="3" s="1"/>
  <c r="BM31" i="3"/>
  <c r="BM32" i="3" s="1"/>
  <c r="BL31" i="3"/>
  <c r="BL32" i="3" s="1"/>
  <c r="BK31" i="3"/>
  <c r="BK32" i="3" s="1"/>
  <c r="BJ31" i="3"/>
  <c r="BJ32" i="3" s="1"/>
  <c r="BI31" i="3"/>
  <c r="BI32" i="3" s="1"/>
  <c r="BH31" i="3"/>
  <c r="BH32" i="3" s="1"/>
  <c r="BG31" i="3"/>
  <c r="BG32" i="3" s="1"/>
  <c r="BF31" i="3"/>
  <c r="BF32" i="3" s="1"/>
  <c r="BE31" i="3"/>
  <c r="BE32" i="3" s="1"/>
  <c r="BD31" i="3"/>
  <c r="BD32" i="3" s="1"/>
  <c r="BC31" i="3"/>
  <c r="BC32" i="3" s="1"/>
  <c r="BB31" i="3"/>
  <c r="BB32" i="3" s="1"/>
  <c r="BA31" i="3"/>
  <c r="BA32" i="3" s="1"/>
  <c r="AZ31" i="3"/>
  <c r="AZ32" i="3" s="1"/>
  <c r="AY31" i="3"/>
  <c r="AY32" i="3" s="1"/>
  <c r="AX31" i="3"/>
  <c r="AW31" i="3"/>
  <c r="AV31" i="3"/>
  <c r="AU31" i="3"/>
  <c r="AT31" i="3"/>
  <c r="AS31" i="3"/>
  <c r="AR31" i="3"/>
  <c r="AQ31" i="3"/>
  <c r="AP31" i="3"/>
  <c r="AO31" i="3"/>
  <c r="AO32" i="3" s="1"/>
  <c r="AN31" i="3"/>
  <c r="AN32" i="3" s="1"/>
  <c r="AM31" i="3"/>
  <c r="AM32" i="3" s="1"/>
  <c r="AL31" i="3"/>
  <c r="AL32" i="3" s="1"/>
  <c r="AK31" i="3"/>
  <c r="AK32" i="3" s="1"/>
  <c r="AJ31" i="3"/>
  <c r="AJ32" i="3" s="1"/>
  <c r="AI31" i="3"/>
  <c r="AI32" i="3" s="1"/>
  <c r="AH31" i="3"/>
  <c r="AH32" i="3" s="1"/>
  <c r="AG31" i="3"/>
  <c r="AG32" i="3" s="1"/>
  <c r="AF31" i="3"/>
  <c r="AF32" i="3" s="1"/>
  <c r="AE31" i="3"/>
  <c r="AE32" i="3" s="1"/>
  <c r="AD31" i="3"/>
  <c r="AD32" i="3" s="1"/>
  <c r="AC31" i="3"/>
  <c r="AC32" i="3" s="1"/>
  <c r="AB31" i="3"/>
  <c r="AB32" i="3" s="1"/>
  <c r="AA31" i="3"/>
  <c r="AA32" i="3" s="1"/>
  <c r="Z31" i="3"/>
  <c r="Z32" i="3" s="1"/>
  <c r="Y31" i="3"/>
  <c r="Y32" i="3" s="1"/>
  <c r="X31" i="3"/>
  <c r="X32" i="3" s="1"/>
  <c r="W31" i="3"/>
  <c r="W32" i="3" s="1"/>
  <c r="V31" i="3"/>
  <c r="U31" i="3"/>
  <c r="T31" i="3"/>
  <c r="S31" i="3"/>
  <c r="R31" i="3"/>
  <c r="Q31" i="3"/>
  <c r="P31" i="3"/>
  <c r="O31" i="3"/>
  <c r="N31" i="3"/>
  <c r="M31" i="3"/>
  <c r="M32" i="3" s="1"/>
  <c r="L31" i="3"/>
  <c r="L32" i="3" s="1"/>
  <c r="K31" i="3"/>
  <c r="K32" i="3" s="1"/>
  <c r="J31" i="3"/>
  <c r="J32" i="3" s="1"/>
  <c r="I31" i="3"/>
  <c r="I32" i="3" s="1"/>
  <c r="H31" i="3"/>
  <c r="H32" i="3" s="1"/>
  <c r="G31" i="3"/>
  <c r="G32" i="3" s="1"/>
  <c r="F31" i="3"/>
  <c r="F32" i="3" s="1"/>
  <c r="E31" i="3"/>
  <c r="E32" i="3" s="1"/>
  <c r="D32" i="3"/>
  <c r="D31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Q21" i="3"/>
  <c r="BP21" i="3"/>
  <c r="BO21" i="3"/>
  <c r="BN21" i="3"/>
  <c r="BM21" i="3"/>
  <c r="BL21" i="3"/>
  <c r="BK21" i="3"/>
  <c r="BJ21" i="3"/>
  <c r="BI21" i="3"/>
  <c r="BH21" i="3"/>
  <c r="BH26" i="3" s="1"/>
  <c r="BG21" i="3"/>
  <c r="BG26" i="3" s="1"/>
  <c r="BF21" i="3"/>
  <c r="BE21" i="3"/>
  <c r="BE26" i="3" s="1"/>
  <c r="BD21" i="3"/>
  <c r="BD26" i="3" s="1"/>
  <c r="BC21" i="3"/>
  <c r="BC26" i="3" s="1"/>
  <c r="BB21" i="3"/>
  <c r="BB26" i="3" s="1"/>
  <c r="BA21" i="3"/>
  <c r="BA26" i="3" s="1"/>
  <c r="AZ21" i="3"/>
  <c r="AZ26" i="3" s="1"/>
  <c r="AY21" i="3"/>
  <c r="AY26" i="3" s="1"/>
  <c r="AX21" i="3"/>
  <c r="AX26" i="3" s="1"/>
  <c r="AW21" i="3"/>
  <c r="AW26" i="3" s="1"/>
  <c r="AV21" i="3"/>
  <c r="AV26" i="3" s="1"/>
  <c r="AU21" i="3"/>
  <c r="AU26" i="3" s="1"/>
  <c r="AT21" i="3"/>
  <c r="AT26" i="3" s="1"/>
  <c r="AS21" i="3"/>
  <c r="AS26" i="3" s="1"/>
  <c r="AR21" i="3"/>
  <c r="AR26" i="3" s="1"/>
  <c r="AQ21" i="3"/>
  <c r="AQ26" i="3" s="1"/>
  <c r="AP21" i="3"/>
  <c r="AP26" i="3" s="1"/>
  <c r="AO21" i="3"/>
  <c r="AN21" i="3"/>
  <c r="AM21" i="3"/>
  <c r="AL21" i="3"/>
  <c r="AL26" i="3" s="1"/>
  <c r="AK21" i="3"/>
  <c r="AK26" i="3" s="1"/>
  <c r="AJ21" i="3"/>
  <c r="AJ26" i="3" s="1"/>
  <c r="AI21" i="3"/>
  <c r="AH21" i="3"/>
  <c r="AG21" i="3"/>
  <c r="AF21" i="3"/>
  <c r="AF26" i="3" s="1"/>
  <c r="AE21" i="3"/>
  <c r="AE26" i="3" s="1"/>
  <c r="AD21" i="3"/>
  <c r="AC21" i="3"/>
  <c r="AC26" i="3" s="1"/>
  <c r="AB21" i="3"/>
  <c r="AB26" i="3" s="1"/>
  <c r="AA21" i="3"/>
  <c r="AA26" i="3" s="1"/>
  <c r="Z21" i="3"/>
  <c r="Z26" i="3" s="1"/>
  <c r="Y21" i="3"/>
  <c r="Y26" i="3" s="1"/>
  <c r="X21" i="3"/>
  <c r="X26" i="3" s="1"/>
  <c r="W21" i="3"/>
  <c r="W26" i="3" s="1"/>
  <c r="V21" i="3"/>
  <c r="V26" i="3" s="1"/>
  <c r="U21" i="3"/>
  <c r="U26" i="3" s="1"/>
  <c r="T21" i="3"/>
  <c r="T26" i="3" s="1"/>
  <c r="S21" i="3"/>
  <c r="S26" i="3" s="1"/>
  <c r="R21" i="3"/>
  <c r="R26" i="3" s="1"/>
  <c r="Q21" i="3"/>
  <c r="Q26" i="3" s="1"/>
  <c r="P21" i="3"/>
  <c r="P26" i="3" s="1"/>
  <c r="O21" i="3"/>
  <c r="O26" i="3" s="1"/>
  <c r="N21" i="3"/>
  <c r="N26" i="3" s="1"/>
  <c r="M21" i="3"/>
  <c r="L21" i="3"/>
  <c r="K21" i="3"/>
  <c r="J21" i="3"/>
  <c r="I21" i="3"/>
  <c r="H21" i="3"/>
  <c r="G21" i="3"/>
  <c r="F21" i="3"/>
  <c r="E21" i="3"/>
  <c r="D21" i="3"/>
  <c r="C21" i="3"/>
  <c r="C26" i="3"/>
  <c r="AI26" i="3"/>
  <c r="AH26" i="3"/>
  <c r="AG26" i="3"/>
  <c r="AD26" i="3"/>
  <c r="BQ26" i="3"/>
  <c r="BP26" i="3"/>
  <c r="BO26" i="3"/>
  <c r="BN26" i="3"/>
  <c r="BM26" i="3"/>
  <c r="BL26" i="3"/>
  <c r="BK26" i="3"/>
  <c r="BJ26" i="3"/>
  <c r="BI26" i="3"/>
  <c r="BF26" i="3"/>
  <c r="AO26" i="3"/>
  <c r="AN26" i="3"/>
  <c r="AM26" i="3"/>
  <c r="M26" i="3"/>
  <c r="L26" i="3"/>
  <c r="K26" i="3"/>
  <c r="J26" i="3"/>
  <c r="I26" i="3"/>
  <c r="H26" i="3"/>
  <c r="G26" i="3"/>
  <c r="F26" i="3"/>
  <c r="E26" i="3"/>
  <c r="D26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B27" i="4"/>
  <c r="C27" i="4" s="1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C32" i="4"/>
  <c r="D32" i="4" s="1"/>
  <c r="E32" i="4" s="1"/>
  <c r="F32" i="4" s="1"/>
  <c r="G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AH32" i="4" s="1"/>
  <c r="AI32" i="4" s="1"/>
  <c r="AJ32" i="4" s="1"/>
  <c r="AK32" i="4" s="1"/>
  <c r="AL32" i="4" s="1"/>
  <c r="AM32" i="4" s="1"/>
  <c r="AN32" i="4" s="1"/>
  <c r="AO32" i="4" s="1"/>
  <c r="AP32" i="4" s="1"/>
  <c r="AQ32" i="4" s="1"/>
  <c r="AR32" i="4" s="1"/>
  <c r="AS32" i="4" s="1"/>
  <c r="AT32" i="4" s="1"/>
  <c r="AU32" i="4" s="1"/>
  <c r="AV32" i="4" s="1"/>
  <c r="AW32" i="4" s="1"/>
  <c r="AX32" i="4" s="1"/>
  <c r="AY32" i="4" s="1"/>
  <c r="AZ32" i="4" s="1"/>
  <c r="BA32" i="4" s="1"/>
  <c r="BB32" i="4" s="1"/>
  <c r="BC32" i="4" s="1"/>
  <c r="BD32" i="4" s="1"/>
  <c r="BE32" i="4" s="1"/>
  <c r="BF32" i="4" s="1"/>
  <c r="BG32" i="4" s="1"/>
  <c r="BH32" i="4" s="1"/>
  <c r="BI32" i="4" s="1"/>
  <c r="BJ32" i="4" s="1"/>
  <c r="BK32" i="4" s="1"/>
  <c r="BL32" i="4" s="1"/>
  <c r="BM32" i="4" s="1"/>
  <c r="BN32" i="4" s="1"/>
  <c r="BO32" i="4" s="1"/>
  <c r="BP32" i="4" s="1"/>
  <c r="C25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O12" i="4"/>
  <c r="N12" i="4"/>
  <c r="M12" i="4"/>
  <c r="L12" i="4"/>
  <c r="K12" i="4"/>
  <c r="J12" i="4"/>
  <c r="I12" i="4"/>
  <c r="H12" i="4"/>
  <c r="G12" i="4"/>
  <c r="F12" i="4"/>
  <c r="O15" i="4"/>
  <c r="J15" i="4"/>
  <c r="K15" i="4" s="1"/>
  <c r="L15" i="4" s="1"/>
  <c r="M15" i="4" s="1"/>
  <c r="N15" i="4" s="1"/>
  <c r="H15" i="4"/>
  <c r="I15" i="4" s="1"/>
  <c r="F15" i="4"/>
  <c r="G15" i="4" s="1"/>
  <c r="V6" i="4"/>
  <c r="U6" i="4"/>
  <c r="T6" i="4"/>
  <c r="S6" i="4"/>
  <c r="M5" i="4"/>
  <c r="L5" i="4"/>
  <c r="O14" i="4" s="1"/>
  <c r="K5" i="4"/>
  <c r="J14" i="4" s="1"/>
  <c r="J5" i="4"/>
  <c r="I5" i="4"/>
  <c r="F14" i="4" s="1"/>
  <c r="F21" i="4" s="1"/>
  <c r="F23" i="4" s="1"/>
  <c r="H5" i="4"/>
  <c r="E14" i="4" s="1"/>
  <c r="E21" i="4" s="1"/>
  <c r="E23" i="4" s="1"/>
  <c r="G5" i="4"/>
  <c r="D14" i="4" s="1"/>
  <c r="D21" i="4" s="1"/>
  <c r="D23" i="4" s="1"/>
  <c r="F5" i="4"/>
  <c r="C14" i="4" s="1"/>
  <c r="C21" i="4" s="1"/>
  <c r="C23" i="4" s="1"/>
  <c r="BP23" i="3"/>
  <c r="BQ23" i="3" s="1"/>
  <c r="BQ22" i="3" s="1"/>
  <c r="BP22" i="3"/>
  <c r="BB23" i="3"/>
  <c r="BC23" i="3" s="1"/>
  <c r="BB22" i="3"/>
  <c r="E23" i="3"/>
  <c r="E22" i="3" s="1"/>
  <c r="D22" i="3"/>
  <c r="C22" i="3"/>
  <c r="D23" i="3"/>
  <c r="C23" i="3"/>
  <c r="C22" i="4" l="1"/>
  <c r="C26" i="4" s="1"/>
  <c r="C33" i="4"/>
  <c r="D24" i="4"/>
  <c r="I6" i="4"/>
  <c r="K6" i="4"/>
  <c r="G14" i="4"/>
  <c r="L6" i="4"/>
  <c r="K14" i="4"/>
  <c r="L14" i="4" s="1"/>
  <c r="M14" i="4" s="1"/>
  <c r="N14" i="4" s="1"/>
  <c r="J6" i="4"/>
  <c r="H14" i="4"/>
  <c r="I14" i="4" s="1"/>
  <c r="I16" i="4" s="1"/>
  <c r="F16" i="4"/>
  <c r="G21" i="4" s="1"/>
  <c r="J16" i="4"/>
  <c r="G16" i="4"/>
  <c r="BD23" i="3"/>
  <c r="BC22" i="3"/>
  <c r="F23" i="3"/>
  <c r="D33" i="4" l="1"/>
  <c r="C34" i="4"/>
  <c r="G23" i="4"/>
  <c r="H16" i="4"/>
  <c r="H21" i="4"/>
  <c r="H23" i="4" s="1"/>
  <c r="D25" i="4"/>
  <c r="I21" i="4"/>
  <c r="I23" i="4" s="1"/>
  <c r="K16" i="4"/>
  <c r="BE23" i="3"/>
  <c r="BD22" i="3"/>
  <c r="F22" i="3"/>
  <c r="G23" i="3"/>
  <c r="E33" i="4" l="1"/>
  <c r="D34" i="4"/>
  <c r="D22" i="4"/>
  <c r="D26" i="4" s="1"/>
  <c r="E24" i="4" s="1"/>
  <c r="J21" i="4"/>
  <c r="J23" i="4" s="1"/>
  <c r="L16" i="4"/>
  <c r="BF23" i="3"/>
  <c r="BE22" i="3"/>
  <c r="G22" i="3"/>
  <c r="H23" i="3"/>
  <c r="F33" i="4" l="1"/>
  <c r="E34" i="4"/>
  <c r="E36" i="4" s="1"/>
  <c r="E31" i="4"/>
  <c r="E25" i="4"/>
  <c r="K21" i="4"/>
  <c r="K23" i="4" s="1"/>
  <c r="N16" i="4"/>
  <c r="M16" i="4"/>
  <c r="BG23" i="3"/>
  <c r="BF22" i="3"/>
  <c r="H22" i="3"/>
  <c r="I23" i="3"/>
  <c r="E37" i="4" l="1"/>
  <c r="F38" i="4"/>
  <c r="G33" i="4"/>
  <c r="F34" i="4"/>
  <c r="F31" i="4"/>
  <c r="E22" i="4"/>
  <c r="E26" i="4" s="1"/>
  <c r="F24" i="4" s="1"/>
  <c r="L21" i="4"/>
  <c r="L23" i="4" s="1"/>
  <c r="BH23" i="3"/>
  <c r="BG22" i="3"/>
  <c r="I22" i="3"/>
  <c r="J23" i="3"/>
  <c r="H33" i="4" l="1"/>
  <c r="G34" i="4"/>
  <c r="G31" i="4"/>
  <c r="F25" i="4"/>
  <c r="M21" i="4"/>
  <c r="M23" i="4" s="1"/>
  <c r="BI23" i="3"/>
  <c r="BH22" i="3"/>
  <c r="J22" i="3"/>
  <c r="K23" i="3"/>
  <c r="I33" i="4" l="1"/>
  <c r="H34" i="4"/>
  <c r="E35" i="4" s="1"/>
  <c r="H31" i="4"/>
  <c r="F22" i="4"/>
  <c r="F26" i="4" s="1"/>
  <c r="G24" i="4" s="1"/>
  <c r="N21" i="4"/>
  <c r="N23" i="4" s="1"/>
  <c r="BJ23" i="3"/>
  <c r="BI22" i="3"/>
  <c r="K22" i="3"/>
  <c r="L23" i="3"/>
  <c r="F36" i="4" l="1"/>
  <c r="D36" i="4"/>
  <c r="F35" i="4"/>
  <c r="J33" i="4"/>
  <c r="I34" i="4"/>
  <c r="I31" i="4"/>
  <c r="G25" i="4"/>
  <c r="O21" i="4"/>
  <c r="O23" i="4" s="1"/>
  <c r="BK23" i="3"/>
  <c r="BJ22" i="3"/>
  <c r="L22" i="3"/>
  <c r="M23" i="3"/>
  <c r="C36" i="4" l="1"/>
  <c r="D37" i="4"/>
  <c r="E38" i="4"/>
  <c r="E39" i="4" s="1"/>
  <c r="K33" i="4"/>
  <c r="J31" i="4"/>
  <c r="J34" i="4"/>
  <c r="G35" i="4"/>
  <c r="G36" i="4"/>
  <c r="F37" i="4"/>
  <c r="F39" i="4" s="1"/>
  <c r="G38" i="4"/>
  <c r="G22" i="4"/>
  <c r="G26" i="4" s="1"/>
  <c r="H24" i="4" s="1"/>
  <c r="P21" i="4"/>
  <c r="P23" i="4" s="1"/>
  <c r="BL23" i="3"/>
  <c r="BK22" i="3"/>
  <c r="M22" i="3"/>
  <c r="N23" i="3"/>
  <c r="H36" i="4" l="1"/>
  <c r="G37" i="4"/>
  <c r="G39" i="4" s="1"/>
  <c r="H38" i="4"/>
  <c r="L33" i="4"/>
  <c r="K31" i="4"/>
  <c r="K34" i="4"/>
  <c r="H35" i="4" s="1"/>
  <c r="I35" i="4" s="1"/>
  <c r="J35" i="4" s="1"/>
  <c r="D38" i="4"/>
  <c r="D39" i="4" s="1"/>
  <c r="C37" i="4"/>
  <c r="C39" i="4" s="1"/>
  <c r="H25" i="4"/>
  <c r="Q21" i="4"/>
  <c r="Q23" i="4" s="1"/>
  <c r="BM23" i="3"/>
  <c r="BL22" i="3"/>
  <c r="N22" i="3"/>
  <c r="O23" i="3"/>
  <c r="M33" i="4" l="1"/>
  <c r="L31" i="4"/>
  <c r="L34" i="4"/>
  <c r="I36" i="4"/>
  <c r="H37" i="4"/>
  <c r="H39" i="4" s="1"/>
  <c r="I38" i="4"/>
  <c r="H22" i="4"/>
  <c r="H26" i="4" s="1"/>
  <c r="I24" i="4" s="1"/>
  <c r="R21" i="4"/>
  <c r="R23" i="4" s="1"/>
  <c r="BN23" i="3"/>
  <c r="BM22" i="3"/>
  <c r="O22" i="3"/>
  <c r="P23" i="3"/>
  <c r="J36" i="4" l="1"/>
  <c r="I37" i="4"/>
  <c r="I39" i="4" s="1"/>
  <c r="J38" i="4"/>
  <c r="N33" i="4"/>
  <c r="M31" i="4"/>
  <c r="M34" i="4"/>
  <c r="I25" i="4"/>
  <c r="S21" i="4"/>
  <c r="S23" i="4" s="1"/>
  <c r="BO23" i="3"/>
  <c r="BO22" i="3" s="1"/>
  <c r="BN22" i="3"/>
  <c r="P22" i="3"/>
  <c r="Q23" i="3"/>
  <c r="O33" i="4" l="1"/>
  <c r="N31" i="4"/>
  <c r="N34" i="4"/>
  <c r="K35" i="4" s="1"/>
  <c r="L35" i="4" s="1"/>
  <c r="M35" i="4" s="1"/>
  <c r="K36" i="4"/>
  <c r="K38" i="4"/>
  <c r="J37" i="4"/>
  <c r="J39" i="4" s="1"/>
  <c r="I22" i="4"/>
  <c r="I26" i="4" s="1"/>
  <c r="J24" i="4" s="1"/>
  <c r="T21" i="4"/>
  <c r="T23" i="4" s="1"/>
  <c r="Q22" i="3"/>
  <c r="R23" i="3"/>
  <c r="L36" i="4" l="1"/>
  <c r="L38" i="4"/>
  <c r="K37" i="4"/>
  <c r="K39" i="4" s="1"/>
  <c r="P33" i="4"/>
  <c r="O31" i="4"/>
  <c r="O34" i="4"/>
  <c r="J25" i="4"/>
  <c r="U21" i="4"/>
  <c r="U23" i="4" s="1"/>
  <c r="R22" i="3"/>
  <c r="S23" i="3"/>
  <c r="Q33" i="4" l="1"/>
  <c r="P31" i="4"/>
  <c r="P34" i="4"/>
  <c r="M36" i="4"/>
  <c r="M38" i="4"/>
  <c r="L37" i="4"/>
  <c r="L39" i="4" s="1"/>
  <c r="J22" i="4"/>
  <c r="J26" i="4" s="1"/>
  <c r="K24" i="4" s="1"/>
  <c r="V21" i="4"/>
  <c r="V23" i="4" s="1"/>
  <c r="T23" i="3"/>
  <c r="S22" i="3"/>
  <c r="N36" i="4" l="1"/>
  <c r="N38" i="4"/>
  <c r="M37" i="4"/>
  <c r="M39" i="4" s="1"/>
  <c r="R33" i="4"/>
  <c r="Q31" i="4"/>
  <c r="Q34" i="4"/>
  <c r="N35" i="4" s="1"/>
  <c r="O35" i="4" s="1"/>
  <c r="P35" i="4" s="1"/>
  <c r="K25" i="4"/>
  <c r="W21" i="4"/>
  <c r="W23" i="4" s="1"/>
  <c r="U23" i="3"/>
  <c r="T22" i="3"/>
  <c r="S33" i="4" l="1"/>
  <c r="R31" i="4"/>
  <c r="R34" i="4"/>
  <c r="O36" i="4"/>
  <c r="O38" i="4"/>
  <c r="N37" i="4"/>
  <c r="N39" i="4" s="1"/>
  <c r="K22" i="4"/>
  <c r="K26" i="4" s="1"/>
  <c r="L24" i="4" s="1"/>
  <c r="X21" i="4"/>
  <c r="V23" i="3"/>
  <c r="U22" i="3"/>
  <c r="P36" i="4" l="1"/>
  <c r="P38" i="4"/>
  <c r="O37" i="4"/>
  <c r="O39" i="4" s="1"/>
  <c r="T33" i="4"/>
  <c r="S31" i="4"/>
  <c r="S34" i="4"/>
  <c r="X23" i="4"/>
  <c r="L25" i="4"/>
  <c r="W23" i="3"/>
  <c r="V22" i="3"/>
  <c r="U33" i="4" l="1"/>
  <c r="T31" i="4"/>
  <c r="T34" i="4"/>
  <c r="Q35" i="4" s="1"/>
  <c r="R35" i="4" s="1"/>
  <c r="S35" i="4" s="1"/>
  <c r="Q36" i="4"/>
  <c r="Q38" i="4"/>
  <c r="P37" i="4"/>
  <c r="P39" i="4" s="1"/>
  <c r="L22" i="4"/>
  <c r="L26" i="4" s="1"/>
  <c r="M24" i="4" s="1"/>
  <c r="X23" i="3"/>
  <c r="W22" i="3"/>
  <c r="R36" i="4" l="1"/>
  <c r="R38" i="4"/>
  <c r="Q37" i="4"/>
  <c r="Q39" i="4" s="1"/>
  <c r="V33" i="4"/>
  <c r="U34" i="4"/>
  <c r="U31" i="4"/>
  <c r="M25" i="4"/>
  <c r="Y23" i="3"/>
  <c r="X22" i="3"/>
  <c r="W33" i="4" l="1"/>
  <c r="V34" i="4"/>
  <c r="V31" i="4"/>
  <c r="S36" i="4"/>
  <c r="S38" i="4"/>
  <c r="R37" i="4"/>
  <c r="R39" i="4" s="1"/>
  <c r="M22" i="4"/>
  <c r="M26" i="4" s="1"/>
  <c r="N24" i="4" s="1"/>
  <c r="Y22" i="3"/>
  <c r="Z23" i="3"/>
  <c r="T36" i="4" l="1"/>
  <c r="T38" i="4"/>
  <c r="S37" i="4"/>
  <c r="S39" i="4" s="1"/>
  <c r="X33" i="4"/>
  <c r="W34" i="4"/>
  <c r="T35" i="4" s="1"/>
  <c r="U35" i="4" s="1"/>
  <c r="V35" i="4" s="1"/>
  <c r="W31" i="4"/>
  <c r="N25" i="4"/>
  <c r="Z22" i="3"/>
  <c r="AA23" i="3"/>
  <c r="Y33" i="4" l="1"/>
  <c r="X34" i="4"/>
  <c r="X31" i="4"/>
  <c r="U36" i="4"/>
  <c r="U38" i="4"/>
  <c r="T37" i="4"/>
  <c r="T39" i="4" s="1"/>
  <c r="N22" i="4"/>
  <c r="N26" i="4" s="1"/>
  <c r="O24" i="4" s="1"/>
  <c r="AA22" i="3"/>
  <c r="AB23" i="3"/>
  <c r="V36" i="4" l="1"/>
  <c r="V38" i="4"/>
  <c r="U37" i="4"/>
  <c r="U39" i="4" s="1"/>
  <c r="Z33" i="4"/>
  <c r="Y34" i="4"/>
  <c r="Y31" i="4"/>
  <c r="O25" i="4"/>
  <c r="AB22" i="3"/>
  <c r="AC23" i="3"/>
  <c r="AA33" i="4" l="1"/>
  <c r="Z34" i="4"/>
  <c r="W35" i="4" s="1"/>
  <c r="X35" i="4" s="1"/>
  <c r="Y35" i="4" s="1"/>
  <c r="Z31" i="4"/>
  <c r="W36" i="4"/>
  <c r="W38" i="4"/>
  <c r="V37" i="4"/>
  <c r="V39" i="4" s="1"/>
  <c r="O22" i="4"/>
  <c r="O26" i="4" s="1"/>
  <c r="P24" i="4" s="1"/>
  <c r="AC22" i="3"/>
  <c r="AD23" i="3"/>
  <c r="X36" i="4" l="1"/>
  <c r="X38" i="4"/>
  <c r="W37" i="4"/>
  <c r="W39" i="4" s="1"/>
  <c r="AB33" i="4"/>
  <c r="AA34" i="4"/>
  <c r="AA31" i="4"/>
  <c r="P25" i="4"/>
  <c r="AD22" i="3"/>
  <c r="AE23" i="3"/>
  <c r="AC33" i="4" l="1"/>
  <c r="AB34" i="4"/>
  <c r="AB31" i="4"/>
  <c r="Y36" i="4"/>
  <c r="Y38" i="4"/>
  <c r="X37" i="4"/>
  <c r="X39" i="4" s="1"/>
  <c r="P22" i="4"/>
  <c r="P26" i="4" s="1"/>
  <c r="Q24" i="4" s="1"/>
  <c r="AE22" i="3"/>
  <c r="AF23" i="3"/>
  <c r="Z36" i="4" l="1"/>
  <c r="Z38" i="4"/>
  <c r="Y37" i="4"/>
  <c r="Y39" i="4" s="1"/>
  <c r="AD33" i="4"/>
  <c r="AC34" i="4"/>
  <c r="Z35" i="4" s="1"/>
  <c r="AA35" i="4" s="1"/>
  <c r="AB35" i="4" s="1"/>
  <c r="AC31" i="4"/>
  <c r="Q25" i="4"/>
  <c r="AF22" i="3"/>
  <c r="AG23" i="3"/>
  <c r="AE33" i="4" l="1"/>
  <c r="AD34" i="4"/>
  <c r="AD31" i="4"/>
  <c r="AA36" i="4"/>
  <c r="AA38" i="4"/>
  <c r="Z37" i="4"/>
  <c r="Z39" i="4" s="1"/>
  <c r="Q22" i="4"/>
  <c r="Q26" i="4" s="1"/>
  <c r="R24" i="4" s="1"/>
  <c r="AG22" i="3"/>
  <c r="AH23" i="3"/>
  <c r="AB36" i="4" l="1"/>
  <c r="AB38" i="4"/>
  <c r="AA37" i="4"/>
  <c r="AA39" i="4" s="1"/>
  <c r="AF33" i="4"/>
  <c r="AE31" i="4"/>
  <c r="AE34" i="4"/>
  <c r="R25" i="4"/>
  <c r="AH22" i="3"/>
  <c r="AI23" i="3"/>
  <c r="AG33" i="4" l="1"/>
  <c r="AF31" i="4"/>
  <c r="AF34" i="4"/>
  <c r="AC35" i="4" s="1"/>
  <c r="AD35" i="4" s="1"/>
  <c r="AE35" i="4" s="1"/>
  <c r="AC36" i="4"/>
  <c r="AC38" i="4"/>
  <c r="AB37" i="4"/>
  <c r="AB39" i="4" s="1"/>
  <c r="R22" i="4"/>
  <c r="R26" i="4" s="1"/>
  <c r="S24" i="4" s="1"/>
  <c r="AI22" i="3"/>
  <c r="AJ23" i="3"/>
  <c r="AD36" i="4" l="1"/>
  <c r="AC37" i="4"/>
  <c r="AC39" i="4" s="1"/>
  <c r="AD38" i="4"/>
  <c r="AH33" i="4"/>
  <c r="AG31" i="4"/>
  <c r="AG34" i="4"/>
  <c r="S25" i="4"/>
  <c r="AJ22" i="3"/>
  <c r="AK23" i="3"/>
  <c r="AI33" i="4" l="1"/>
  <c r="AH31" i="4"/>
  <c r="AH34" i="4"/>
  <c r="AE36" i="4"/>
  <c r="AD37" i="4"/>
  <c r="AD39" i="4" s="1"/>
  <c r="AE38" i="4"/>
  <c r="S22" i="4"/>
  <c r="S26" i="4" s="1"/>
  <c r="T24" i="4" s="1"/>
  <c r="AK22" i="3"/>
  <c r="AL23" i="3"/>
  <c r="AF36" i="4" l="1"/>
  <c r="AE37" i="4"/>
  <c r="AE39" i="4" s="1"/>
  <c r="AF38" i="4"/>
  <c r="AJ33" i="4"/>
  <c r="AI31" i="4"/>
  <c r="AI34" i="4"/>
  <c r="AF35" i="4" s="1"/>
  <c r="AG35" i="4" s="1"/>
  <c r="AH35" i="4" s="1"/>
  <c r="T25" i="4"/>
  <c r="AL22" i="3"/>
  <c r="AM23" i="3"/>
  <c r="AK33" i="4" l="1"/>
  <c r="AJ31" i="4"/>
  <c r="AJ34" i="4"/>
  <c r="AG36" i="4"/>
  <c r="AF37" i="4"/>
  <c r="AF39" i="4" s="1"/>
  <c r="AG38" i="4"/>
  <c r="T22" i="4"/>
  <c r="T26" i="4" s="1"/>
  <c r="U24" i="4" s="1"/>
  <c r="AM22" i="3"/>
  <c r="AN23" i="3"/>
  <c r="AH36" i="4" l="1"/>
  <c r="AG37" i="4"/>
  <c r="AG39" i="4" s="1"/>
  <c r="AH38" i="4"/>
  <c r="AL33" i="4"/>
  <c r="AK31" i="4"/>
  <c r="AK34" i="4"/>
  <c r="U25" i="4"/>
  <c r="AN22" i="3"/>
  <c r="AO23" i="3"/>
  <c r="AM33" i="4" l="1"/>
  <c r="AL31" i="4"/>
  <c r="AL34" i="4"/>
  <c r="AI35" i="4" s="1"/>
  <c r="AJ35" i="4" s="1"/>
  <c r="AK35" i="4" s="1"/>
  <c r="AI36" i="4"/>
  <c r="AH37" i="4"/>
  <c r="AH39" i="4" s="1"/>
  <c r="AI38" i="4"/>
  <c r="U22" i="4"/>
  <c r="U26" i="4" s="1"/>
  <c r="V24" i="4" s="1"/>
  <c r="AO22" i="3"/>
  <c r="AP23" i="3"/>
  <c r="AJ36" i="4" l="1"/>
  <c r="AI37" i="4"/>
  <c r="AI39" i="4" s="1"/>
  <c r="AJ38" i="4"/>
  <c r="AN33" i="4"/>
  <c r="AM31" i="4"/>
  <c r="AM34" i="4"/>
  <c r="V25" i="4"/>
  <c r="AP22" i="3"/>
  <c r="AQ23" i="3"/>
  <c r="AO33" i="4" l="1"/>
  <c r="AN31" i="4"/>
  <c r="AN34" i="4"/>
  <c r="AK36" i="4"/>
  <c r="AJ37" i="4"/>
  <c r="AJ39" i="4" s="1"/>
  <c r="AK38" i="4"/>
  <c r="V22" i="4"/>
  <c r="V26" i="4" s="1"/>
  <c r="W24" i="4" s="1"/>
  <c r="AQ22" i="3"/>
  <c r="AR23" i="3"/>
  <c r="AL36" i="4" l="1"/>
  <c r="AK37" i="4"/>
  <c r="AK39" i="4" s="1"/>
  <c r="AL38" i="4"/>
  <c r="AP33" i="4"/>
  <c r="AO31" i="4"/>
  <c r="AO34" i="4"/>
  <c r="AL35" i="4" s="1"/>
  <c r="AM35" i="4" s="1"/>
  <c r="AN35" i="4" s="1"/>
  <c r="W25" i="4"/>
  <c r="AR22" i="3"/>
  <c r="AS23" i="3"/>
  <c r="AQ33" i="4" l="1"/>
  <c r="AP31" i="4"/>
  <c r="AP34" i="4"/>
  <c r="AM36" i="4"/>
  <c r="AL37" i="4"/>
  <c r="AL39" i="4" s="1"/>
  <c r="AM38" i="4"/>
  <c r="W22" i="4"/>
  <c r="W26" i="4" s="1"/>
  <c r="X24" i="4" s="1"/>
  <c r="AS22" i="3"/>
  <c r="AT23" i="3"/>
  <c r="AN36" i="4" l="1"/>
  <c r="AM37" i="4"/>
  <c r="AM39" i="4" s="1"/>
  <c r="AN38" i="4"/>
  <c r="AR33" i="4"/>
  <c r="AQ31" i="4"/>
  <c r="AQ34" i="4"/>
  <c r="X25" i="4"/>
  <c r="AT22" i="3"/>
  <c r="AU23" i="3"/>
  <c r="AS33" i="4" l="1"/>
  <c r="AR31" i="4"/>
  <c r="AR34" i="4"/>
  <c r="AO35" i="4" s="1"/>
  <c r="AP35" i="4" s="1"/>
  <c r="AQ35" i="4" s="1"/>
  <c r="AO36" i="4"/>
  <c r="AN37" i="4"/>
  <c r="AN39" i="4" s="1"/>
  <c r="AO38" i="4"/>
  <c r="X22" i="4"/>
  <c r="X26" i="4" s="1"/>
  <c r="AV23" i="3"/>
  <c r="AU22" i="3"/>
  <c r="AT33" i="4" l="1"/>
  <c r="AS31" i="4"/>
  <c r="AS34" i="4"/>
  <c r="AP36" i="4"/>
  <c r="AO37" i="4"/>
  <c r="AO39" i="4" s="1"/>
  <c r="AP38" i="4"/>
  <c r="AW23" i="3"/>
  <c r="AV22" i="3"/>
  <c r="AQ36" i="4" l="1"/>
  <c r="AP37" i="4"/>
  <c r="AP39" i="4" s="1"/>
  <c r="AQ38" i="4"/>
  <c r="AU33" i="4"/>
  <c r="AT31" i="4"/>
  <c r="AT34" i="4"/>
  <c r="AX23" i="3"/>
  <c r="AW22" i="3"/>
  <c r="AV33" i="4" l="1"/>
  <c r="AU31" i="4"/>
  <c r="AU34" i="4"/>
  <c r="AR35" i="4" s="1"/>
  <c r="AS35" i="4" s="1"/>
  <c r="AT35" i="4" s="1"/>
  <c r="AR36" i="4"/>
  <c r="AQ37" i="4"/>
  <c r="AQ39" i="4" s="1"/>
  <c r="AR38" i="4"/>
  <c r="AY23" i="3"/>
  <c r="AX22" i="3"/>
  <c r="AS36" i="4" l="1"/>
  <c r="AR37" i="4"/>
  <c r="AR39" i="4" s="1"/>
  <c r="AS38" i="4"/>
  <c r="AW33" i="4"/>
  <c r="AV31" i="4"/>
  <c r="AV34" i="4"/>
  <c r="AZ23" i="3"/>
  <c r="AY22" i="3"/>
  <c r="AX33" i="4" l="1"/>
  <c r="AW34" i="4"/>
  <c r="AW31" i="4"/>
  <c r="AT36" i="4"/>
  <c r="AT38" i="4"/>
  <c r="AS37" i="4"/>
  <c r="AS39" i="4" s="1"/>
  <c r="BA23" i="3"/>
  <c r="BA22" i="3" s="1"/>
  <c r="AZ22" i="3"/>
  <c r="AU36" i="4" l="1"/>
  <c r="AU38" i="4"/>
  <c r="AT37" i="4"/>
  <c r="AT39" i="4" s="1"/>
  <c r="AY33" i="4"/>
  <c r="AX34" i="4"/>
  <c r="AU35" i="4" s="1"/>
  <c r="AV35" i="4" s="1"/>
  <c r="AW35" i="4" s="1"/>
  <c r="AX31" i="4"/>
  <c r="AZ33" i="4" l="1"/>
  <c r="AY34" i="4"/>
  <c r="AY31" i="4"/>
  <c r="AV36" i="4"/>
  <c r="AV38" i="4"/>
  <c r="AU37" i="4"/>
  <c r="AU39" i="4" s="1"/>
  <c r="AW36" i="4" l="1"/>
  <c r="AW38" i="4"/>
  <c r="AV37" i="4"/>
  <c r="AV39" i="4" s="1"/>
  <c r="BA33" i="4"/>
  <c r="AZ34" i="4"/>
  <c r="AZ31" i="4"/>
  <c r="BB33" i="4" l="1"/>
  <c r="BA34" i="4"/>
  <c r="AX35" i="4" s="1"/>
  <c r="AY35" i="4" s="1"/>
  <c r="AZ35" i="4" s="1"/>
  <c r="BA31" i="4"/>
  <c r="AX36" i="4"/>
  <c r="AX38" i="4"/>
  <c r="AW37" i="4"/>
  <c r="AW39" i="4" s="1"/>
  <c r="AY36" i="4" l="1"/>
  <c r="AY38" i="4"/>
  <c r="AX37" i="4"/>
  <c r="AX39" i="4" s="1"/>
  <c r="BC33" i="4"/>
  <c r="BB34" i="4"/>
  <c r="BB31" i="4"/>
  <c r="BD33" i="4" l="1"/>
  <c r="BC34" i="4"/>
  <c r="BC31" i="4"/>
  <c r="AZ36" i="4"/>
  <c r="AZ38" i="4"/>
  <c r="AY37" i="4"/>
  <c r="AY39" i="4" s="1"/>
  <c r="BA36" i="4" l="1"/>
  <c r="BA38" i="4"/>
  <c r="AZ37" i="4"/>
  <c r="AZ39" i="4" s="1"/>
  <c r="BE33" i="4"/>
  <c r="BD34" i="4"/>
  <c r="BA35" i="4" s="1"/>
  <c r="BB35" i="4" s="1"/>
  <c r="BC35" i="4" s="1"/>
  <c r="BD31" i="4"/>
  <c r="BF33" i="4" l="1"/>
  <c r="BE34" i="4"/>
  <c r="BE31" i="4"/>
  <c r="BB36" i="4"/>
  <c r="BB38" i="4"/>
  <c r="BA37" i="4"/>
  <c r="BA39" i="4" s="1"/>
  <c r="BC36" i="4" l="1"/>
  <c r="BC38" i="4"/>
  <c r="BB37" i="4"/>
  <c r="BB39" i="4" s="1"/>
  <c r="BG33" i="4"/>
  <c r="BF34" i="4"/>
  <c r="BF31" i="4"/>
  <c r="BH33" i="4" l="1"/>
  <c r="BG34" i="4"/>
  <c r="BD35" i="4" s="1"/>
  <c r="BE35" i="4" s="1"/>
  <c r="BF35" i="4" s="1"/>
  <c r="BG31" i="4"/>
  <c r="BD36" i="4"/>
  <c r="BD38" i="4"/>
  <c r="BC37" i="4"/>
  <c r="BC39" i="4" s="1"/>
  <c r="BE36" i="4" l="1"/>
  <c r="BE38" i="4"/>
  <c r="BD37" i="4"/>
  <c r="BD39" i="4" s="1"/>
  <c r="BI33" i="4"/>
  <c r="BH34" i="4"/>
  <c r="BH31" i="4"/>
  <c r="BJ33" i="4" l="1"/>
  <c r="BI34" i="4"/>
  <c r="BI31" i="4"/>
  <c r="BF36" i="4"/>
  <c r="BE37" i="4"/>
  <c r="BE39" i="4" s="1"/>
  <c r="BF38" i="4"/>
  <c r="BG36" i="4" l="1"/>
  <c r="BF37" i="4"/>
  <c r="BF39" i="4" s="1"/>
  <c r="BG38" i="4"/>
  <c r="BK33" i="4"/>
  <c r="BJ34" i="4"/>
  <c r="BG35" i="4" s="1"/>
  <c r="BH35" i="4" s="1"/>
  <c r="BI35" i="4" s="1"/>
  <c r="BJ31" i="4"/>
  <c r="BH36" i="4" l="1"/>
  <c r="BG37" i="4"/>
  <c r="BG39" i="4" s="1"/>
  <c r="BH38" i="4"/>
  <c r="BL33" i="4"/>
  <c r="BK34" i="4"/>
  <c r="BK31" i="4"/>
  <c r="BM33" i="4" l="1"/>
  <c r="BL34" i="4"/>
  <c r="BL31" i="4"/>
  <c r="BI36" i="4"/>
  <c r="BH37" i="4"/>
  <c r="BH39" i="4" s="1"/>
  <c r="BI38" i="4"/>
  <c r="BJ36" i="4" l="1"/>
  <c r="BI37" i="4"/>
  <c r="BI39" i="4" s="1"/>
  <c r="BJ38" i="4"/>
  <c r="BN33" i="4"/>
  <c r="BM34" i="4"/>
  <c r="BJ35" i="4" s="1"/>
  <c r="BK35" i="4" s="1"/>
  <c r="BL35" i="4" s="1"/>
  <c r="BM31" i="4"/>
  <c r="BO33" i="4" l="1"/>
  <c r="BN31" i="4"/>
  <c r="BN34" i="4"/>
  <c r="BK36" i="4"/>
  <c r="BJ37" i="4"/>
  <c r="BJ39" i="4" s="1"/>
  <c r="BK38" i="4"/>
  <c r="BL36" i="4" l="1"/>
  <c r="BK37" i="4"/>
  <c r="BK39" i="4" s="1"/>
  <c r="BL38" i="4"/>
  <c r="BP33" i="4"/>
  <c r="BO31" i="4"/>
  <c r="BO34" i="4"/>
  <c r="BP31" i="4" l="1"/>
  <c r="BP34" i="4"/>
  <c r="BM35" i="4" s="1"/>
  <c r="BN35" i="4" s="1"/>
  <c r="BO35" i="4" s="1"/>
  <c r="BM36" i="4"/>
  <c r="BL37" i="4"/>
  <c r="BL39" i="4" s="1"/>
  <c r="BM38" i="4"/>
  <c r="BN36" i="4" l="1"/>
  <c r="BM37" i="4"/>
  <c r="BM39" i="4" s="1"/>
  <c r="BN38" i="4"/>
  <c r="BP35" i="4"/>
  <c r="BO36" i="4" l="1"/>
  <c r="BO38" i="4"/>
  <c r="BN37" i="4"/>
  <c r="BN39" i="4" s="1"/>
  <c r="BP36" i="4" l="1"/>
  <c r="BP37" i="4" s="1"/>
  <c r="BP38" i="4"/>
  <c r="BO37" i="4"/>
  <c r="BO39" i="4" s="1"/>
  <c r="BP39" i="4" l="1"/>
  <c r="C18" i="3" l="1"/>
  <c r="B18" i="3"/>
  <c r="C17" i="3"/>
  <c r="B17" i="3"/>
  <c r="C16" i="3"/>
  <c r="B16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K27" i="1" l="1"/>
  <c r="K28" i="1"/>
  <c r="D43" i="1"/>
  <c r="D42" i="1"/>
  <c r="D41" i="1"/>
  <c r="D38" i="1"/>
  <c r="D37" i="1"/>
  <c r="D36" i="1"/>
  <c r="D35" i="1"/>
  <c r="D34" i="1"/>
  <c r="D32" i="1"/>
  <c r="D31" i="1"/>
  <c r="L18" i="1"/>
  <c r="J18" i="1"/>
  <c r="O10" i="1"/>
  <c r="P10" i="1" s="1"/>
  <c r="P9" i="1"/>
  <c r="O9" i="1" s="1"/>
  <c r="O8" i="1"/>
  <c r="P8" i="1" s="1"/>
  <c r="P5" i="1" s="1"/>
  <c r="O5" i="1"/>
  <c r="N5" i="1"/>
  <c r="D16" i="1"/>
  <c r="D15" i="1"/>
</calcChain>
</file>

<file path=xl/sharedStrings.xml><?xml version="1.0" encoding="utf-8"?>
<sst xmlns="http://schemas.openxmlformats.org/spreadsheetml/2006/main" count="261" uniqueCount="179">
  <si>
    <t>Input Data</t>
    <phoneticPr fontId="3" type="noConversion"/>
  </si>
  <si>
    <t>구분</t>
  </si>
  <si>
    <t>구분</t>
    <phoneticPr fontId="3" type="noConversion"/>
  </si>
  <si>
    <t>내용</t>
    <phoneticPr fontId="3" type="noConversion"/>
  </si>
  <si>
    <t>평가대상회사</t>
    <phoneticPr fontId="6" type="noConversion"/>
  </si>
  <si>
    <t>블루포인트파트너스</t>
    <phoneticPr fontId="6" type="noConversion"/>
  </si>
  <si>
    <t>평가기준일</t>
    <phoneticPr fontId="6" type="noConversion"/>
  </si>
  <si>
    <t>평가종류</t>
    <phoneticPr fontId="6" type="noConversion"/>
  </si>
  <si>
    <t>RCPS</t>
    <phoneticPr fontId="6" type="noConversion"/>
  </si>
  <si>
    <t>발행일</t>
    <phoneticPr fontId="6" type="noConversion"/>
  </si>
  <si>
    <t>만기일</t>
    <phoneticPr fontId="6" type="noConversion"/>
  </si>
  <si>
    <t>발행금액</t>
    <phoneticPr fontId="6" type="noConversion"/>
  </si>
  <si>
    <t>배당률</t>
    <phoneticPr fontId="6" type="noConversion"/>
  </si>
  <si>
    <t>전환가격</t>
    <phoneticPr fontId="6" type="noConversion"/>
  </si>
  <si>
    <t>전환비율</t>
    <phoneticPr fontId="6" type="noConversion"/>
  </si>
  <si>
    <t>전환가능시점</t>
    <phoneticPr fontId="6" type="noConversion"/>
  </si>
  <si>
    <t>상환가능시점</t>
    <phoneticPr fontId="6" type="noConversion"/>
  </si>
  <si>
    <t>상환가액</t>
    <phoneticPr fontId="6" type="noConversion"/>
  </si>
  <si>
    <t>계약서</t>
    <phoneticPr fontId="3" type="noConversion"/>
  </si>
  <si>
    <t>파라미터</t>
    <phoneticPr fontId="3" type="noConversion"/>
  </si>
  <si>
    <t>주가</t>
    <phoneticPr fontId="6" type="noConversion"/>
  </si>
  <si>
    <t>전환가격</t>
    <phoneticPr fontId="6" type="noConversion"/>
  </si>
  <si>
    <t>주당발행금액</t>
    <phoneticPr fontId="6" type="noConversion"/>
  </si>
  <si>
    <t>무위험수익률</t>
    <phoneticPr fontId="6" type="noConversion"/>
  </si>
  <si>
    <t>할인율</t>
    <phoneticPr fontId="6" type="noConversion"/>
  </si>
  <si>
    <t>Result</t>
    <phoneticPr fontId="3" type="noConversion"/>
  </si>
  <si>
    <t>옵션가치 배분</t>
    <phoneticPr fontId="3" type="noConversion"/>
  </si>
  <si>
    <t>옵션가치배분방식</t>
    <phoneticPr fontId="3" type="noConversion"/>
  </si>
  <si>
    <t>RCPS 가치</t>
    <phoneticPr fontId="3" type="noConversion"/>
  </si>
  <si>
    <t>Case</t>
    <phoneticPr fontId="3" type="noConversion"/>
  </si>
  <si>
    <t>조기상환권 제거</t>
    <phoneticPr fontId="3" type="noConversion"/>
  </si>
  <si>
    <t>전환권 제거</t>
    <phoneticPr fontId="3" type="noConversion"/>
  </si>
  <si>
    <t>단순배분</t>
    <phoneticPr fontId="3" type="noConversion"/>
  </si>
  <si>
    <t>제거대상</t>
    <phoneticPr fontId="3" type="noConversion"/>
  </si>
  <si>
    <t>조기상환권</t>
    <phoneticPr fontId="3" type="noConversion"/>
  </si>
  <si>
    <t>전환권</t>
    <phoneticPr fontId="3" type="noConversion"/>
  </si>
  <si>
    <t>없음</t>
    <phoneticPr fontId="3" type="noConversion"/>
  </si>
  <si>
    <t>[당초 RCPS - 조기상환권 제거 RCPS] 를 조기상환권에 배분, 나머지를 전환권으로 배분</t>
    <phoneticPr fontId="3" type="noConversion"/>
  </si>
  <si>
    <t>[당초 RCPS - 전환권 제거 RCPS] 를 전환권에 배분, 나머지를 조기상환권으로 배분</t>
    <phoneticPr fontId="3" type="noConversion"/>
  </si>
  <si>
    <t>조기상환권을 반영한 현금흐름의 현재가치와 주계약사채 가치 차액을 조기상환권으로 배분</t>
    <phoneticPr fontId="3" type="noConversion"/>
  </si>
  <si>
    <t>주계약(우선주부채)가치</t>
    <phoneticPr fontId="3" type="noConversion"/>
  </si>
  <si>
    <t>조기상환권 가치</t>
    <phoneticPr fontId="3" type="noConversion"/>
  </si>
  <si>
    <t>전환권가치</t>
    <phoneticPr fontId="3" type="noConversion"/>
  </si>
  <si>
    <t>채권가치(조기상환권보유)</t>
  </si>
  <si>
    <t>조기상환권 제거한 RCPS 가치(만기상환)</t>
  </si>
  <si>
    <t>전환권 제거한 RCPS 가치</t>
  </si>
  <si>
    <t>8.RCPS가치 시트에서 가져와야함</t>
    <phoneticPr fontId="3" type="noConversion"/>
  </si>
  <si>
    <t>1) 주가이항과정</t>
    <phoneticPr fontId="3" type="noConversion"/>
  </si>
  <si>
    <t>공통자료</t>
    <phoneticPr fontId="3" type="noConversion"/>
  </si>
  <si>
    <t>변동성</t>
  </si>
  <si>
    <t>보장이자율</t>
  </si>
  <si>
    <t>표면이자율</t>
  </si>
  <si>
    <t>발행가격</t>
  </si>
  <si>
    <t>리픽싱가격</t>
  </si>
  <si>
    <t>발행일</t>
  </si>
  <si>
    <t>전환가능기간</t>
  </si>
  <si>
    <t>상환가능기간</t>
  </si>
  <si>
    <t>전환가격</t>
  </si>
  <si>
    <t>비고</t>
    <phoneticPr fontId="3" type="noConversion"/>
  </si>
  <si>
    <t>변동성</t>
    <phoneticPr fontId="3" type="noConversion"/>
  </si>
  <si>
    <t>유사기업 변동성</t>
    <phoneticPr fontId="6" type="noConversion"/>
  </si>
  <si>
    <t>산업 변동성</t>
    <phoneticPr fontId="6" type="noConversion"/>
  </si>
  <si>
    <t>적용</t>
    <phoneticPr fontId="3" type="noConversion"/>
  </si>
  <si>
    <t>수치</t>
    <phoneticPr fontId="3" type="noConversion"/>
  </si>
  <si>
    <t>보통주식수</t>
    <phoneticPr fontId="3" type="noConversion"/>
  </si>
  <si>
    <t>RCPS 주식수</t>
    <phoneticPr fontId="3" type="noConversion"/>
  </si>
  <si>
    <t>노드간격</t>
    <phoneticPr fontId="3" type="noConversion"/>
  </si>
  <si>
    <t>d</t>
    <phoneticPr fontId="3" type="noConversion"/>
  </si>
  <si>
    <t>u</t>
    <phoneticPr fontId="3" type="noConversion"/>
  </si>
  <si>
    <t>희석 전 주가</t>
    <phoneticPr fontId="3" type="noConversion"/>
  </si>
  <si>
    <t>RCPS 부채가치</t>
    <phoneticPr fontId="3" type="noConversion"/>
  </si>
  <si>
    <t>Equity Value</t>
    <phoneticPr fontId="3" type="noConversion"/>
  </si>
  <si>
    <t>평가기준일 채권가치</t>
    <phoneticPr fontId="3" type="noConversion"/>
  </si>
  <si>
    <t>가격</t>
    <phoneticPr fontId="3" type="noConversion"/>
  </si>
  <si>
    <t>희석 후 주가</t>
    <phoneticPr fontId="3" type="noConversion"/>
  </si>
  <si>
    <t>8. RCPS가치 시트에서 가져와야 함</t>
    <phoneticPr fontId="3" type="noConversion"/>
  </si>
  <si>
    <t>평가기준일</t>
    <phoneticPr fontId="3" type="noConversion"/>
  </si>
  <si>
    <t>기간 Index</t>
    <phoneticPr fontId="3" type="noConversion"/>
  </si>
  <si>
    <t>Date</t>
    <phoneticPr fontId="3" type="noConversion"/>
  </si>
  <si>
    <t>Rf</t>
  </si>
  <si>
    <t>Kd</t>
  </si>
  <si>
    <t>상환가능액</t>
  </si>
  <si>
    <t>배당금</t>
  </si>
  <si>
    <t>채권가치</t>
  </si>
  <si>
    <t>전환가능여부</t>
  </si>
  <si>
    <t>상환가능여부</t>
  </si>
  <si>
    <t>p</t>
  </si>
  <si>
    <t>q</t>
  </si>
  <si>
    <t>액면가</t>
    <phoneticPr fontId="3" type="noConversion"/>
  </si>
  <si>
    <t>Rf</t>
    <phoneticPr fontId="3" type="noConversion"/>
  </si>
  <si>
    <t>Index</t>
    <phoneticPr fontId="3" type="noConversion"/>
  </si>
  <si>
    <t>Year</t>
    <phoneticPr fontId="3" type="noConversion"/>
  </si>
  <si>
    <t>YTM</t>
    <phoneticPr fontId="3" type="noConversion"/>
  </si>
  <si>
    <t>Diff</t>
    <phoneticPr fontId="3" type="noConversion"/>
  </si>
  <si>
    <t>신용등급</t>
  </si>
  <si>
    <t>3M</t>
  </si>
  <si>
    <t>6M</t>
  </si>
  <si>
    <t>9M</t>
  </si>
  <si>
    <t>1Y</t>
  </si>
  <si>
    <t>3Y</t>
  </si>
  <si>
    <t>5Y</t>
  </si>
  <si>
    <t>10Y</t>
  </si>
  <si>
    <t>20Y</t>
  </si>
  <si>
    <t>국채</t>
  </si>
  <si>
    <t>국고채권</t>
  </si>
  <si>
    <t>양곡, 외평, 재정</t>
  </si>
  <si>
    <t>국민주택2종</t>
  </si>
  <si>
    <t>국민주택1종</t>
  </si>
  <si>
    <t>국민주택1종 및 기타국채</t>
  </si>
  <si>
    <t>지방채</t>
  </si>
  <si>
    <t>서울도시철도</t>
  </si>
  <si>
    <t>서울도시철도채권</t>
  </si>
  <si>
    <t>지역개발</t>
  </si>
  <si>
    <t>지역개발채권 및 기타지방채</t>
  </si>
  <si>
    <t>특수채</t>
  </si>
  <si>
    <t>공사채 공단채</t>
  </si>
  <si>
    <t>특수채 AAA</t>
  </si>
  <si>
    <t>특수채 AA+</t>
  </si>
  <si>
    <t>특수채 AA0</t>
  </si>
  <si>
    <t>특수채 AA-</t>
  </si>
  <si>
    <t>예금보험</t>
  </si>
  <si>
    <t>예금보험채</t>
  </si>
  <si>
    <t>MBS</t>
  </si>
  <si>
    <t>통안증권</t>
  </si>
  <si>
    <t>-</t>
  </si>
  <si>
    <t>금융채</t>
  </si>
  <si>
    <t>은행채</t>
  </si>
  <si>
    <t>산금채 AAA</t>
  </si>
  <si>
    <t>중금채 AAA</t>
  </si>
  <si>
    <t>은행채 AAA</t>
  </si>
  <si>
    <t>은행채 AA+</t>
  </si>
  <si>
    <t>은행채 AA0</t>
  </si>
  <si>
    <t>은행채 AA-</t>
  </si>
  <si>
    <t>은행채 A+</t>
  </si>
  <si>
    <t>은행채 A0</t>
  </si>
  <si>
    <t>은행채 A-</t>
  </si>
  <si>
    <t>기타금융채</t>
  </si>
  <si>
    <t>기타 금융채 AA+</t>
  </si>
  <si>
    <t>기타 금융채 AA0</t>
  </si>
  <si>
    <t>기타 금융채 AA-</t>
  </si>
  <si>
    <t>기타 금융채 A+</t>
  </si>
  <si>
    <t>기타 금융채 A0</t>
  </si>
  <si>
    <t>기타 금융채 A-</t>
  </si>
  <si>
    <t>기타 금융채 BBB+</t>
  </si>
  <si>
    <t>기타 금융채 BBB0</t>
  </si>
  <si>
    <t>기타 금융채 BBB-</t>
  </si>
  <si>
    <t>회사채</t>
  </si>
  <si>
    <t>공모무보증</t>
  </si>
  <si>
    <t>무보증 공모 회사채 AAA</t>
  </si>
  <si>
    <t>무보증 공모 회사채 AA+</t>
  </si>
  <si>
    <t>무보증 공모 회사채 AA0</t>
  </si>
  <si>
    <t>무보증 공모 회사채 AA-</t>
  </si>
  <si>
    <t>무보증 공모 회사채 A+</t>
  </si>
  <si>
    <t>무보증 공모 회사채 A0</t>
  </si>
  <si>
    <t>무보증 공모 회사채 A-</t>
  </si>
  <si>
    <t>무보증 공모 회사채 BBB+</t>
  </si>
  <si>
    <t>무보증 공모 회사채 BBB0</t>
  </si>
  <si>
    <t>무보증 공모 회사채 BBB-</t>
  </si>
  <si>
    <t>Kd</t>
    <phoneticPr fontId="3" type="noConversion"/>
  </si>
  <si>
    <t>연간 보간</t>
    <phoneticPr fontId="3" type="noConversion"/>
  </si>
  <si>
    <t>분기 보간</t>
    <phoneticPr fontId="3" type="noConversion"/>
  </si>
  <si>
    <t>보간이 필요한 연도</t>
    <phoneticPr fontId="3" type="noConversion"/>
  </si>
  <si>
    <t>Spot</t>
    <phoneticPr fontId="3" type="noConversion"/>
  </si>
  <si>
    <t>만기원리금</t>
    <phoneticPr fontId="3" type="noConversion"/>
  </si>
  <si>
    <t>이자현가</t>
    <phoneticPr fontId="3" type="noConversion"/>
  </si>
  <si>
    <t>만기원리금 현가</t>
    <phoneticPr fontId="3" type="noConversion"/>
  </si>
  <si>
    <t>PV factor(Spot)</t>
    <phoneticPr fontId="3" type="noConversion"/>
  </si>
  <si>
    <t>연간 Bootstrapping</t>
    <phoneticPr fontId="3" type="noConversion"/>
  </si>
  <si>
    <t>분기 Bootstrapping</t>
    <phoneticPr fontId="3" type="noConversion"/>
  </si>
  <si>
    <t>보간이 필요한 분기</t>
    <phoneticPr fontId="3" type="noConversion"/>
  </si>
  <si>
    <t>dt</t>
    <phoneticPr fontId="3" type="noConversion"/>
  </si>
  <si>
    <t>월 보간</t>
    <phoneticPr fontId="3" type="noConversion"/>
  </si>
  <si>
    <t>Mod Index</t>
    <phoneticPr fontId="3" type="noConversion"/>
  </si>
  <si>
    <t>분기 인덱스</t>
    <phoneticPr fontId="3" type="noConversion"/>
  </si>
  <si>
    <t>Forward Rate</t>
    <phoneticPr fontId="3" type="noConversion"/>
  </si>
  <si>
    <t>분자</t>
    <phoneticPr fontId="3" type="noConversion"/>
  </si>
  <si>
    <t>분모</t>
    <phoneticPr fontId="3" type="noConversion"/>
  </si>
  <si>
    <t>선도이자율</t>
    <phoneticPr fontId="3" type="noConversion"/>
  </si>
  <si>
    <t>yearfrac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</si>
</sst>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#,##0;[Red]_)\(#,##0\);\-_)"/>
    <numFmt numFmtId="178" formatCode="#,##0.0;[Red]_)\(#,##0.0\);\-_)"/>
    <numFmt numFmtId="179" formatCode="#,##0.00;[Red]_)\(#,##0.00\);\-_)"/>
    <numFmt numFmtId="181" formatCode="#,##0.000;[Red]_)\(#,##0.000\);\-_)"/>
    <numFmt numFmtId="185" formatCode="0.0000%"/>
    <numFmt numFmtId="189" formatCode="#,##0.0000;[Red]_)\(#,##0.0000\);\-_)"/>
  </numFmts>
  <fonts count="19"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9"/>
      <color theme="0"/>
      <name val="맑은 고딕"/>
      <family val="2"/>
      <charset val="129"/>
    </font>
    <font>
      <sz val="8"/>
      <name val="맑은 고딕"/>
      <family val="2"/>
      <charset val="129"/>
    </font>
    <font>
      <b/>
      <sz val="9"/>
      <color theme="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i/>
      <sz val="9"/>
      <color theme="0" tint="-0.499984740745262"/>
      <name val="맑은 고딕"/>
      <family val="3"/>
      <charset val="129"/>
    </font>
    <font>
      <i/>
      <sz val="9"/>
      <color theme="1"/>
      <name val="맑은 고딕"/>
      <family val="3"/>
      <charset val="129"/>
    </font>
    <font>
      <sz val="9"/>
      <color theme="0" tint="-0.499984740745262"/>
      <name val="맑은 고딕"/>
      <family val="2"/>
      <charset val="129"/>
    </font>
    <font>
      <sz val="9"/>
      <color theme="0" tint="-0.499984740745262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103">
    <xf numFmtId="0" fontId="0" fillId="0" borderId="0" xfId="0">
      <alignment vertical="center"/>
    </xf>
    <xf numFmtId="0" fontId="0" fillId="0" borderId="1" xfId="0" applyFont="1" applyBorder="1">
      <alignment vertical="center"/>
    </xf>
    <xf numFmtId="179" fontId="0" fillId="0" borderId="0" xfId="0" applyNumberFormat="1" applyFont="1">
      <alignment vertical="center"/>
    </xf>
    <xf numFmtId="176" fontId="0" fillId="0" borderId="8" xfId="0" applyNumberFormat="1" applyFont="1" applyBorder="1">
      <alignment vertical="center"/>
    </xf>
    <xf numFmtId="179" fontId="0" fillId="0" borderId="8" xfId="0" applyNumberFormat="1" applyFont="1" applyBorder="1">
      <alignment vertical="center"/>
    </xf>
    <xf numFmtId="0" fontId="0" fillId="0" borderId="0" xfId="0" applyFont="1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176" fontId="9" fillId="2" borderId="0" xfId="0" applyNumberFormat="1" applyFont="1" applyFill="1">
      <alignment vertical="center"/>
    </xf>
    <xf numFmtId="176" fontId="10" fillId="2" borderId="0" xfId="0" applyNumberFormat="1" applyFont="1" applyFill="1">
      <alignment vertical="center"/>
    </xf>
    <xf numFmtId="176" fontId="11" fillId="0" borderId="0" xfId="0" applyNumberFormat="1" applyFont="1">
      <alignment vertical="center"/>
    </xf>
    <xf numFmtId="176" fontId="9" fillId="3" borderId="0" xfId="0" applyNumberFormat="1" applyFont="1" applyFill="1">
      <alignment vertical="center"/>
    </xf>
    <xf numFmtId="176" fontId="9" fillId="3" borderId="4" xfId="0" applyNumberFormat="1" applyFont="1" applyFill="1" applyBorder="1">
      <alignment vertical="center"/>
    </xf>
    <xf numFmtId="176" fontId="9" fillId="3" borderId="5" xfId="0" applyNumberFormat="1" applyFont="1" applyFill="1" applyBorder="1">
      <alignment vertical="center"/>
    </xf>
    <xf numFmtId="176" fontId="9" fillId="3" borderId="4" xfId="0" applyNumberFormat="1" applyFont="1" applyFill="1" applyBorder="1" applyAlignment="1">
      <alignment horizontal="center" vertical="center"/>
    </xf>
    <xf numFmtId="176" fontId="9" fillId="3" borderId="5" xfId="0" applyNumberFormat="1" applyFont="1" applyFill="1" applyBorder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176" fontId="11" fillId="0" borderId="2" xfId="0" applyNumberFormat="1" applyFont="1" applyBorder="1">
      <alignment vertical="center"/>
    </xf>
    <xf numFmtId="176" fontId="12" fillId="4" borderId="3" xfId="0" applyNumberFormat="1" applyFont="1" applyFill="1" applyBorder="1" applyAlignment="1">
      <alignment horizontal="center" vertical="center"/>
    </xf>
    <xf numFmtId="176" fontId="11" fillId="0" borderId="2" xfId="0" applyNumberFormat="1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11" fillId="0" borderId="3" xfId="0" applyNumberFormat="1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1" fillId="0" borderId="8" xfId="0" applyNumberFormat="1" applyFont="1" applyBorder="1" applyAlignment="1">
      <alignment horizontal="center" vertical="center"/>
    </xf>
    <xf numFmtId="176" fontId="11" fillId="0" borderId="8" xfId="0" applyNumberFormat="1" applyFont="1" applyBorder="1">
      <alignment vertical="center"/>
    </xf>
    <xf numFmtId="179" fontId="11" fillId="0" borderId="8" xfId="0" applyNumberFormat="1" applyFont="1" applyBorder="1">
      <alignment vertical="center"/>
    </xf>
    <xf numFmtId="14" fontId="11" fillId="0" borderId="1" xfId="0" applyNumberFormat="1" applyFont="1" applyBorder="1">
      <alignment vertical="center"/>
    </xf>
    <xf numFmtId="176" fontId="11" fillId="0" borderId="9" xfId="0" applyNumberFormat="1" applyFont="1" applyBorder="1" applyAlignment="1">
      <alignment horizontal="center" vertical="center"/>
    </xf>
    <xf numFmtId="176" fontId="11" fillId="0" borderId="9" xfId="0" applyNumberFormat="1" applyFont="1" applyBorder="1">
      <alignment vertical="center"/>
    </xf>
    <xf numFmtId="179" fontId="11" fillId="0" borderId="9" xfId="0" applyNumberFormat="1" applyFont="1" applyBorder="1">
      <alignment vertical="center"/>
    </xf>
    <xf numFmtId="41" fontId="11" fillId="0" borderId="1" xfId="1" applyFont="1" applyBorder="1">
      <alignment vertical="center"/>
    </xf>
    <xf numFmtId="9" fontId="11" fillId="0" borderId="1" xfId="0" applyNumberFormat="1" applyFont="1" applyBorder="1">
      <alignment vertical="center"/>
    </xf>
    <xf numFmtId="176" fontId="12" fillId="0" borderId="7" xfId="0" applyNumberFormat="1" applyFont="1" applyBorder="1">
      <alignment vertical="center"/>
    </xf>
    <xf numFmtId="179" fontId="11" fillId="0" borderId="7" xfId="0" applyNumberFormat="1" applyFont="1" applyBorder="1">
      <alignment vertical="center"/>
    </xf>
    <xf numFmtId="176" fontId="11" fillId="0" borderId="1" xfId="1" applyNumberFormat="1" applyFont="1" applyBorder="1">
      <alignment vertical="center"/>
    </xf>
    <xf numFmtId="176" fontId="12" fillId="0" borderId="8" xfId="0" applyNumberFormat="1" applyFont="1" applyBorder="1">
      <alignment vertical="center"/>
    </xf>
    <xf numFmtId="0" fontId="11" fillId="0" borderId="1" xfId="0" applyNumberFormat="1" applyFont="1" applyBorder="1">
      <alignment vertical="center"/>
    </xf>
    <xf numFmtId="176" fontId="12" fillId="0" borderId="9" xfId="0" applyNumberFormat="1" applyFont="1" applyBorder="1">
      <alignment vertical="center"/>
    </xf>
    <xf numFmtId="9" fontId="11" fillId="0" borderId="1" xfId="2" applyFont="1" applyBorder="1">
      <alignment vertical="center"/>
    </xf>
    <xf numFmtId="176" fontId="9" fillId="3" borderId="6" xfId="0" applyNumberFormat="1" applyFont="1" applyFill="1" applyBorder="1" applyAlignment="1">
      <alignment horizontal="center" vertical="center"/>
    </xf>
    <xf numFmtId="176" fontId="12" fillId="4" borderId="10" xfId="0" applyNumberFormat="1" applyFont="1" applyFill="1" applyBorder="1" applyAlignment="1">
      <alignment horizontal="center" vertical="center"/>
    </xf>
    <xf numFmtId="10" fontId="12" fillId="4" borderId="3" xfId="2" applyNumberFormat="1" applyFont="1" applyFill="1" applyBorder="1" applyAlignment="1">
      <alignment horizontal="center" vertical="center"/>
    </xf>
    <xf numFmtId="10" fontId="11" fillId="0" borderId="1" xfId="2" applyNumberFormat="1" applyFont="1" applyBorder="1">
      <alignment vertical="center"/>
    </xf>
    <xf numFmtId="176" fontId="11" fillId="0" borderId="1" xfId="0" applyNumberFormat="1" applyFont="1" applyBorder="1">
      <alignment vertical="center"/>
    </xf>
    <xf numFmtId="10" fontId="13" fillId="0" borderId="1" xfId="0" applyNumberFormat="1" applyFont="1" applyBorder="1">
      <alignment vertical="center"/>
    </xf>
    <xf numFmtId="14" fontId="11" fillId="0" borderId="1" xfId="1" applyNumberFormat="1" applyFont="1" applyBorder="1">
      <alignment vertical="center"/>
    </xf>
    <xf numFmtId="179" fontId="11" fillId="0" borderId="1" xfId="0" applyNumberFormat="1" applyFont="1" applyBorder="1">
      <alignment vertical="center"/>
    </xf>
    <xf numFmtId="181" fontId="11" fillId="0" borderId="1" xfId="0" applyNumberFormat="1" applyFont="1" applyBorder="1">
      <alignment vertical="center"/>
    </xf>
    <xf numFmtId="176" fontId="11" fillId="0" borderId="11" xfId="0" applyNumberFormat="1" applyFont="1" applyBorder="1">
      <alignment vertical="center"/>
    </xf>
    <xf numFmtId="176" fontId="11" fillId="0" borderId="12" xfId="0" applyNumberFormat="1" applyFont="1" applyBorder="1">
      <alignment vertical="center"/>
    </xf>
    <xf numFmtId="176" fontId="11" fillId="0" borderId="3" xfId="0" applyNumberFormat="1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14" fontId="14" fillId="4" borderId="1" xfId="0" applyNumberFormat="1" applyFont="1" applyFill="1" applyBorder="1">
      <alignment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Continuous" vertical="center"/>
    </xf>
    <xf numFmtId="49" fontId="12" fillId="0" borderId="13" xfId="3" applyNumberFormat="1" applyFont="1" applyBorder="1" applyAlignment="1">
      <alignment horizontal="center" vertical="center" wrapText="1"/>
    </xf>
    <xf numFmtId="49" fontId="12" fillId="0" borderId="14" xfId="3" applyNumberFormat="1" applyFont="1" applyBorder="1" applyAlignment="1">
      <alignment horizontal="center" vertical="center" wrapText="1"/>
    </xf>
    <xf numFmtId="49" fontId="12" fillId="0" borderId="15" xfId="3" applyNumberFormat="1" applyFont="1" applyBorder="1" applyAlignment="1">
      <alignment horizontal="center" vertical="center" wrapText="1"/>
    </xf>
    <xf numFmtId="0" fontId="11" fillId="0" borderId="0" xfId="3" applyFont="1">
      <alignment vertical="center"/>
    </xf>
    <xf numFmtId="49" fontId="11" fillId="0" borderId="15" xfId="3" applyNumberFormat="1" applyFont="1" applyBorder="1" applyAlignment="1">
      <alignment vertical="center" wrapText="1"/>
    </xf>
    <xf numFmtId="0" fontId="11" fillId="0" borderId="15" xfId="3" applyNumberFormat="1" applyFont="1" applyBorder="1" applyAlignment="1">
      <alignment vertical="center" wrapText="1"/>
    </xf>
    <xf numFmtId="0" fontId="4" fillId="2" borderId="7" xfId="0" applyFont="1" applyFill="1" applyBorder="1" applyAlignment="1">
      <alignment horizontal="centerContinuous" vertical="center"/>
    </xf>
    <xf numFmtId="0" fontId="0" fillId="0" borderId="8" xfId="0" applyFont="1" applyBorder="1">
      <alignment vertical="center"/>
    </xf>
    <xf numFmtId="10" fontId="0" fillId="0" borderId="8" xfId="2" applyNumberFormat="1" applyFont="1" applyBorder="1">
      <alignment vertical="center"/>
    </xf>
    <xf numFmtId="0" fontId="0" fillId="0" borderId="9" xfId="0" applyFont="1" applyBorder="1">
      <alignment vertical="center"/>
    </xf>
    <xf numFmtId="10" fontId="0" fillId="0" borderId="9" xfId="2" applyNumberFormat="1" applyFont="1" applyBorder="1">
      <alignment vertical="center"/>
    </xf>
    <xf numFmtId="0" fontId="8" fillId="0" borderId="1" xfId="0" applyFont="1" applyBorder="1">
      <alignment vertical="center"/>
    </xf>
    <xf numFmtId="10" fontId="0" fillId="0" borderId="8" xfId="0" applyNumberFormat="1" applyFont="1" applyBorder="1">
      <alignment vertical="center"/>
    </xf>
    <xf numFmtId="185" fontId="0" fillId="0" borderId="9" xfId="2" applyNumberFormat="1" applyFont="1" applyBorder="1">
      <alignment vertical="center"/>
    </xf>
    <xf numFmtId="9" fontId="0" fillId="0" borderId="8" xfId="2" applyFont="1" applyBorder="1">
      <alignment vertical="center"/>
    </xf>
    <xf numFmtId="0" fontId="2" fillId="2" borderId="0" xfId="0" applyFont="1" applyFill="1" applyAlignment="1">
      <alignment horizontal="centerContinuous" vertical="center"/>
    </xf>
    <xf numFmtId="0" fontId="15" fillId="5" borderId="7" xfId="0" applyFont="1" applyFill="1" applyBorder="1">
      <alignment vertical="center"/>
    </xf>
    <xf numFmtId="176" fontId="15" fillId="5" borderId="7" xfId="0" applyNumberFormat="1" applyFont="1" applyFill="1" applyBorder="1" applyAlignment="1">
      <alignment horizontal="right" vertical="center"/>
    </xf>
    <xf numFmtId="0" fontId="16" fillId="0" borderId="0" xfId="0" applyFont="1">
      <alignment vertical="center"/>
    </xf>
    <xf numFmtId="0" fontId="2" fillId="2" borderId="7" xfId="0" applyFont="1" applyFill="1" applyBorder="1" applyAlignment="1">
      <alignment horizontal="centerContinuous" vertical="center"/>
    </xf>
    <xf numFmtId="0" fontId="15" fillId="5" borderId="8" xfId="0" applyFont="1" applyFill="1" applyBorder="1">
      <alignment vertical="center"/>
    </xf>
    <xf numFmtId="176" fontId="15" fillId="5" borderId="8" xfId="0" applyNumberFormat="1" applyFont="1" applyFill="1" applyBorder="1" applyAlignment="1">
      <alignment horizontal="right" vertical="center"/>
    </xf>
    <xf numFmtId="0" fontId="15" fillId="5" borderId="16" xfId="0" applyFont="1" applyFill="1" applyBorder="1">
      <alignment vertical="center"/>
    </xf>
    <xf numFmtId="176" fontId="15" fillId="5" borderId="17" xfId="0" applyNumberFormat="1" applyFont="1" applyFill="1" applyBorder="1" applyAlignment="1">
      <alignment horizontal="right" vertical="center"/>
    </xf>
    <xf numFmtId="0" fontId="0" fillId="0" borderId="18" xfId="0" applyFont="1" applyBorder="1">
      <alignment vertical="center"/>
    </xf>
    <xf numFmtId="179" fontId="0" fillId="0" borderId="19" xfId="0" applyNumberFormat="1" applyFont="1" applyBorder="1">
      <alignment vertical="center"/>
    </xf>
    <xf numFmtId="14" fontId="0" fillId="0" borderId="8" xfId="0" applyNumberFormat="1" applyFont="1" applyBorder="1">
      <alignment vertical="center"/>
    </xf>
    <xf numFmtId="14" fontId="0" fillId="0" borderId="19" xfId="0" applyNumberFormat="1" applyFont="1" applyBorder="1">
      <alignment vertical="center"/>
    </xf>
    <xf numFmtId="10" fontId="0" fillId="0" borderId="19" xfId="2" applyNumberFormat="1" applyFont="1" applyBorder="1">
      <alignment vertical="center"/>
    </xf>
    <xf numFmtId="10" fontId="0" fillId="0" borderId="19" xfId="0" applyNumberFormat="1" applyFont="1" applyBorder="1">
      <alignment vertical="center"/>
    </xf>
    <xf numFmtId="0" fontId="0" fillId="0" borderId="19" xfId="0" applyFont="1" applyBorder="1">
      <alignment vertical="center"/>
    </xf>
    <xf numFmtId="0" fontId="8" fillId="0" borderId="20" xfId="0" applyFont="1" applyBorder="1">
      <alignment vertical="center"/>
    </xf>
    <xf numFmtId="10" fontId="8" fillId="0" borderId="9" xfId="0" applyNumberFormat="1" applyFont="1" applyBorder="1">
      <alignment vertical="center"/>
    </xf>
    <xf numFmtId="10" fontId="8" fillId="0" borderId="9" xfId="2" applyNumberFormat="1" applyFont="1" applyBorder="1">
      <alignment vertical="center"/>
    </xf>
    <xf numFmtId="10" fontId="8" fillId="0" borderId="21" xfId="2" applyNumberFormat="1" applyFont="1" applyBorder="1">
      <alignment vertical="center"/>
    </xf>
    <xf numFmtId="0" fontId="8" fillId="0" borderId="7" xfId="0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center" vertical="center"/>
    </xf>
    <xf numFmtId="189" fontId="0" fillId="0" borderId="8" xfId="2" applyNumberFormat="1" applyFont="1" applyBorder="1">
      <alignment vertical="center"/>
    </xf>
    <xf numFmtId="189" fontId="0" fillId="0" borderId="9" xfId="0" applyNumberFormat="1" applyFont="1" applyBorder="1">
      <alignment vertical="center"/>
    </xf>
    <xf numFmtId="0" fontId="17" fillId="5" borderId="0" xfId="0" applyFont="1" applyFill="1">
      <alignment vertical="center"/>
    </xf>
    <xf numFmtId="178" fontId="18" fillId="5" borderId="0" xfId="0" applyNumberFormat="1" applyFont="1" applyFill="1" applyAlignment="1">
      <alignment horizontal="center" vertical="center"/>
    </xf>
    <xf numFmtId="176" fontId="18" fillId="5" borderId="0" xfId="0" applyNumberFormat="1" applyFont="1" applyFill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표준 2" xfId="3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1</xdr:row>
      <xdr:rowOff>57150</xdr:rowOff>
    </xdr:from>
    <xdr:to>
      <xdr:col>11</xdr:col>
      <xdr:colOff>498133</xdr:colOff>
      <xdr:row>26</xdr:row>
      <xdr:rowOff>70650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09550"/>
          <a:ext cx="6841783" cy="3823500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514351</xdr:colOff>
      <xdr:row>26</xdr:row>
      <xdr:rowOff>118873</xdr:rowOff>
    </xdr:from>
    <xdr:to>
      <xdr:col>10</xdr:col>
      <xdr:colOff>581587</xdr:colOff>
      <xdr:row>66</xdr:row>
      <xdr:rowOff>3825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1" y="4081273"/>
          <a:ext cx="6163236" cy="59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454961</xdr:colOff>
      <xdr:row>28</xdr:row>
      <xdr:rowOff>72929</xdr:rowOff>
    </xdr:from>
    <xdr:to>
      <xdr:col>21</xdr:col>
      <xdr:colOff>425628</xdr:colOff>
      <xdr:row>64</xdr:row>
      <xdr:rowOff>119862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60561" y="4340129"/>
          <a:ext cx="6066667" cy="55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583268</xdr:colOff>
      <xdr:row>2</xdr:row>
      <xdr:rowOff>81335</xdr:rowOff>
    </xdr:from>
    <xdr:to>
      <xdr:col>21</xdr:col>
      <xdr:colOff>325532</xdr:colOff>
      <xdr:row>27</xdr:row>
      <xdr:rowOff>56339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8868" y="386135"/>
          <a:ext cx="5838264" cy="3785004"/>
        </a:xfrm>
        <a:prstGeom prst="rect">
          <a:avLst/>
        </a:prstGeom>
      </xdr:spPr>
    </xdr:pic>
    <xdr:clientData/>
  </xdr:twoCellAnchor>
  <xdr:twoCellAnchor editAs="oneCell">
    <xdr:from>
      <xdr:col>1</xdr:col>
      <xdr:colOff>155203</xdr:colOff>
      <xdr:row>65</xdr:row>
      <xdr:rowOff>4572</xdr:rowOff>
    </xdr:from>
    <xdr:to>
      <xdr:col>11</xdr:col>
      <xdr:colOff>202060</xdr:colOff>
      <xdr:row>103</xdr:row>
      <xdr:rowOff>41943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4803" y="9910572"/>
          <a:ext cx="6142857" cy="58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</xdr:row>
      <xdr:rowOff>0</xdr:rowOff>
    </xdr:from>
    <xdr:to>
      <xdr:col>10</xdr:col>
      <xdr:colOff>277775</xdr:colOff>
      <xdr:row>65</xdr:row>
      <xdr:rowOff>163193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9715500"/>
          <a:ext cx="7459625" cy="340169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18</xdr:row>
      <xdr:rowOff>142875</xdr:rowOff>
    </xdr:from>
    <xdr:to>
      <xdr:col>22</xdr:col>
      <xdr:colOff>437161</xdr:colOff>
      <xdr:row>36</xdr:row>
      <xdr:rowOff>142532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3905250"/>
          <a:ext cx="7914286" cy="2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P43"/>
  <sheetViews>
    <sheetView showGridLines="0" workbookViewId="0">
      <selection activeCell="K20" sqref="K20"/>
    </sheetView>
  </sheetViews>
  <sheetFormatPr defaultRowHeight="15" customHeight="1"/>
  <cols>
    <col min="1" max="2" width="3.7109375" style="11" customWidth="1"/>
    <col min="3" max="3" width="35.5703125" style="11" bestFit="1" customWidth="1"/>
    <col min="4" max="4" width="28.140625" style="11" customWidth="1"/>
    <col min="5" max="8" width="9.140625" style="11"/>
    <col min="9" max="9" width="1.5703125" style="11" customWidth="1"/>
    <col min="10" max="10" width="35.5703125" style="11" customWidth="1"/>
    <col min="11" max="11" width="17.7109375" style="11" customWidth="1"/>
    <col min="12" max="12" width="23" style="11" customWidth="1"/>
    <col min="13" max="13" width="9.140625" style="11"/>
    <col min="14" max="14" width="25.28515625" style="11" customWidth="1"/>
    <col min="15" max="15" width="18.140625" style="11" customWidth="1"/>
    <col min="16" max="16" width="17.28515625" style="11" customWidth="1"/>
    <col min="17" max="16384" width="9.140625" style="11"/>
  </cols>
  <sheetData>
    <row r="2" spans="2:16" ht="15" customHeight="1">
      <c r="B2" s="9" t="s">
        <v>0</v>
      </c>
      <c r="C2" s="10"/>
      <c r="D2" s="10"/>
      <c r="E2" s="10"/>
      <c r="F2" s="10"/>
      <c r="G2" s="10"/>
      <c r="I2" s="9" t="s">
        <v>25</v>
      </c>
      <c r="J2" s="10"/>
      <c r="K2" s="10"/>
      <c r="L2" s="10"/>
      <c r="M2" s="10"/>
      <c r="N2" s="10"/>
      <c r="O2" s="10"/>
      <c r="P2" s="10"/>
    </row>
    <row r="4" spans="2:16" ht="15" customHeight="1">
      <c r="C4" s="12" t="s">
        <v>18</v>
      </c>
      <c r="D4" s="12"/>
      <c r="J4" s="13" t="s">
        <v>26</v>
      </c>
      <c r="K4" s="14"/>
      <c r="N4" s="15" t="s">
        <v>40</v>
      </c>
      <c r="O4" s="16" t="s">
        <v>41</v>
      </c>
      <c r="P4" s="17" t="s">
        <v>42</v>
      </c>
    </row>
    <row r="5" spans="2:16" ht="15" customHeight="1">
      <c r="C5" s="18" t="s">
        <v>2</v>
      </c>
      <c r="D5" s="18" t="s">
        <v>3</v>
      </c>
      <c r="J5" s="19" t="s">
        <v>27</v>
      </c>
      <c r="K5" s="20">
        <v>1</v>
      </c>
      <c r="N5" s="21">
        <f>CHOOSE($K$5,N8,N9,N10)</f>
        <v>5572.071206304001</v>
      </c>
      <c r="O5" s="22">
        <f t="shared" ref="O5:P5" si="0">CHOOSE($K$5,O8,O9,O10)</f>
        <v>3639.3230037511839</v>
      </c>
      <c r="P5" s="23">
        <f t="shared" si="0"/>
        <v>2309.6668503595356</v>
      </c>
    </row>
    <row r="6" spans="2:16" ht="15" customHeight="1">
      <c r="C6" s="24" t="s">
        <v>4</v>
      </c>
      <c r="D6" s="25" t="s">
        <v>5</v>
      </c>
    </row>
    <row r="7" spans="2:16" ht="15" customHeight="1">
      <c r="C7" s="24" t="s">
        <v>6</v>
      </c>
      <c r="D7" s="26">
        <v>45473</v>
      </c>
      <c r="J7" s="27" t="s">
        <v>29</v>
      </c>
      <c r="K7" s="27" t="s">
        <v>2</v>
      </c>
      <c r="L7" s="27" t="s">
        <v>33</v>
      </c>
      <c r="M7" s="27" t="s">
        <v>3</v>
      </c>
      <c r="N7" s="27" t="s">
        <v>40</v>
      </c>
      <c r="O7" s="27" t="s">
        <v>41</v>
      </c>
      <c r="P7" s="27" t="s">
        <v>42</v>
      </c>
    </row>
    <row r="8" spans="2:16" ht="15" customHeight="1">
      <c r="C8" s="24" t="s">
        <v>7</v>
      </c>
      <c r="D8" s="26" t="s">
        <v>8</v>
      </c>
      <c r="J8" s="28">
        <v>1</v>
      </c>
      <c r="K8" s="29" t="s">
        <v>30</v>
      </c>
      <c r="L8" s="29" t="s">
        <v>34</v>
      </c>
      <c r="M8" s="29" t="s">
        <v>37</v>
      </c>
      <c r="N8" s="30">
        <v>5572.071206304001</v>
      </c>
      <c r="O8" s="30">
        <f>K12-K14</f>
        <v>3639.3230037511839</v>
      </c>
      <c r="P8" s="30">
        <f>K12-N8-O8</f>
        <v>2309.6668503595356</v>
      </c>
    </row>
    <row r="9" spans="2:16" ht="15" customHeight="1">
      <c r="C9" s="24" t="s">
        <v>9</v>
      </c>
      <c r="D9" s="57">
        <v>43817</v>
      </c>
      <c r="J9" s="28">
        <v>2</v>
      </c>
      <c r="K9" s="29" t="s">
        <v>31</v>
      </c>
      <c r="L9" s="29" t="s">
        <v>35</v>
      </c>
      <c r="M9" s="29" t="s">
        <v>38</v>
      </c>
      <c r="N9" s="30">
        <v>5572.071206304001</v>
      </c>
      <c r="O9" s="30">
        <f>K12-N9-P9</f>
        <v>5846.0088296132581</v>
      </c>
      <c r="P9" s="30">
        <f>K12-K15</f>
        <v>102.98102449746148</v>
      </c>
    </row>
    <row r="10" spans="2:16" ht="15" customHeight="1">
      <c r="C10" s="24" t="s">
        <v>10</v>
      </c>
      <c r="D10" s="57">
        <v>47469</v>
      </c>
      <c r="J10" s="32">
        <v>3</v>
      </c>
      <c r="K10" s="33" t="s">
        <v>32</v>
      </c>
      <c r="L10" s="33" t="s">
        <v>36</v>
      </c>
      <c r="M10" s="33" t="s">
        <v>39</v>
      </c>
      <c r="N10" s="34">
        <v>5572.071206304001</v>
      </c>
      <c r="O10" s="34">
        <f>K13-N10</f>
        <v>5846.0088296132581</v>
      </c>
      <c r="P10" s="34">
        <f>K12-N10-O10</f>
        <v>102.98102449746148</v>
      </c>
    </row>
    <row r="11" spans="2:16" ht="15" customHeight="1">
      <c r="C11" s="24" t="s">
        <v>11</v>
      </c>
      <c r="D11" s="35">
        <v>1979964000</v>
      </c>
    </row>
    <row r="12" spans="2:16" ht="15" customHeight="1">
      <c r="C12" s="24" t="s">
        <v>12</v>
      </c>
      <c r="D12" s="36">
        <v>0.01</v>
      </c>
      <c r="J12" s="37" t="s">
        <v>28</v>
      </c>
      <c r="K12" s="38">
        <v>11521.06106041472</v>
      </c>
      <c r="L12" s="11" t="s">
        <v>46</v>
      </c>
    </row>
    <row r="13" spans="2:16" ht="15" customHeight="1">
      <c r="C13" s="24" t="s">
        <v>13</v>
      </c>
      <c r="D13" s="39">
        <v>8400</v>
      </c>
      <c r="J13" s="40" t="s">
        <v>43</v>
      </c>
      <c r="K13" s="30">
        <v>11418.080035917259</v>
      </c>
    </row>
    <row r="14" spans="2:16" ht="15" customHeight="1">
      <c r="C14" s="24" t="s">
        <v>14</v>
      </c>
      <c r="D14" s="41">
        <v>4.2361111111111106E-2</v>
      </c>
      <c r="J14" s="40" t="s">
        <v>44</v>
      </c>
      <c r="K14" s="30">
        <v>7881.7380566635366</v>
      </c>
    </row>
    <row r="15" spans="2:16" ht="15" customHeight="1">
      <c r="C15" s="24" t="s">
        <v>15</v>
      </c>
      <c r="D15" s="31">
        <f>D9+1</f>
        <v>43818</v>
      </c>
      <c r="J15" s="42" t="s">
        <v>45</v>
      </c>
      <c r="K15" s="34">
        <v>11418.080035917259</v>
      </c>
    </row>
    <row r="16" spans="2:16" ht="15" customHeight="1">
      <c r="C16" s="24" t="s">
        <v>16</v>
      </c>
      <c r="D16" s="31">
        <f>EOMONTH(D9,36)</f>
        <v>44926</v>
      </c>
    </row>
    <row r="17" spans="3:12" ht="15" customHeight="1">
      <c r="C17" s="24" t="s">
        <v>17</v>
      </c>
      <c r="D17" s="43">
        <v>7.0000000000000007E-2</v>
      </c>
      <c r="J17" s="13" t="s">
        <v>59</v>
      </c>
      <c r="K17" s="44" t="s">
        <v>62</v>
      </c>
      <c r="L17" s="16" t="s">
        <v>63</v>
      </c>
    </row>
    <row r="18" spans="3:12" ht="15" customHeight="1">
      <c r="J18" s="19" t="str">
        <f>CHOOSE($K$18,C25,C26)</f>
        <v>산업 변동성</v>
      </c>
      <c r="K18" s="45">
        <v>1</v>
      </c>
      <c r="L18" s="46">
        <f>CHOOSE($K$18,D25,D26)</f>
        <v>0.58799999999999997</v>
      </c>
    </row>
    <row r="19" spans="3:12" ht="15" customHeight="1">
      <c r="C19" s="12" t="s">
        <v>19</v>
      </c>
      <c r="D19" s="12"/>
    </row>
    <row r="20" spans="3:12" ht="15" customHeight="1">
      <c r="C20" s="24" t="s">
        <v>20</v>
      </c>
      <c r="D20" s="39">
        <v>6404</v>
      </c>
      <c r="J20" s="13" t="s">
        <v>73</v>
      </c>
      <c r="K20" s="16"/>
    </row>
    <row r="21" spans="3:12" ht="15" customHeight="1">
      <c r="C21" s="24" t="s">
        <v>21</v>
      </c>
      <c r="D21" s="39">
        <v>8400</v>
      </c>
      <c r="J21" s="53" t="s">
        <v>69</v>
      </c>
      <c r="K21" s="54">
        <v>6404</v>
      </c>
    </row>
    <row r="22" spans="3:12" ht="15" customHeight="1">
      <c r="C22" s="24" t="s">
        <v>22</v>
      </c>
      <c r="D22" s="39">
        <v>8400</v>
      </c>
      <c r="J22" s="53" t="s">
        <v>74</v>
      </c>
      <c r="K22" s="54"/>
    </row>
    <row r="23" spans="3:12" ht="15" customHeight="1">
      <c r="C23" s="24" t="s">
        <v>23</v>
      </c>
      <c r="D23" s="47">
        <v>3.2099999999999997E-2</v>
      </c>
      <c r="J23" s="19" t="s">
        <v>72</v>
      </c>
      <c r="K23" s="55">
        <v>11418.080035917259</v>
      </c>
      <c r="L23" s="11" t="s">
        <v>75</v>
      </c>
    </row>
    <row r="24" spans="3:12" ht="15" customHeight="1">
      <c r="C24" s="24" t="s">
        <v>24</v>
      </c>
      <c r="D24" s="47">
        <v>0.23549999999999999</v>
      </c>
    </row>
    <row r="25" spans="3:12" ht="15" customHeight="1">
      <c r="C25" s="24" t="s">
        <v>61</v>
      </c>
      <c r="D25" s="47">
        <v>0.58799999999999997</v>
      </c>
    </row>
    <row r="26" spans="3:12" ht="15" customHeight="1">
      <c r="C26" s="24" t="s">
        <v>60</v>
      </c>
      <c r="D26" s="47">
        <v>0.53399594368367009</v>
      </c>
    </row>
    <row r="27" spans="3:12" ht="15" customHeight="1">
      <c r="C27" s="48" t="s">
        <v>76</v>
      </c>
      <c r="D27" s="31">
        <v>45473</v>
      </c>
      <c r="J27" s="48" t="s">
        <v>70</v>
      </c>
      <c r="K27" s="48">
        <f>D29*K23</f>
        <v>13537960775.385658</v>
      </c>
    </row>
    <row r="28" spans="3:12" ht="15" customHeight="1">
      <c r="C28" s="48" t="s">
        <v>64</v>
      </c>
      <c r="D28" s="48">
        <v>10816770</v>
      </c>
      <c r="J28" s="48" t="s">
        <v>71</v>
      </c>
      <c r="K28" s="48">
        <f>K21*D28</f>
        <v>69270595080</v>
      </c>
    </row>
    <row r="29" spans="3:12" ht="15" customHeight="1">
      <c r="C29" s="48" t="s">
        <v>65</v>
      </c>
      <c r="D29" s="48">
        <v>1185660</v>
      </c>
    </row>
    <row r="31" spans="3:12" ht="15" customHeight="1">
      <c r="C31" s="48" t="s">
        <v>49</v>
      </c>
      <c r="D31" s="49">
        <f>L18</f>
        <v>0.58799999999999997</v>
      </c>
    </row>
    <row r="32" spans="3:12" ht="15" customHeight="1">
      <c r="C32" s="48" t="s">
        <v>50</v>
      </c>
      <c r="D32" s="36">
        <f>D17</f>
        <v>7.0000000000000007E-2</v>
      </c>
    </row>
    <row r="33" spans="3:4" ht="15" customHeight="1">
      <c r="C33" s="48" t="s">
        <v>51</v>
      </c>
      <c r="D33" s="36">
        <v>0</v>
      </c>
    </row>
    <row r="34" spans="3:4" ht="15" customHeight="1">
      <c r="C34" s="48" t="s">
        <v>52</v>
      </c>
      <c r="D34" s="39">
        <f>D13</f>
        <v>8400</v>
      </c>
    </row>
    <row r="35" spans="3:4" ht="15" customHeight="1">
      <c r="C35" s="48" t="s">
        <v>53</v>
      </c>
      <c r="D35" s="39">
        <f>D21</f>
        <v>8400</v>
      </c>
    </row>
    <row r="36" spans="3:4" ht="15" customHeight="1">
      <c r="C36" s="48" t="s">
        <v>54</v>
      </c>
      <c r="D36" s="50">
        <f>D9</f>
        <v>43817</v>
      </c>
    </row>
    <row r="37" spans="3:4" ht="15" customHeight="1">
      <c r="C37" s="48" t="s">
        <v>55</v>
      </c>
      <c r="D37" s="50">
        <f>D15</f>
        <v>43818</v>
      </c>
    </row>
    <row r="38" spans="3:4" ht="15" customHeight="1">
      <c r="C38" s="48" t="s">
        <v>56</v>
      </c>
      <c r="D38" s="50">
        <f>D16</f>
        <v>44926</v>
      </c>
    </row>
    <row r="39" spans="3:4" ht="15" customHeight="1">
      <c r="C39" s="48" t="s">
        <v>57</v>
      </c>
      <c r="D39" s="39">
        <v>8400</v>
      </c>
    </row>
    <row r="41" spans="3:4" ht="15" customHeight="1">
      <c r="C41" s="48" t="s">
        <v>66</v>
      </c>
      <c r="D41" s="51">
        <f>1/12</f>
        <v>8.3333333333333329E-2</v>
      </c>
    </row>
    <row r="42" spans="3:4" ht="15" customHeight="1">
      <c r="C42" s="48" t="s">
        <v>68</v>
      </c>
      <c r="D42" s="52">
        <f>EXP(L18*SQRT(D41))</f>
        <v>1.1849978723991768</v>
      </c>
    </row>
    <row r="43" spans="3:4" ht="15" customHeight="1">
      <c r="C43" s="48" t="s">
        <v>67</v>
      </c>
      <c r="D43" s="52">
        <f>1/D42</f>
        <v>0.84388337168519523</v>
      </c>
    </row>
  </sheetData>
  <phoneticPr fontId="3" type="noConversion"/>
  <conditionalFormatting sqref="J8:P8">
    <cfRule type="expression" dxfId="4" priority="5">
      <formula>$J$8=$K$5</formula>
    </cfRule>
  </conditionalFormatting>
  <conditionalFormatting sqref="J9:P9">
    <cfRule type="expression" dxfId="3" priority="4">
      <formula>$J$9=$K$5</formula>
    </cfRule>
  </conditionalFormatting>
  <conditionalFormatting sqref="J10:P10">
    <cfRule type="expression" dxfId="2" priority="3">
      <formula>$J$10=$K$5</formula>
    </cfRule>
  </conditionalFormatting>
  <conditionalFormatting sqref="C25:D25">
    <cfRule type="expression" dxfId="1" priority="2">
      <formula>$C$25=$J$18</formula>
    </cfRule>
  </conditionalFormatting>
  <conditionalFormatting sqref="C26:D26">
    <cfRule type="expression" dxfId="0" priority="1">
      <formula>$C$26=$J$18</formula>
    </cfRule>
  </conditionalFormatting>
  <dataValidations disablePrompts="1" count="2">
    <dataValidation type="list" allowBlank="1" showInputMessage="1" showErrorMessage="1" sqref="K5">
      <formula1>$J$8:$J$10</formula1>
    </dataValidation>
    <dataValidation type="list" allowBlank="1" showInputMessage="1" showErrorMessage="1" sqref="K18">
      <formula1>"1,2"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31" workbookViewId="0">
      <selection activeCell="W33" sqref="W33"/>
    </sheetView>
  </sheetViews>
  <sheetFormatPr defaultRowHeight="12"/>
  <sheetData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Q32"/>
  <sheetViews>
    <sheetView showGridLines="0" zoomScaleNormal="100" workbookViewId="0">
      <selection activeCell="B34" sqref="B34"/>
    </sheetView>
  </sheetViews>
  <sheetFormatPr defaultRowHeight="15" customHeight="1"/>
  <cols>
    <col min="1" max="1" width="3.7109375" style="5" customWidth="1"/>
    <col min="2" max="2" width="22.140625" style="5" customWidth="1"/>
    <col min="3" max="3" width="15.140625" style="5" customWidth="1"/>
    <col min="4" max="4" width="14.140625" style="5" customWidth="1"/>
    <col min="5" max="69" width="11.28515625" style="5" bestFit="1" customWidth="1"/>
    <col min="70" max="16384" width="9.140625" style="5"/>
  </cols>
  <sheetData>
    <row r="2" spans="2:16" s="6" customFormat="1" ht="15" customHeight="1">
      <c r="B2" s="7" t="s">
        <v>47</v>
      </c>
    </row>
    <row r="4" spans="2:16" ht="15" customHeight="1">
      <c r="B4" s="7" t="s">
        <v>48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2:16" ht="15" customHeight="1">
      <c r="B5" s="56" t="s">
        <v>2</v>
      </c>
      <c r="C5" s="56" t="s">
        <v>3</v>
      </c>
      <c r="D5" s="56" t="s">
        <v>58</v>
      </c>
    </row>
    <row r="6" spans="2:16" ht="15" customHeight="1">
      <c r="B6" s="48" t="str">
        <f>'A&amp;R'!C31</f>
        <v>변동성</v>
      </c>
      <c r="C6" s="49">
        <f>'A&amp;R'!D31</f>
        <v>0.58799999999999997</v>
      </c>
      <c r="D6" s="1"/>
    </row>
    <row r="7" spans="2:16" ht="15" customHeight="1">
      <c r="B7" s="48" t="str">
        <f>'A&amp;R'!C32</f>
        <v>보장이자율</v>
      </c>
      <c r="C7" s="36">
        <f>'A&amp;R'!D32</f>
        <v>7.0000000000000007E-2</v>
      </c>
      <c r="D7" s="1"/>
    </row>
    <row r="8" spans="2:16" ht="15" customHeight="1">
      <c r="B8" s="48" t="str">
        <f>'A&amp;R'!C33</f>
        <v>표면이자율</v>
      </c>
      <c r="C8" s="36">
        <f>'A&amp;R'!D33</f>
        <v>0</v>
      </c>
      <c r="D8" s="1"/>
    </row>
    <row r="9" spans="2:16" ht="15" customHeight="1">
      <c r="B9" s="48" t="str">
        <f>'A&amp;R'!C34</f>
        <v>발행가격</v>
      </c>
      <c r="C9" s="39">
        <f>'A&amp;R'!D34</f>
        <v>8400</v>
      </c>
      <c r="D9" s="1"/>
    </row>
    <row r="10" spans="2:16" ht="15" customHeight="1">
      <c r="B10" s="48" t="str">
        <f>'A&amp;R'!C35</f>
        <v>리픽싱가격</v>
      </c>
      <c r="C10" s="39">
        <f>'A&amp;R'!D35</f>
        <v>8400</v>
      </c>
      <c r="D10" s="1"/>
    </row>
    <row r="11" spans="2:16" ht="15" customHeight="1">
      <c r="B11" s="48" t="str">
        <f>'A&amp;R'!C36</f>
        <v>발행일</v>
      </c>
      <c r="C11" s="50">
        <f>'A&amp;R'!D36</f>
        <v>43817</v>
      </c>
      <c r="D11" s="1"/>
    </row>
    <row r="12" spans="2:16" ht="15" customHeight="1">
      <c r="B12" s="48" t="str">
        <f>'A&amp;R'!C37</f>
        <v>전환가능기간</v>
      </c>
      <c r="C12" s="50">
        <f>'A&amp;R'!D37</f>
        <v>43818</v>
      </c>
      <c r="D12" s="1"/>
    </row>
    <row r="13" spans="2:16" ht="15" customHeight="1">
      <c r="B13" s="48" t="str">
        <f>'A&amp;R'!C38</f>
        <v>상환가능기간</v>
      </c>
      <c r="C13" s="50">
        <f>'A&amp;R'!D38</f>
        <v>44926</v>
      </c>
      <c r="D13" s="1"/>
    </row>
    <row r="14" spans="2:16" ht="15" customHeight="1">
      <c r="B14" s="48" t="str">
        <f>'A&amp;R'!C39</f>
        <v>전환가격</v>
      </c>
      <c r="C14" s="39">
        <f>'A&amp;R'!D39</f>
        <v>8400</v>
      </c>
      <c r="D14" s="1"/>
    </row>
    <row r="16" spans="2:16" ht="15" customHeight="1">
      <c r="B16" s="48" t="str">
        <f>'A&amp;R'!C41</f>
        <v>노드간격</v>
      </c>
      <c r="C16" s="51">
        <f>'A&amp;R'!D41</f>
        <v>8.3333333333333329E-2</v>
      </c>
      <c r="D16" s="1"/>
    </row>
    <row r="17" spans="2:69" ht="15" customHeight="1">
      <c r="B17" s="48" t="str">
        <f>'A&amp;R'!C42</f>
        <v>u</v>
      </c>
      <c r="C17" s="52">
        <f>'A&amp;R'!D42</f>
        <v>1.1849978723991768</v>
      </c>
      <c r="D17" s="1"/>
    </row>
    <row r="18" spans="2:69" ht="15" customHeight="1">
      <c r="B18" s="48" t="str">
        <f>'A&amp;R'!C43</f>
        <v>d</v>
      </c>
      <c r="C18" s="52">
        <f>'A&amp;R'!D43</f>
        <v>0.84388337168519523</v>
      </c>
      <c r="D18" s="1"/>
    </row>
    <row r="21" spans="2:69" ht="15" customHeight="1">
      <c r="B21" s="100" t="s">
        <v>178</v>
      </c>
      <c r="C21" s="101">
        <f>YEARFRAC(start,C23,3)</f>
        <v>4.536986301369863</v>
      </c>
      <c r="D21" s="101">
        <f>YEARFRAC(start,D23,3)</f>
        <v>4.6219178082191785</v>
      </c>
      <c r="E21" s="101">
        <f>YEARFRAC(start,E23,3)</f>
        <v>4.7068493150684931</v>
      </c>
      <c r="F21" s="101">
        <f>YEARFRAC(start,F23,3)</f>
        <v>4.7890410958904113</v>
      </c>
      <c r="G21" s="101">
        <f>YEARFRAC(start,G23,3)</f>
        <v>4.8739726027397259</v>
      </c>
      <c r="H21" s="101">
        <f>YEARFRAC(start,H23,3)</f>
        <v>4.956164383561644</v>
      </c>
      <c r="I21" s="101">
        <f>YEARFRAC(start,I23,3)</f>
        <v>5.0410958904109586</v>
      </c>
      <c r="J21" s="101">
        <f>YEARFRAC(start,J23,3)</f>
        <v>5.1260273972602741</v>
      </c>
      <c r="K21" s="101">
        <f>YEARFRAC(start,K23,3)</f>
        <v>5.2027397260273975</v>
      </c>
      <c r="L21" s="101">
        <f>YEARFRAC(start,L23,3)</f>
        <v>5.2876712328767121</v>
      </c>
      <c r="M21" s="101">
        <f>YEARFRAC(start,M23,3)</f>
        <v>5.3698630136986303</v>
      </c>
      <c r="N21" s="101">
        <f>YEARFRAC(start,N23,3)</f>
        <v>5.4547945205479449</v>
      </c>
      <c r="O21" s="101">
        <f>YEARFRAC(start,O23,3)</f>
        <v>5.536986301369863</v>
      </c>
      <c r="P21" s="101">
        <f>YEARFRAC(start,P23,3)</f>
        <v>5.6219178082191785</v>
      </c>
      <c r="Q21" s="101">
        <f>YEARFRAC(start,Q23,3)</f>
        <v>5.7068493150684931</v>
      </c>
      <c r="R21" s="101">
        <f>YEARFRAC(start,R23,3)</f>
        <v>5.7890410958904113</v>
      </c>
      <c r="S21" s="101">
        <f>YEARFRAC(start,S23,3)</f>
        <v>5.8739726027397259</v>
      </c>
      <c r="T21" s="101">
        <f>YEARFRAC(start,T23,3)</f>
        <v>5.956164383561644</v>
      </c>
      <c r="U21" s="101">
        <f>YEARFRAC(start,U23,3)</f>
        <v>6.0410958904109586</v>
      </c>
      <c r="V21" s="101">
        <f>YEARFRAC(start,V23,3)</f>
        <v>6.1260273972602741</v>
      </c>
      <c r="W21" s="101">
        <f>YEARFRAC(start,W23,3)</f>
        <v>6.2027397260273975</v>
      </c>
      <c r="X21" s="101">
        <f>YEARFRAC(start,X23,3)</f>
        <v>6.2876712328767121</v>
      </c>
      <c r="Y21" s="101">
        <f>YEARFRAC(start,Y23,3)</f>
        <v>6.3698630136986303</v>
      </c>
      <c r="Z21" s="101">
        <f>YEARFRAC(start,Z23,3)</f>
        <v>6.4547945205479449</v>
      </c>
      <c r="AA21" s="101">
        <f>YEARFRAC(start,AA23,3)</f>
        <v>6.536986301369863</v>
      </c>
      <c r="AB21" s="101">
        <f>YEARFRAC(start,AB23,3)</f>
        <v>6.6219178082191785</v>
      </c>
      <c r="AC21" s="101">
        <f>YEARFRAC(start,AC23,3)</f>
        <v>6.7068493150684931</v>
      </c>
      <c r="AD21" s="101">
        <f>YEARFRAC(start,AD23,3)</f>
        <v>6.7890410958904113</v>
      </c>
      <c r="AE21" s="101">
        <f>YEARFRAC(start,AE23,3)</f>
        <v>6.8739726027397259</v>
      </c>
      <c r="AF21" s="101">
        <f>YEARFRAC(start,AF23,3)</f>
        <v>6.956164383561644</v>
      </c>
      <c r="AG21" s="101">
        <f>YEARFRAC(start,AG23,3)</f>
        <v>7.0410958904109586</v>
      </c>
      <c r="AH21" s="101">
        <f>YEARFRAC(start,AH23,3)</f>
        <v>7.1260273972602741</v>
      </c>
      <c r="AI21" s="101">
        <f>YEARFRAC(start,AI23,3)</f>
        <v>7.2027397260273975</v>
      </c>
      <c r="AJ21" s="101">
        <f>YEARFRAC(start,AJ23,3)</f>
        <v>7.2876712328767121</v>
      </c>
      <c r="AK21" s="101">
        <f>YEARFRAC(start,AK23,3)</f>
        <v>7.3698630136986303</v>
      </c>
      <c r="AL21" s="101">
        <f>YEARFRAC(start,AL23,3)</f>
        <v>7.4547945205479449</v>
      </c>
      <c r="AM21" s="101">
        <f>YEARFRAC(start,AM23,3)</f>
        <v>7.536986301369863</v>
      </c>
      <c r="AN21" s="101">
        <f>YEARFRAC(start,AN23,3)</f>
        <v>7.6219178082191785</v>
      </c>
      <c r="AO21" s="101">
        <f>YEARFRAC(start,AO23,3)</f>
        <v>7.7068493150684931</v>
      </c>
      <c r="AP21" s="101">
        <f>YEARFRAC(start,AP23,3)</f>
        <v>7.7890410958904113</v>
      </c>
      <c r="AQ21" s="101">
        <f>YEARFRAC(start,AQ23,3)</f>
        <v>7.8739726027397259</v>
      </c>
      <c r="AR21" s="101">
        <f>YEARFRAC(start,AR23,3)</f>
        <v>7.956164383561644</v>
      </c>
      <c r="AS21" s="101">
        <f>YEARFRAC(start,AS23,3)</f>
        <v>8.0410958904109595</v>
      </c>
      <c r="AT21" s="101">
        <f>YEARFRAC(start,AT23,3)</f>
        <v>8.1260273972602732</v>
      </c>
      <c r="AU21" s="101">
        <f>YEARFRAC(start,AU23,3)</f>
        <v>8.205479452054794</v>
      </c>
      <c r="AV21" s="101">
        <f>YEARFRAC(start,AV23,3)</f>
        <v>8.2904109589041095</v>
      </c>
      <c r="AW21" s="101">
        <f>YEARFRAC(start,AW23,3)</f>
        <v>8.3726027397260268</v>
      </c>
      <c r="AX21" s="101">
        <f>YEARFRAC(start,AX23,3)</f>
        <v>8.4575342465753423</v>
      </c>
      <c r="AY21" s="101">
        <f>YEARFRAC(start,AY23,3)</f>
        <v>8.5397260273972595</v>
      </c>
      <c r="AZ21" s="101">
        <f>YEARFRAC(start,AZ23,3)</f>
        <v>8.624657534246575</v>
      </c>
      <c r="BA21" s="101">
        <f>YEARFRAC(start,BA23,3)</f>
        <v>8.7095890410958905</v>
      </c>
      <c r="BB21" s="101">
        <f>YEARFRAC(start,BB23,3)</f>
        <v>8.7917808219178077</v>
      </c>
      <c r="BC21" s="101">
        <f>YEARFRAC(start,BC23,3)</f>
        <v>8.8767123287671232</v>
      </c>
      <c r="BD21" s="101">
        <f>YEARFRAC(start,BD23,3)</f>
        <v>8.9589041095890405</v>
      </c>
      <c r="BE21" s="101">
        <f>YEARFRAC(start,BE23,3)</f>
        <v>9.043835616438356</v>
      </c>
      <c r="BF21" s="101">
        <f>YEARFRAC(start,BF23,3)</f>
        <v>9.1287671232876715</v>
      </c>
      <c r="BG21" s="101">
        <f>YEARFRAC(start,BG23,3)</f>
        <v>9.205479452054794</v>
      </c>
      <c r="BH21" s="101">
        <f>YEARFRAC(start,BH23,3)</f>
        <v>9.2904109589041095</v>
      </c>
      <c r="BI21" s="101">
        <f>YEARFRAC(start,BI23,3)</f>
        <v>9.3726027397260268</v>
      </c>
      <c r="BJ21" s="101">
        <f>YEARFRAC(start,BJ23,3)</f>
        <v>9.4575342465753423</v>
      </c>
      <c r="BK21" s="101">
        <f>YEARFRAC(start,BK23,3)</f>
        <v>9.5397260273972595</v>
      </c>
      <c r="BL21" s="101">
        <f>YEARFRAC(start,BL23,3)</f>
        <v>9.624657534246575</v>
      </c>
      <c r="BM21" s="101">
        <f>YEARFRAC(start,BM23,3)</f>
        <v>9.7095890410958905</v>
      </c>
      <c r="BN21" s="101">
        <f>YEARFRAC(start,BN23,3)</f>
        <v>9.7917808219178077</v>
      </c>
      <c r="BO21" s="101">
        <f>YEARFRAC(start,BO23,3)</f>
        <v>9.8767123287671232</v>
      </c>
      <c r="BP21" s="101">
        <f>YEARFRAC(start,BP23,3)</f>
        <v>9.9589041095890405</v>
      </c>
      <c r="BQ21" s="101">
        <f>YEARFRAC(start,BQ23,3)</f>
        <v>10.043835616438356</v>
      </c>
    </row>
    <row r="22" spans="2:69" ht="15" customHeight="1">
      <c r="B22" s="100" t="s">
        <v>77</v>
      </c>
      <c r="C22" s="102">
        <f>(C23&gt;=start)*(C23&lt;=exit)*1</f>
        <v>1</v>
      </c>
      <c r="D22" s="102">
        <f>(D23&gt;=start)*(D23&lt;=exit)*1</f>
        <v>1</v>
      </c>
      <c r="E22" s="102">
        <f>(E23&gt;=start)*(E23&lt;=exit)*1</f>
        <v>1</v>
      </c>
      <c r="F22" s="102">
        <f>(F23&gt;=start)*(F23&lt;=exit)*1</f>
        <v>1</v>
      </c>
      <c r="G22" s="102">
        <f>(G23&gt;=start)*(G23&lt;=exit)*1</f>
        <v>1</v>
      </c>
      <c r="H22" s="102">
        <f>(H23&gt;=start)*(H23&lt;=exit)*1</f>
        <v>1</v>
      </c>
      <c r="I22" s="102">
        <f>(I23&gt;=start)*(I23&lt;=exit)*1</f>
        <v>1</v>
      </c>
      <c r="J22" s="102">
        <f>(J23&gt;=start)*(J23&lt;=exit)*1</f>
        <v>1</v>
      </c>
      <c r="K22" s="102">
        <f>(K23&gt;=start)*(K23&lt;=exit)*1</f>
        <v>1</v>
      </c>
      <c r="L22" s="102">
        <f>(L23&gt;=start)*(L23&lt;=exit)*1</f>
        <v>1</v>
      </c>
      <c r="M22" s="102">
        <f>(M23&gt;=start)*(M23&lt;=exit)*1</f>
        <v>1</v>
      </c>
      <c r="N22" s="102">
        <f>(N23&gt;=start)*(N23&lt;=exit)*1</f>
        <v>1</v>
      </c>
      <c r="O22" s="102">
        <f>(O23&gt;=start)*(O23&lt;=exit)*1</f>
        <v>1</v>
      </c>
      <c r="P22" s="102">
        <f>(P23&gt;=start)*(P23&lt;=exit)*1</f>
        <v>1</v>
      </c>
      <c r="Q22" s="102">
        <f>(Q23&gt;=start)*(Q23&lt;=exit)*1</f>
        <v>1</v>
      </c>
      <c r="R22" s="102">
        <f>(R23&gt;=start)*(R23&lt;=exit)*1</f>
        <v>1</v>
      </c>
      <c r="S22" s="102">
        <f>(S23&gt;=start)*(S23&lt;=exit)*1</f>
        <v>1</v>
      </c>
      <c r="T22" s="102">
        <f>(T23&gt;=start)*(T23&lt;=exit)*1</f>
        <v>1</v>
      </c>
      <c r="U22" s="102">
        <f>(U23&gt;=start)*(U23&lt;=exit)*1</f>
        <v>1</v>
      </c>
      <c r="V22" s="102">
        <f>(V23&gt;=start)*(V23&lt;=exit)*1</f>
        <v>1</v>
      </c>
      <c r="W22" s="102">
        <f>(W23&gt;=start)*(W23&lt;=exit)*1</f>
        <v>1</v>
      </c>
      <c r="X22" s="102">
        <f>(X23&gt;=start)*(X23&lt;=exit)*1</f>
        <v>1</v>
      </c>
      <c r="Y22" s="102">
        <f>(Y23&gt;=start)*(Y23&lt;=exit)*1</f>
        <v>1</v>
      </c>
      <c r="Z22" s="102">
        <f>(Z23&gt;=start)*(Z23&lt;=exit)*1</f>
        <v>1</v>
      </c>
      <c r="AA22" s="102">
        <f>(AA23&gt;=start)*(AA23&lt;=exit)*1</f>
        <v>1</v>
      </c>
      <c r="AB22" s="102">
        <f>(AB23&gt;=start)*(AB23&lt;=exit)*1</f>
        <v>1</v>
      </c>
      <c r="AC22" s="102">
        <f>(AC23&gt;=start)*(AC23&lt;=exit)*1</f>
        <v>1</v>
      </c>
      <c r="AD22" s="102">
        <f>(AD23&gt;=start)*(AD23&lt;=exit)*1</f>
        <v>1</v>
      </c>
      <c r="AE22" s="102">
        <f>(AE23&gt;=start)*(AE23&lt;=exit)*1</f>
        <v>1</v>
      </c>
      <c r="AF22" s="102">
        <f>(AF23&gt;=start)*(AF23&lt;=exit)*1</f>
        <v>1</v>
      </c>
      <c r="AG22" s="102">
        <f>(AG23&gt;=start)*(AG23&lt;=exit)*1</f>
        <v>1</v>
      </c>
      <c r="AH22" s="102">
        <f>(AH23&gt;=start)*(AH23&lt;=exit)*1</f>
        <v>1</v>
      </c>
      <c r="AI22" s="102">
        <f>(AI23&gt;=start)*(AI23&lt;=exit)*1</f>
        <v>1</v>
      </c>
      <c r="AJ22" s="102">
        <f>(AJ23&gt;=start)*(AJ23&lt;=exit)*1</f>
        <v>1</v>
      </c>
      <c r="AK22" s="102">
        <f>(AK23&gt;=start)*(AK23&lt;=exit)*1</f>
        <v>1</v>
      </c>
      <c r="AL22" s="102">
        <f>(AL23&gt;=start)*(AL23&lt;=exit)*1</f>
        <v>1</v>
      </c>
      <c r="AM22" s="102">
        <f>(AM23&gt;=start)*(AM23&lt;=exit)*1</f>
        <v>1</v>
      </c>
      <c r="AN22" s="102">
        <f>(AN23&gt;=start)*(AN23&lt;=exit)*1</f>
        <v>1</v>
      </c>
      <c r="AO22" s="102">
        <f>(AO23&gt;=start)*(AO23&lt;=exit)*1</f>
        <v>1</v>
      </c>
      <c r="AP22" s="102">
        <f>(AP23&gt;=start)*(AP23&lt;=exit)*1</f>
        <v>1</v>
      </c>
      <c r="AQ22" s="102">
        <f>(AQ23&gt;=start)*(AQ23&lt;=exit)*1</f>
        <v>1</v>
      </c>
      <c r="AR22" s="102">
        <f>(AR23&gt;=start)*(AR23&lt;=exit)*1</f>
        <v>1</v>
      </c>
      <c r="AS22" s="102">
        <f>(AS23&gt;=start)*(AS23&lt;=exit)*1</f>
        <v>1</v>
      </c>
      <c r="AT22" s="102">
        <f>(AT23&gt;=start)*(AT23&lt;=exit)*1</f>
        <v>1</v>
      </c>
      <c r="AU22" s="102">
        <f>(AU23&gt;=start)*(AU23&lt;=exit)*1</f>
        <v>1</v>
      </c>
      <c r="AV22" s="102">
        <f>(AV23&gt;=start)*(AV23&lt;=exit)*1</f>
        <v>1</v>
      </c>
      <c r="AW22" s="102">
        <f>(AW23&gt;=start)*(AW23&lt;=exit)*1</f>
        <v>1</v>
      </c>
      <c r="AX22" s="102">
        <f>(AX23&gt;=start)*(AX23&lt;=exit)*1</f>
        <v>1</v>
      </c>
      <c r="AY22" s="102">
        <f>(AY23&gt;=start)*(AY23&lt;=exit)*1</f>
        <v>1</v>
      </c>
      <c r="AZ22" s="102">
        <f>(AZ23&gt;=start)*(AZ23&lt;=exit)*1</f>
        <v>1</v>
      </c>
      <c r="BA22" s="102">
        <f>(BA23&gt;=start)*(BA23&lt;=exit)*1</f>
        <v>1</v>
      </c>
      <c r="BB22" s="102">
        <f>(BB23&gt;=start)*(BB23&lt;=exit)*1</f>
        <v>1</v>
      </c>
      <c r="BC22" s="102">
        <f>(BC23&gt;=start)*(BC23&lt;=exit)*1</f>
        <v>1</v>
      </c>
      <c r="BD22" s="102">
        <f>(BD23&gt;=start)*(BD23&lt;=exit)*1</f>
        <v>1</v>
      </c>
      <c r="BE22" s="102">
        <f>(BE23&gt;=start)*(BE23&lt;=exit)*1</f>
        <v>1</v>
      </c>
      <c r="BF22" s="102">
        <f>(BF23&gt;=start)*(BF23&lt;=exit)*1</f>
        <v>1</v>
      </c>
      <c r="BG22" s="102">
        <f>(BG23&gt;=start)*(BG23&lt;=exit)*1</f>
        <v>1</v>
      </c>
      <c r="BH22" s="102">
        <f>(BH23&gt;=start)*(BH23&lt;=exit)*1</f>
        <v>1</v>
      </c>
      <c r="BI22" s="102">
        <f>(BI23&gt;=start)*(BI23&lt;=exit)*1</f>
        <v>1</v>
      </c>
      <c r="BJ22" s="102">
        <f>(BJ23&gt;=start)*(BJ23&lt;=exit)*1</f>
        <v>1</v>
      </c>
      <c r="BK22" s="102">
        <f>(BK23&gt;=start)*(BK23&lt;=exit)*1</f>
        <v>1</v>
      </c>
      <c r="BL22" s="102">
        <f>(BL23&gt;=start)*(BL23&lt;=exit)*1</f>
        <v>1</v>
      </c>
      <c r="BM22" s="102">
        <f>(BM23&gt;=start)*(BM23&lt;=exit)*1</f>
        <v>1</v>
      </c>
      <c r="BN22" s="102">
        <f>(BN23&gt;=start)*(BN23&lt;=exit)*1</f>
        <v>1</v>
      </c>
      <c r="BO22" s="102">
        <f>(BO23&gt;=start)*(BO23&lt;=exit)*1</f>
        <v>1</v>
      </c>
      <c r="BP22" s="102">
        <f>(BP23&gt;=start)*(BP23&lt;=exit)*1</f>
        <v>1</v>
      </c>
      <c r="BQ22" s="102">
        <f>(BQ23&gt;=start)*(BQ23&lt;=exit)*1</f>
        <v>0</v>
      </c>
    </row>
    <row r="23" spans="2:69" s="58" customFormat="1" ht="15" customHeight="1">
      <c r="B23" s="96" t="s">
        <v>78</v>
      </c>
      <c r="C23" s="97">
        <f>'A&amp;R'!D27</f>
        <v>45473</v>
      </c>
      <c r="D23" s="97">
        <f>EOMONTH(C23,1)</f>
        <v>45504</v>
      </c>
      <c r="E23" s="97">
        <f t="shared" ref="E23:BA23" si="0">EOMONTH(D23,1)</f>
        <v>45535</v>
      </c>
      <c r="F23" s="97">
        <f t="shared" si="0"/>
        <v>45565</v>
      </c>
      <c r="G23" s="97">
        <f t="shared" si="0"/>
        <v>45596</v>
      </c>
      <c r="H23" s="97">
        <f t="shared" si="0"/>
        <v>45626</v>
      </c>
      <c r="I23" s="97">
        <f t="shared" si="0"/>
        <v>45657</v>
      </c>
      <c r="J23" s="97">
        <f t="shared" si="0"/>
        <v>45688</v>
      </c>
      <c r="K23" s="97">
        <f t="shared" si="0"/>
        <v>45716</v>
      </c>
      <c r="L23" s="97">
        <f t="shared" si="0"/>
        <v>45747</v>
      </c>
      <c r="M23" s="97">
        <f t="shared" si="0"/>
        <v>45777</v>
      </c>
      <c r="N23" s="97">
        <f t="shared" si="0"/>
        <v>45808</v>
      </c>
      <c r="O23" s="97">
        <f t="shared" si="0"/>
        <v>45838</v>
      </c>
      <c r="P23" s="97">
        <f t="shared" si="0"/>
        <v>45869</v>
      </c>
      <c r="Q23" s="97">
        <f t="shared" si="0"/>
        <v>45900</v>
      </c>
      <c r="R23" s="97">
        <f t="shared" si="0"/>
        <v>45930</v>
      </c>
      <c r="S23" s="97">
        <f t="shared" si="0"/>
        <v>45961</v>
      </c>
      <c r="T23" s="97">
        <f t="shared" si="0"/>
        <v>45991</v>
      </c>
      <c r="U23" s="97">
        <f t="shared" si="0"/>
        <v>46022</v>
      </c>
      <c r="V23" s="97">
        <f t="shared" si="0"/>
        <v>46053</v>
      </c>
      <c r="W23" s="97">
        <f t="shared" si="0"/>
        <v>46081</v>
      </c>
      <c r="X23" s="97">
        <f t="shared" si="0"/>
        <v>46112</v>
      </c>
      <c r="Y23" s="97">
        <f t="shared" si="0"/>
        <v>46142</v>
      </c>
      <c r="Z23" s="97">
        <f t="shared" si="0"/>
        <v>46173</v>
      </c>
      <c r="AA23" s="97">
        <f t="shared" si="0"/>
        <v>46203</v>
      </c>
      <c r="AB23" s="97">
        <f t="shared" si="0"/>
        <v>46234</v>
      </c>
      <c r="AC23" s="97">
        <f t="shared" si="0"/>
        <v>46265</v>
      </c>
      <c r="AD23" s="97">
        <f t="shared" si="0"/>
        <v>46295</v>
      </c>
      <c r="AE23" s="97">
        <f t="shared" si="0"/>
        <v>46326</v>
      </c>
      <c r="AF23" s="97">
        <f t="shared" si="0"/>
        <v>46356</v>
      </c>
      <c r="AG23" s="97">
        <f t="shared" si="0"/>
        <v>46387</v>
      </c>
      <c r="AH23" s="97">
        <f t="shared" si="0"/>
        <v>46418</v>
      </c>
      <c r="AI23" s="97">
        <f t="shared" si="0"/>
        <v>46446</v>
      </c>
      <c r="AJ23" s="97">
        <f t="shared" si="0"/>
        <v>46477</v>
      </c>
      <c r="AK23" s="97">
        <f t="shared" si="0"/>
        <v>46507</v>
      </c>
      <c r="AL23" s="97">
        <f t="shared" si="0"/>
        <v>46538</v>
      </c>
      <c r="AM23" s="97">
        <f t="shared" si="0"/>
        <v>46568</v>
      </c>
      <c r="AN23" s="97">
        <f t="shared" si="0"/>
        <v>46599</v>
      </c>
      <c r="AO23" s="97">
        <f t="shared" si="0"/>
        <v>46630</v>
      </c>
      <c r="AP23" s="97">
        <f t="shared" si="0"/>
        <v>46660</v>
      </c>
      <c r="AQ23" s="97">
        <f t="shared" si="0"/>
        <v>46691</v>
      </c>
      <c r="AR23" s="97">
        <f t="shared" si="0"/>
        <v>46721</v>
      </c>
      <c r="AS23" s="97">
        <f t="shared" si="0"/>
        <v>46752</v>
      </c>
      <c r="AT23" s="97">
        <f t="shared" si="0"/>
        <v>46783</v>
      </c>
      <c r="AU23" s="97">
        <f t="shared" si="0"/>
        <v>46812</v>
      </c>
      <c r="AV23" s="97">
        <f t="shared" si="0"/>
        <v>46843</v>
      </c>
      <c r="AW23" s="97">
        <f t="shared" si="0"/>
        <v>46873</v>
      </c>
      <c r="AX23" s="97">
        <f t="shared" si="0"/>
        <v>46904</v>
      </c>
      <c r="AY23" s="97">
        <f t="shared" si="0"/>
        <v>46934</v>
      </c>
      <c r="AZ23" s="97">
        <f t="shared" si="0"/>
        <v>46965</v>
      </c>
      <c r="BA23" s="97">
        <f t="shared" si="0"/>
        <v>46996</v>
      </c>
      <c r="BB23" s="97">
        <f t="shared" ref="BB23:BO23" si="1">EOMONTH(BA23,1)</f>
        <v>47026</v>
      </c>
      <c r="BC23" s="97">
        <f t="shared" si="1"/>
        <v>47057</v>
      </c>
      <c r="BD23" s="97">
        <f t="shared" si="1"/>
        <v>47087</v>
      </c>
      <c r="BE23" s="97">
        <f t="shared" si="1"/>
        <v>47118</v>
      </c>
      <c r="BF23" s="97">
        <f t="shared" si="1"/>
        <v>47149</v>
      </c>
      <c r="BG23" s="97">
        <f t="shared" si="1"/>
        <v>47177</v>
      </c>
      <c r="BH23" s="97">
        <f t="shared" si="1"/>
        <v>47208</v>
      </c>
      <c r="BI23" s="97">
        <f t="shared" si="1"/>
        <v>47238</v>
      </c>
      <c r="BJ23" s="97">
        <f t="shared" si="1"/>
        <v>47269</v>
      </c>
      <c r="BK23" s="97">
        <f t="shared" si="1"/>
        <v>47299</v>
      </c>
      <c r="BL23" s="97">
        <f t="shared" si="1"/>
        <v>47330</v>
      </c>
      <c r="BM23" s="97">
        <f t="shared" si="1"/>
        <v>47361</v>
      </c>
      <c r="BN23" s="97">
        <f t="shared" si="1"/>
        <v>47391</v>
      </c>
      <c r="BO23" s="97">
        <f t="shared" si="1"/>
        <v>47422</v>
      </c>
      <c r="BP23" s="97">
        <f t="shared" ref="BP23:BQ23" si="2">EOMONTH(BO23,1)</f>
        <v>47452</v>
      </c>
      <c r="BQ23" s="97">
        <f t="shared" si="2"/>
        <v>47483</v>
      </c>
    </row>
    <row r="24" spans="2:69" ht="15" customHeight="1">
      <c r="B24" s="68" t="s">
        <v>79</v>
      </c>
      <c r="C24" s="75">
        <v>0</v>
      </c>
      <c r="D24" s="73">
        <f>부트스트랩!C39</f>
        <v>3.4702489441027787E-2</v>
      </c>
      <c r="E24" s="73">
        <f>부트스트랩!D39</f>
        <v>3.4100007540559751E-2</v>
      </c>
      <c r="F24" s="73">
        <f>부트스트랩!E39</f>
        <v>3.3497533181022554E-2</v>
      </c>
      <c r="G24" s="73">
        <f>부트스트랩!F39</f>
        <v>3.2895066362802261E-2</v>
      </c>
      <c r="H24" s="73">
        <f>부트스트랩!G39</f>
        <v>3.2292607086279901E-2</v>
      </c>
      <c r="I24" s="73">
        <f>부트스트랩!H39</f>
        <v>3.1690155351812521E-2</v>
      </c>
      <c r="J24" s="73">
        <f>부트스트랩!I39</f>
        <v>3.31991701857417E-2</v>
      </c>
      <c r="K24" s="73">
        <f>부트스트랩!J39</f>
        <v>3.3199999999234286E-2</v>
      </c>
      <c r="L24" s="73">
        <f>부트스트랩!K39</f>
        <v>3.3200829812780164E-2</v>
      </c>
      <c r="M24" s="73">
        <f>부트스트랩!L39</f>
        <v>3.2524679322473382E-2</v>
      </c>
      <c r="N24" s="73">
        <f>부트스트랩!M39</f>
        <v>3.2390113451520541E-2</v>
      </c>
      <c r="O24" s="73">
        <f>부트스트랩!N39</f>
        <v>3.2255547956896002E-2</v>
      </c>
      <c r="P24" s="73">
        <f>부트스트랩!O39</f>
        <v>3.2338745186835993E-2</v>
      </c>
      <c r="Q24" s="73">
        <f>부트스트랩!P39</f>
        <v>3.2237682180315197E-2</v>
      </c>
      <c r="R24" s="73">
        <f>부트스트랩!Q39</f>
        <v>3.2136619386093912E-2</v>
      </c>
      <c r="S24" s="73">
        <f>부트스트랩!R39</f>
        <v>3.2032964114535822E-2</v>
      </c>
      <c r="T24" s="73">
        <f>부트스트랩!S39</f>
        <v>3.1931577659906729E-2</v>
      </c>
      <c r="U24" s="73">
        <f>부트스트랩!T39</f>
        <v>3.1830191418880105E-2</v>
      </c>
      <c r="V24" s="73">
        <f>부트스트랩!U39</f>
        <v>3.1725977150084184E-2</v>
      </c>
      <c r="W24" s="73">
        <f>부트스트랩!V39</f>
        <v>3.1624293627841915E-2</v>
      </c>
      <c r="X24" s="73">
        <f>부트스트랩!W39</f>
        <v>3.1522610320558364E-2</v>
      </c>
      <c r="Y24" s="73">
        <f>부트스트랩!X39</f>
        <v>3.1417811260765482E-2</v>
      </c>
      <c r="Z24" s="73">
        <f>부트스트랩!Y39</f>
        <v>3.131584511465757E-2</v>
      </c>
      <c r="AA24" s="73">
        <f>부트스트랩!Z39</f>
        <v>3.1213879184496918E-2</v>
      </c>
      <c r="AB24" s="73">
        <f>부트스트랩!AA39</f>
        <v>3.1108487265534279E-2</v>
      </c>
      <c r="AC24" s="73">
        <f>부트스트랩!AB39</f>
        <v>3.1006247672329401E-2</v>
      </c>
      <c r="AD24" s="73">
        <f>부트스트랩!AC39</f>
        <v>3.0904008296428032E-2</v>
      </c>
      <c r="AE24" s="73">
        <f>부트스트랩!AD39</f>
        <v>3.0798023835729715E-2</v>
      </c>
      <c r="AF24" s="73">
        <f>부트스트랩!AE39</f>
        <v>3.0695517373890979E-2</v>
      </c>
      <c r="AG24" s="73">
        <f>부트스트랩!AF39</f>
        <v>3.0593011130251035E-2</v>
      </c>
      <c r="AH24" s="73">
        <f>부트스트랩!AG39</f>
        <v>3.048643894919234E-2</v>
      </c>
      <c r="AI24" s="73">
        <f>부트스트랩!AH39</f>
        <v>3.0383670810891772E-2</v>
      </c>
      <c r="AJ24" s="73">
        <f>부트스트랩!AI39</f>
        <v>3.0280902892044992E-2</v>
      </c>
      <c r="AK24" s="73">
        <f>부트스트랩!AJ39</f>
        <v>3.0173750494186358E-2</v>
      </c>
      <c r="AL24" s="73">
        <f>부트스트랩!AK39</f>
        <v>3.0070725092134154E-2</v>
      </c>
      <c r="AM24" s="73">
        <f>부트스트랩!AL39</f>
        <v>2.996769991050563E-2</v>
      </c>
      <c r="AN24" s="73">
        <f>부트스트랩!AM39</f>
        <v>3.2121698817651811E-2</v>
      </c>
      <c r="AO24" s="73">
        <f>부트스트랩!AN39</f>
        <v>3.2140675153972786E-2</v>
      </c>
      <c r="AP24" s="73">
        <f>부트스트랩!AO39</f>
        <v>3.2159651497778441E-2</v>
      </c>
      <c r="AQ24" s="73">
        <f>부트스트랩!AP39</f>
        <v>3.2174638727603622E-2</v>
      </c>
      <c r="AR24" s="73">
        <f>부트스트랩!AQ39</f>
        <v>3.2193415630145772E-2</v>
      </c>
      <c r="AS24" s="73">
        <f>부트스트랩!AR39</f>
        <v>3.2212192540007401E-2</v>
      </c>
      <c r="AT24" s="73">
        <f>부트스트랩!AS39</f>
        <v>3.222775664046118E-2</v>
      </c>
      <c r="AU24" s="73">
        <f>부트스트랩!AT39</f>
        <v>3.224638413140557E-2</v>
      </c>
      <c r="AV24" s="73">
        <f>부트스트랩!AU39</f>
        <v>3.2265011629794671E-2</v>
      </c>
      <c r="AW24" s="73">
        <f>부트스트랩!AV39</f>
        <v>3.2281067551621412E-2</v>
      </c>
      <c r="AX24" s="73">
        <f>부트스트랩!AW39</f>
        <v>3.2299583256364173E-2</v>
      </c>
      <c r="AY24" s="73">
        <f>부트스트랩!AX39</f>
        <v>3.2318098967986764E-2</v>
      </c>
      <c r="AZ24" s="73">
        <f>부트스트랩!AY39</f>
        <v>3.2334582844503856E-2</v>
      </c>
      <c r="BA24" s="73">
        <f>부트스트랩!AZ39</f>
        <v>3.2353015638086013E-2</v>
      </c>
      <c r="BB24" s="73">
        <f>부트스트랩!BA39</f>
        <v>3.2371448438593298E-2</v>
      </c>
      <c r="BC24" s="73">
        <f>부트스트랩!BB39</f>
        <v>3.2388311505706646E-2</v>
      </c>
      <c r="BD24" s="73">
        <f>부트스트랩!BC39</f>
        <v>3.2406683945636061E-2</v>
      </c>
      <c r="BE24" s="73">
        <f>부트스트랩!BD39</f>
        <v>3.2425056392860974E-2</v>
      </c>
      <c r="BF24" s="73">
        <f>부트스트랩!BE39</f>
        <v>3.2442260894649522E-2</v>
      </c>
      <c r="BG24" s="73">
        <f>부트스트랩!BF39</f>
        <v>3.2460590884578089E-2</v>
      </c>
      <c r="BH24" s="73">
        <f>부트스트랩!BG39</f>
        <v>3.2478920881807483E-2</v>
      </c>
      <c r="BI24" s="73">
        <f>부트스트랩!BH39</f>
        <v>3.2496437242731879E-2</v>
      </c>
      <c r="BJ24" s="73">
        <f>부트스트랩!BI39</f>
        <v>3.2514739197310405E-2</v>
      </c>
      <c r="BK24" s="73">
        <f>부트스트랩!BJ39</f>
        <v>3.25330411584277E-2</v>
      </c>
      <c r="BL24" s="73">
        <f>부트스트랩!BK39</f>
        <v>3.2661070723406738E-2</v>
      </c>
      <c r="BM24" s="73">
        <f>부트스트랩!BL39</f>
        <v>3.2682970327590155E-2</v>
      </c>
      <c r="BN24" s="73">
        <f>부트스트랩!BM39</f>
        <v>3.2704869942064008E-2</v>
      </c>
      <c r="BO24" s="73">
        <f>부트스트랩!BN39</f>
        <v>3.2726662210533775E-2</v>
      </c>
      <c r="BP24" s="73">
        <f>부트스트랩!BO39</f>
        <v>3.2748558489902102E-2</v>
      </c>
      <c r="BQ24" s="73">
        <f>부트스트랩!BP39</f>
        <v>3.2770454779406322E-2</v>
      </c>
    </row>
    <row r="25" spans="2:69" ht="15" customHeight="1">
      <c r="B25" s="68" t="s">
        <v>80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</row>
    <row r="26" spans="2:69" ht="15" customHeight="1">
      <c r="B26" s="68" t="s">
        <v>81</v>
      </c>
      <c r="C26" s="3">
        <f t="shared" ref="C26:BO26" si="3">$C$9*(1+$C$7)^C21</f>
        <v>11418.080035917259</v>
      </c>
      <c r="D26" s="3">
        <f t="shared" si="3"/>
        <v>11483.881208414366</v>
      </c>
      <c r="E26" s="3">
        <f t="shared" si="3"/>
        <v>11550.061586021997</v>
      </c>
      <c r="F26" s="3">
        <f t="shared" si="3"/>
        <v>11614.470224757757</v>
      </c>
      <c r="G26" s="3">
        <f t="shared" si="3"/>
        <v>11681.403172881937</v>
      </c>
      <c r="H26" s="3">
        <f t="shared" si="3"/>
        <v>11746.544234796227</v>
      </c>
      <c r="I26" s="3">
        <f t="shared" si="3"/>
        <v>11814.238311296598</v>
      </c>
      <c r="J26" s="3">
        <f t="shared" si="3"/>
        <v>11882.322501510553</v>
      </c>
      <c r="K26" s="3">
        <f t="shared" si="3"/>
        <v>11944.155079948943</v>
      </c>
      <c r="L26" s="3">
        <f t="shared" si="3"/>
        <v>12012.987966587996</v>
      </c>
      <c r="M26" s="3">
        <f t="shared" si="3"/>
        <v>12079.97810307466</v>
      </c>
      <c r="N26" s="3">
        <f t="shared" si="3"/>
        <v>12149.593723250844</v>
      </c>
      <c r="O26" s="3">
        <f t="shared" si="3"/>
        <v>12217.345638431467</v>
      </c>
      <c r="P26" s="3">
        <f t="shared" si="3"/>
        <v>12287.752893003373</v>
      </c>
      <c r="Q26" s="3">
        <f t="shared" si="3"/>
        <v>12358.565897043536</v>
      </c>
      <c r="R26" s="3">
        <f t="shared" si="3"/>
        <v>12427.4831404908</v>
      </c>
      <c r="S26" s="3">
        <f t="shared" si="3"/>
        <v>12499.101394983674</v>
      </c>
      <c r="T26" s="3">
        <f t="shared" si="3"/>
        <v>12568.802331231964</v>
      </c>
      <c r="U26" s="3">
        <f t="shared" si="3"/>
        <v>12641.234993087361</v>
      </c>
      <c r="V26" s="3">
        <f t="shared" si="3"/>
        <v>12714.085076616293</v>
      </c>
      <c r="W26" s="3">
        <f t="shared" si="3"/>
        <v>12780.24593554537</v>
      </c>
      <c r="X26" s="3">
        <f t="shared" si="3"/>
        <v>12853.897124249155</v>
      </c>
      <c r="Y26" s="3">
        <f t="shared" si="3"/>
        <v>12925.576570289888</v>
      </c>
      <c r="Z26" s="3">
        <f t="shared" si="3"/>
        <v>13000.065283878404</v>
      </c>
      <c r="AA26" s="3">
        <f t="shared" si="3"/>
        <v>13072.559833121672</v>
      </c>
      <c r="AB26" s="3">
        <f t="shared" si="3"/>
        <v>13147.89559551361</v>
      </c>
      <c r="AC26" s="3">
        <f t="shared" si="3"/>
        <v>13223.665509836586</v>
      </c>
      <c r="AD26" s="3">
        <f t="shared" si="3"/>
        <v>13297.406960325159</v>
      </c>
      <c r="AE26" s="3">
        <f t="shared" si="3"/>
        <v>13374.038492632531</v>
      </c>
      <c r="AF26" s="3">
        <f t="shared" si="3"/>
        <v>13448.618494418204</v>
      </c>
      <c r="AG26" s="3">
        <f t="shared" si="3"/>
        <v>13526.121442603475</v>
      </c>
      <c r="AH26" s="3">
        <f t="shared" si="3"/>
        <v>13604.071031979433</v>
      </c>
      <c r="AI26" s="3">
        <f t="shared" si="3"/>
        <v>13674.863151033545</v>
      </c>
      <c r="AJ26" s="3">
        <f t="shared" si="3"/>
        <v>13753.669922946596</v>
      </c>
      <c r="AK26" s="3">
        <f t="shared" si="3"/>
        <v>13830.366930210181</v>
      </c>
      <c r="AL26" s="3">
        <f t="shared" si="3"/>
        <v>13910.069853749894</v>
      </c>
      <c r="AM26" s="3">
        <f t="shared" si="3"/>
        <v>13987.639021440191</v>
      </c>
      <c r="AN26" s="3">
        <f t="shared" si="3"/>
        <v>14068.248287199563</v>
      </c>
      <c r="AO26" s="3">
        <f t="shared" si="3"/>
        <v>14149.322095525145</v>
      </c>
      <c r="AP26" s="3">
        <f t="shared" si="3"/>
        <v>14228.22544754792</v>
      </c>
      <c r="AQ26" s="3">
        <f t="shared" si="3"/>
        <v>14310.221187116811</v>
      </c>
      <c r="AR26" s="3">
        <f t="shared" si="3"/>
        <v>14390.02178902748</v>
      </c>
      <c r="AS26" s="3">
        <f t="shared" si="3"/>
        <v>14472.949943585721</v>
      </c>
      <c r="AT26" s="3">
        <f t="shared" si="3"/>
        <v>14556.356004217992</v>
      </c>
      <c r="AU26" s="3">
        <f t="shared" si="3"/>
        <v>14634.816119860207</v>
      </c>
      <c r="AV26" s="3">
        <f t="shared" si="3"/>
        <v>14719.154997932275</v>
      </c>
      <c r="AW26" s="3">
        <f t="shared" si="3"/>
        <v>14801.236009336128</v>
      </c>
      <c r="AX26" s="3">
        <f t="shared" si="3"/>
        <v>14886.533947409524</v>
      </c>
      <c r="AY26" s="3">
        <f t="shared" si="3"/>
        <v>14969.548343471852</v>
      </c>
      <c r="AZ26" s="3">
        <f t="shared" si="3"/>
        <v>15055.816247502482</v>
      </c>
      <c r="BA26" s="3">
        <f t="shared" si="3"/>
        <v>15142.581304225705</v>
      </c>
      <c r="BB26" s="3">
        <f t="shared" si="3"/>
        <v>15227.023542172825</v>
      </c>
      <c r="BC26" s="3">
        <f t="shared" si="3"/>
        <v>15314.775248200827</v>
      </c>
      <c r="BD26" s="3">
        <f t="shared" si="3"/>
        <v>15400.177721506641</v>
      </c>
      <c r="BE26" s="3">
        <f t="shared" si="3"/>
        <v>15488.927296527252</v>
      </c>
      <c r="BF26" s="3">
        <f t="shared" si="3"/>
        <v>15578.188325844607</v>
      </c>
      <c r="BG26" s="3">
        <f t="shared" si="3"/>
        <v>15659.253248250419</v>
      </c>
      <c r="BH26" s="3">
        <f t="shared" si="3"/>
        <v>15749.495847787533</v>
      </c>
      <c r="BI26" s="3">
        <f t="shared" si="3"/>
        <v>15837.322529989659</v>
      </c>
      <c r="BJ26" s="3">
        <f t="shared" si="3"/>
        <v>15928.591323728191</v>
      </c>
      <c r="BK26" s="3">
        <f t="shared" si="3"/>
        <v>16017.416727514883</v>
      </c>
      <c r="BL26" s="3">
        <f t="shared" si="3"/>
        <v>16109.723384827657</v>
      </c>
      <c r="BM26" s="3">
        <f t="shared" si="3"/>
        <v>16202.561995521506</v>
      </c>
      <c r="BN26" s="3">
        <f t="shared" si="3"/>
        <v>16292.915190124924</v>
      </c>
      <c r="BO26" s="3">
        <f t="shared" si="3"/>
        <v>16386.809515574885</v>
      </c>
      <c r="BP26" s="3">
        <f t="shared" ref="BP26:BQ26" si="4">$C$9*(1+$C$7)^BP21</f>
        <v>16478.190162012106</v>
      </c>
      <c r="BQ26" s="3">
        <f t="shared" si="4"/>
        <v>16573.152207284158</v>
      </c>
    </row>
    <row r="27" spans="2:69" ht="15" customHeight="1">
      <c r="B27" s="68" t="s">
        <v>82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</row>
    <row r="28" spans="2:69" ht="15" customHeight="1">
      <c r="B28" s="68" t="s">
        <v>83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</row>
    <row r="29" spans="2:69" ht="15" customHeight="1">
      <c r="B29" s="68" t="s">
        <v>84</v>
      </c>
      <c r="C29" s="68">
        <f>(C23&gt;전환일)*1</f>
        <v>1</v>
      </c>
      <c r="D29" s="68">
        <f>(D23&gt;전환일)*1</f>
        <v>1</v>
      </c>
      <c r="E29" s="68">
        <f>(E23&gt;전환일)*1</f>
        <v>1</v>
      </c>
      <c r="F29" s="68">
        <f>(F23&gt;전환일)*1</f>
        <v>1</v>
      </c>
      <c r="G29" s="68">
        <f>(G23&gt;전환일)*1</f>
        <v>1</v>
      </c>
      <c r="H29" s="68">
        <f>(H23&gt;전환일)*1</f>
        <v>1</v>
      </c>
      <c r="I29" s="68">
        <f>(I23&gt;전환일)*1</f>
        <v>1</v>
      </c>
      <c r="J29" s="68">
        <f>(J23&gt;전환일)*1</f>
        <v>1</v>
      </c>
      <c r="K29" s="68">
        <f>(K23&gt;전환일)*1</f>
        <v>1</v>
      </c>
      <c r="L29" s="68">
        <f>(L23&gt;전환일)*1</f>
        <v>1</v>
      </c>
      <c r="M29" s="68">
        <f>(M23&gt;전환일)*1</f>
        <v>1</v>
      </c>
      <c r="N29" s="68">
        <f>(N23&gt;전환일)*1</f>
        <v>1</v>
      </c>
      <c r="O29" s="68">
        <f>(O23&gt;전환일)*1</f>
        <v>1</v>
      </c>
      <c r="P29" s="68">
        <f>(P23&gt;전환일)*1</f>
        <v>1</v>
      </c>
      <c r="Q29" s="68">
        <f>(Q23&gt;전환일)*1</f>
        <v>1</v>
      </c>
      <c r="R29" s="68">
        <f>(R23&gt;전환일)*1</f>
        <v>1</v>
      </c>
      <c r="S29" s="68">
        <f>(S23&gt;전환일)*1</f>
        <v>1</v>
      </c>
      <c r="T29" s="68">
        <f>(T23&gt;전환일)*1</f>
        <v>1</v>
      </c>
      <c r="U29" s="68">
        <f>(U23&gt;전환일)*1</f>
        <v>1</v>
      </c>
      <c r="V29" s="68">
        <f>(V23&gt;전환일)*1</f>
        <v>1</v>
      </c>
      <c r="W29" s="68">
        <f>(W23&gt;전환일)*1</f>
        <v>1</v>
      </c>
      <c r="X29" s="68">
        <f>(X23&gt;전환일)*1</f>
        <v>1</v>
      </c>
      <c r="Y29" s="68">
        <f>(Y23&gt;전환일)*1</f>
        <v>1</v>
      </c>
      <c r="Z29" s="68">
        <f>(Z23&gt;전환일)*1</f>
        <v>1</v>
      </c>
      <c r="AA29" s="68">
        <f>(AA23&gt;전환일)*1</f>
        <v>1</v>
      </c>
      <c r="AB29" s="68">
        <f>(AB23&gt;전환일)*1</f>
        <v>1</v>
      </c>
      <c r="AC29" s="68">
        <f>(AC23&gt;전환일)*1</f>
        <v>1</v>
      </c>
      <c r="AD29" s="68">
        <f>(AD23&gt;전환일)*1</f>
        <v>1</v>
      </c>
      <c r="AE29" s="68">
        <f>(AE23&gt;전환일)*1</f>
        <v>1</v>
      </c>
      <c r="AF29" s="68">
        <f>(AF23&gt;전환일)*1</f>
        <v>1</v>
      </c>
      <c r="AG29" s="68">
        <f>(AG23&gt;전환일)*1</f>
        <v>1</v>
      </c>
      <c r="AH29" s="68">
        <f>(AH23&gt;전환일)*1</f>
        <v>1</v>
      </c>
      <c r="AI29" s="68">
        <f>(AI23&gt;전환일)*1</f>
        <v>1</v>
      </c>
      <c r="AJ29" s="68">
        <f>(AJ23&gt;전환일)*1</f>
        <v>1</v>
      </c>
      <c r="AK29" s="68">
        <f>(AK23&gt;전환일)*1</f>
        <v>1</v>
      </c>
      <c r="AL29" s="68">
        <f>(AL23&gt;전환일)*1</f>
        <v>1</v>
      </c>
      <c r="AM29" s="68">
        <f>(AM23&gt;전환일)*1</f>
        <v>1</v>
      </c>
      <c r="AN29" s="68">
        <f>(AN23&gt;전환일)*1</f>
        <v>1</v>
      </c>
      <c r="AO29" s="68">
        <f>(AO23&gt;전환일)*1</f>
        <v>1</v>
      </c>
      <c r="AP29" s="68">
        <f>(AP23&gt;전환일)*1</f>
        <v>1</v>
      </c>
      <c r="AQ29" s="68">
        <f>(AQ23&gt;전환일)*1</f>
        <v>1</v>
      </c>
      <c r="AR29" s="68">
        <f>(AR23&gt;전환일)*1</f>
        <v>1</v>
      </c>
      <c r="AS29" s="68">
        <f>(AS23&gt;전환일)*1</f>
        <v>1</v>
      </c>
      <c r="AT29" s="68">
        <f>(AT23&gt;전환일)*1</f>
        <v>1</v>
      </c>
      <c r="AU29" s="68">
        <f>(AU23&gt;전환일)*1</f>
        <v>1</v>
      </c>
      <c r="AV29" s="68">
        <f>(AV23&gt;전환일)*1</f>
        <v>1</v>
      </c>
      <c r="AW29" s="68">
        <f>(AW23&gt;전환일)*1</f>
        <v>1</v>
      </c>
      <c r="AX29" s="68">
        <f>(AX23&gt;전환일)*1</f>
        <v>1</v>
      </c>
      <c r="AY29" s="68">
        <f>(AY23&gt;전환일)*1</f>
        <v>1</v>
      </c>
      <c r="AZ29" s="68">
        <f>(AZ23&gt;전환일)*1</f>
        <v>1</v>
      </c>
      <c r="BA29" s="68">
        <f>(BA23&gt;전환일)*1</f>
        <v>1</v>
      </c>
      <c r="BB29" s="68">
        <f>(BB23&gt;전환일)*1</f>
        <v>1</v>
      </c>
      <c r="BC29" s="68">
        <f>(BC23&gt;전환일)*1</f>
        <v>1</v>
      </c>
      <c r="BD29" s="68">
        <f>(BD23&gt;전환일)*1</f>
        <v>1</v>
      </c>
      <c r="BE29" s="68">
        <f>(BE23&gt;전환일)*1</f>
        <v>1</v>
      </c>
      <c r="BF29" s="68">
        <f>(BF23&gt;전환일)*1</f>
        <v>1</v>
      </c>
      <c r="BG29" s="68">
        <f>(BG23&gt;전환일)*1</f>
        <v>1</v>
      </c>
      <c r="BH29" s="68">
        <f>(BH23&gt;전환일)*1</f>
        <v>1</v>
      </c>
      <c r="BI29" s="68">
        <f>(BI23&gt;전환일)*1</f>
        <v>1</v>
      </c>
      <c r="BJ29" s="68">
        <f>(BJ23&gt;전환일)*1</f>
        <v>1</v>
      </c>
      <c r="BK29" s="68">
        <f>(BK23&gt;전환일)*1</f>
        <v>1</v>
      </c>
      <c r="BL29" s="68">
        <f>(BL23&gt;전환일)*1</f>
        <v>1</v>
      </c>
      <c r="BM29" s="68">
        <f>(BM23&gt;전환일)*1</f>
        <v>1</v>
      </c>
      <c r="BN29" s="68">
        <f>(BN23&gt;전환일)*1</f>
        <v>1</v>
      </c>
      <c r="BO29" s="68">
        <f>(BO23&gt;전환일)*1</f>
        <v>1</v>
      </c>
      <c r="BP29" s="68">
        <f>(BP23&gt;전환일)*1</f>
        <v>1</v>
      </c>
      <c r="BQ29" s="68">
        <f>(BQ23&gt;전환일)*1</f>
        <v>1</v>
      </c>
    </row>
    <row r="30" spans="2:69" ht="15" customHeight="1">
      <c r="B30" s="68" t="s">
        <v>85</v>
      </c>
      <c r="C30" s="68">
        <f>(C23&gt;상환일)*1</f>
        <v>1</v>
      </c>
      <c r="D30" s="68">
        <f>(D23&gt;상환일)*1</f>
        <v>1</v>
      </c>
      <c r="E30" s="68">
        <f>(E23&gt;상환일)*1</f>
        <v>1</v>
      </c>
      <c r="F30" s="68">
        <f>(F23&gt;상환일)*1</f>
        <v>1</v>
      </c>
      <c r="G30" s="68">
        <f>(G23&gt;상환일)*1</f>
        <v>1</v>
      </c>
      <c r="H30" s="68">
        <f>(H23&gt;상환일)*1</f>
        <v>1</v>
      </c>
      <c r="I30" s="68">
        <f>(I23&gt;상환일)*1</f>
        <v>1</v>
      </c>
      <c r="J30" s="68">
        <f>(J23&gt;상환일)*1</f>
        <v>1</v>
      </c>
      <c r="K30" s="68">
        <f>(K23&gt;상환일)*1</f>
        <v>1</v>
      </c>
      <c r="L30" s="68">
        <f>(L23&gt;상환일)*1</f>
        <v>1</v>
      </c>
      <c r="M30" s="68">
        <f>(M23&gt;상환일)*1</f>
        <v>1</v>
      </c>
      <c r="N30" s="68">
        <f>(N23&gt;상환일)*1</f>
        <v>1</v>
      </c>
      <c r="O30" s="68">
        <f>(O23&gt;상환일)*1</f>
        <v>1</v>
      </c>
      <c r="P30" s="68">
        <f>(P23&gt;상환일)*1</f>
        <v>1</v>
      </c>
      <c r="Q30" s="68">
        <f>(Q23&gt;상환일)*1</f>
        <v>1</v>
      </c>
      <c r="R30" s="68">
        <f>(R23&gt;상환일)*1</f>
        <v>1</v>
      </c>
      <c r="S30" s="68">
        <f>(S23&gt;상환일)*1</f>
        <v>1</v>
      </c>
      <c r="T30" s="68">
        <f>(T23&gt;상환일)*1</f>
        <v>1</v>
      </c>
      <c r="U30" s="68">
        <f>(U23&gt;상환일)*1</f>
        <v>1</v>
      </c>
      <c r="V30" s="68">
        <f>(V23&gt;상환일)*1</f>
        <v>1</v>
      </c>
      <c r="W30" s="68">
        <f>(W23&gt;상환일)*1</f>
        <v>1</v>
      </c>
      <c r="X30" s="68">
        <f>(X23&gt;상환일)*1</f>
        <v>1</v>
      </c>
      <c r="Y30" s="68">
        <f>(Y23&gt;상환일)*1</f>
        <v>1</v>
      </c>
      <c r="Z30" s="68">
        <f>(Z23&gt;상환일)*1</f>
        <v>1</v>
      </c>
      <c r="AA30" s="68">
        <f>(AA23&gt;상환일)*1</f>
        <v>1</v>
      </c>
      <c r="AB30" s="68">
        <f>(AB23&gt;상환일)*1</f>
        <v>1</v>
      </c>
      <c r="AC30" s="68">
        <f>(AC23&gt;상환일)*1</f>
        <v>1</v>
      </c>
      <c r="AD30" s="68">
        <f>(AD23&gt;상환일)*1</f>
        <v>1</v>
      </c>
      <c r="AE30" s="68">
        <f>(AE23&gt;상환일)*1</f>
        <v>1</v>
      </c>
      <c r="AF30" s="68">
        <f>(AF23&gt;상환일)*1</f>
        <v>1</v>
      </c>
      <c r="AG30" s="68">
        <f>(AG23&gt;상환일)*1</f>
        <v>1</v>
      </c>
      <c r="AH30" s="68">
        <f>(AH23&gt;상환일)*1</f>
        <v>1</v>
      </c>
      <c r="AI30" s="68">
        <f>(AI23&gt;상환일)*1</f>
        <v>1</v>
      </c>
      <c r="AJ30" s="68">
        <f>(AJ23&gt;상환일)*1</f>
        <v>1</v>
      </c>
      <c r="AK30" s="68">
        <f>(AK23&gt;상환일)*1</f>
        <v>1</v>
      </c>
      <c r="AL30" s="68">
        <f>(AL23&gt;상환일)*1</f>
        <v>1</v>
      </c>
      <c r="AM30" s="68">
        <f>(AM23&gt;상환일)*1</f>
        <v>1</v>
      </c>
      <c r="AN30" s="68">
        <f>(AN23&gt;상환일)*1</f>
        <v>1</v>
      </c>
      <c r="AO30" s="68">
        <f>(AO23&gt;상환일)*1</f>
        <v>1</v>
      </c>
      <c r="AP30" s="68">
        <f>(AP23&gt;상환일)*1</f>
        <v>1</v>
      </c>
      <c r="AQ30" s="68">
        <f>(AQ23&gt;상환일)*1</f>
        <v>1</v>
      </c>
      <c r="AR30" s="68">
        <f>(AR23&gt;상환일)*1</f>
        <v>1</v>
      </c>
      <c r="AS30" s="68">
        <f>(AS23&gt;상환일)*1</f>
        <v>1</v>
      </c>
      <c r="AT30" s="68">
        <f>(AT23&gt;상환일)*1</f>
        <v>1</v>
      </c>
      <c r="AU30" s="68">
        <f>(AU23&gt;상환일)*1</f>
        <v>1</v>
      </c>
      <c r="AV30" s="68">
        <f>(AV23&gt;상환일)*1</f>
        <v>1</v>
      </c>
      <c r="AW30" s="68">
        <f>(AW23&gt;상환일)*1</f>
        <v>1</v>
      </c>
      <c r="AX30" s="68">
        <f>(AX23&gt;상환일)*1</f>
        <v>1</v>
      </c>
      <c r="AY30" s="68">
        <f>(AY23&gt;상환일)*1</f>
        <v>1</v>
      </c>
      <c r="AZ30" s="68">
        <f>(AZ23&gt;상환일)*1</f>
        <v>1</v>
      </c>
      <c r="BA30" s="68">
        <f>(BA23&gt;상환일)*1</f>
        <v>1</v>
      </c>
      <c r="BB30" s="68">
        <f>(BB23&gt;상환일)*1</f>
        <v>1</v>
      </c>
      <c r="BC30" s="68">
        <f>(BC23&gt;상환일)*1</f>
        <v>1</v>
      </c>
      <c r="BD30" s="68">
        <f>(BD23&gt;상환일)*1</f>
        <v>1</v>
      </c>
      <c r="BE30" s="68">
        <f>(BE23&gt;상환일)*1</f>
        <v>1</v>
      </c>
      <c r="BF30" s="68">
        <f>(BF23&gt;상환일)*1</f>
        <v>1</v>
      </c>
      <c r="BG30" s="68">
        <f>(BG23&gt;상환일)*1</f>
        <v>1</v>
      </c>
      <c r="BH30" s="68">
        <f>(BH23&gt;상환일)*1</f>
        <v>1</v>
      </c>
      <c r="BI30" s="68">
        <f>(BI23&gt;상환일)*1</f>
        <v>1</v>
      </c>
      <c r="BJ30" s="68">
        <f>(BJ23&gt;상환일)*1</f>
        <v>1</v>
      </c>
      <c r="BK30" s="68">
        <f>(BK23&gt;상환일)*1</f>
        <v>1</v>
      </c>
      <c r="BL30" s="68">
        <f>(BL23&gt;상환일)*1</f>
        <v>1</v>
      </c>
      <c r="BM30" s="68">
        <f>(BM23&gt;상환일)*1</f>
        <v>1</v>
      </c>
      <c r="BN30" s="68">
        <f>(BN23&gt;상환일)*1</f>
        <v>1</v>
      </c>
      <c r="BO30" s="68">
        <f>(BO23&gt;상환일)*1</f>
        <v>1</v>
      </c>
      <c r="BP30" s="68">
        <f>(BP23&gt;상환일)*1</f>
        <v>1</v>
      </c>
      <c r="BQ30" s="68">
        <f>(BQ23&gt;상환일)*1</f>
        <v>1</v>
      </c>
    </row>
    <row r="31" spans="2:69" ht="15" customHeight="1">
      <c r="B31" s="68" t="s">
        <v>86</v>
      </c>
      <c r="C31" s="68"/>
      <c r="D31" s="98">
        <f>(EXP(D24*$C$16)-$C$18)/($C$17-$C$18)</f>
        <v>0.46615634223611718</v>
      </c>
      <c r="E31" s="98">
        <f t="shared" ref="E31:BP31" si="5">(EXP(E24*$C$16)-$C$18)/($C$17-$C$18)</f>
        <v>0.46600873501654511</v>
      </c>
      <c r="F31" s="98">
        <f t="shared" si="5"/>
        <v>0.46586113705505511</v>
      </c>
      <c r="G31" s="98">
        <f t="shared" si="5"/>
        <v>0.46571354835109124</v>
      </c>
      <c r="H31" s="98">
        <f t="shared" si="5"/>
        <v>0.46556596890409696</v>
      </c>
      <c r="I31" s="98">
        <f t="shared" si="5"/>
        <v>0.46541839871350982</v>
      </c>
      <c r="J31" s="98">
        <f t="shared" si="5"/>
        <v>0.46578804495368187</v>
      </c>
      <c r="K31" s="98">
        <f t="shared" si="5"/>
        <v>0.46578824823646453</v>
      </c>
      <c r="L31" s="98">
        <f t="shared" si="5"/>
        <v>0.46578845151927456</v>
      </c>
      <c r="M31" s="98">
        <f t="shared" si="5"/>
        <v>0.46562281683566153</v>
      </c>
      <c r="N31" s="98">
        <f t="shared" si="5"/>
        <v>0.46558985372629735</v>
      </c>
      <c r="O31" s="98">
        <f t="shared" si="5"/>
        <v>0.46555689107875653</v>
      </c>
      <c r="P31" s="98">
        <f t="shared" si="5"/>
        <v>0.46557727070954369</v>
      </c>
      <c r="Q31" s="98">
        <f t="shared" si="5"/>
        <v>0.4655525147744311</v>
      </c>
      <c r="R31" s="98">
        <f t="shared" si="5"/>
        <v>0.46552775909981314</v>
      </c>
      <c r="S31" s="98">
        <f t="shared" si="5"/>
        <v>0.46550236860564764</v>
      </c>
      <c r="T31" s="98">
        <f t="shared" si="5"/>
        <v>0.46547753407332543</v>
      </c>
      <c r="U31" s="98">
        <f t="shared" si="5"/>
        <v>0.46545269980314663</v>
      </c>
      <c r="V31" s="98">
        <f t="shared" si="5"/>
        <v>0.46542717303432396</v>
      </c>
      <c r="W31" s="98">
        <f t="shared" si="5"/>
        <v>0.46540226637300847</v>
      </c>
      <c r="X31" s="98">
        <f t="shared" si="5"/>
        <v>0.46537735997539348</v>
      </c>
      <c r="Y31" s="98">
        <f t="shared" si="5"/>
        <v>0.46535169062349746</v>
      </c>
      <c r="Z31" s="98">
        <f t="shared" si="5"/>
        <v>0.46532671537713943</v>
      </c>
      <c r="AA31" s="98">
        <f t="shared" si="5"/>
        <v>0.46530174039589117</v>
      </c>
      <c r="AB31" s="98">
        <f t="shared" si="5"/>
        <v>0.46527592649458077</v>
      </c>
      <c r="AC31" s="98">
        <f t="shared" si="5"/>
        <v>0.46525088491679678</v>
      </c>
      <c r="AD31" s="98">
        <f t="shared" si="5"/>
        <v>0.46522584360558783</v>
      </c>
      <c r="AE31" s="98">
        <f t="shared" si="5"/>
        <v>0.46519988524253797</v>
      </c>
      <c r="AF31" s="98">
        <f t="shared" si="5"/>
        <v>0.46517477895036569</v>
      </c>
      <c r="AG31" s="98">
        <f t="shared" si="5"/>
        <v>0.46514967292609755</v>
      </c>
      <c r="AH31" s="98">
        <f t="shared" si="5"/>
        <v>0.4651235712920872</v>
      </c>
      <c r="AI31" s="98">
        <f t="shared" si="5"/>
        <v>0.465098401562896</v>
      </c>
      <c r="AJ31" s="98">
        <f t="shared" si="5"/>
        <v>0.46507323210300527</v>
      </c>
      <c r="AK31" s="98">
        <f t="shared" si="5"/>
        <v>0.4650469890456293</v>
      </c>
      <c r="AL31" s="98">
        <f t="shared" si="5"/>
        <v>0.46502175696576942</v>
      </c>
      <c r="AM31" s="98">
        <f t="shared" si="5"/>
        <v>0.46499652515652157</v>
      </c>
      <c r="AN31" s="98">
        <f t="shared" si="5"/>
        <v>0.46552410427357049</v>
      </c>
      <c r="AO31" s="98">
        <f t="shared" si="5"/>
        <v>0.46552875256991105</v>
      </c>
      <c r="AP31" s="98">
        <f t="shared" si="5"/>
        <v>0.46553340087543571</v>
      </c>
      <c r="AQ31" s="98">
        <f t="shared" si="5"/>
        <v>0.46553707204215233</v>
      </c>
      <c r="AR31" s="98">
        <f t="shared" si="5"/>
        <v>0.46554167150699277</v>
      </c>
      <c r="AS31" s="98">
        <f t="shared" si="5"/>
        <v>0.46554627098082269</v>
      </c>
      <c r="AT31" s="98">
        <f t="shared" si="5"/>
        <v>0.46555008347050736</v>
      </c>
      <c r="AU31" s="98">
        <f t="shared" si="5"/>
        <v>0.46555464635664839</v>
      </c>
      <c r="AV31" s="98">
        <f t="shared" si="5"/>
        <v>0.46555920925169553</v>
      </c>
      <c r="AW31" s="98">
        <f t="shared" si="5"/>
        <v>0.46556314223241674</v>
      </c>
      <c r="AX31" s="98">
        <f t="shared" si="5"/>
        <v>0.46556767775616181</v>
      </c>
      <c r="AY31" s="98">
        <f t="shared" si="5"/>
        <v>0.46557221328859105</v>
      </c>
      <c r="AZ31" s="98">
        <f t="shared" si="5"/>
        <v>0.46557625111695256</v>
      </c>
      <c r="BA31" s="98">
        <f t="shared" si="5"/>
        <v>0.46558076635127321</v>
      </c>
      <c r="BB31" s="98">
        <f t="shared" si="5"/>
        <v>0.46558528159422602</v>
      </c>
      <c r="BC31" s="98">
        <f t="shared" si="5"/>
        <v>0.4655894123261185</v>
      </c>
      <c r="BD31" s="98">
        <f t="shared" si="5"/>
        <v>0.46559391279655354</v>
      </c>
      <c r="BE31" s="98">
        <f t="shared" si="5"/>
        <v>0.46559841327566559</v>
      </c>
      <c r="BF31" s="98">
        <f t="shared" si="5"/>
        <v>0.46560262766337129</v>
      </c>
      <c r="BG31" s="98">
        <f t="shared" si="5"/>
        <v>0.46560711775553054</v>
      </c>
      <c r="BH31" s="98">
        <f t="shared" si="5"/>
        <v>0.46561160785633682</v>
      </c>
      <c r="BI31" s="98">
        <f t="shared" si="5"/>
        <v>0.46561589865588193</v>
      </c>
      <c r="BJ31" s="98">
        <f t="shared" si="5"/>
        <v>0.46562038190077087</v>
      </c>
      <c r="BK31" s="98">
        <f t="shared" si="5"/>
        <v>0.46562486515409923</v>
      </c>
      <c r="BL31" s="98">
        <f t="shared" si="5"/>
        <v>0.46565622750206465</v>
      </c>
      <c r="BM31" s="98">
        <f t="shared" si="5"/>
        <v>0.46566159210122898</v>
      </c>
      <c r="BN31" s="98">
        <f t="shared" si="5"/>
        <v>0.46566695671270519</v>
      </c>
      <c r="BO31" s="98">
        <f t="shared" si="5"/>
        <v>0.46567229503802005</v>
      </c>
      <c r="BP31" s="98">
        <f t="shared" si="5"/>
        <v>0.46567765885204504</v>
      </c>
      <c r="BQ31" s="98">
        <f t="shared" ref="BQ31" si="6">(EXP(BQ24*$C$16)-$C$18)/($C$17-$C$18)</f>
        <v>0.46568302267833955</v>
      </c>
    </row>
    <row r="32" spans="2:69" ht="15" customHeight="1">
      <c r="B32" s="70" t="s">
        <v>87</v>
      </c>
      <c r="C32" s="70"/>
      <c r="D32" s="99">
        <f>1-D31</f>
        <v>0.53384365776388276</v>
      </c>
      <c r="E32" s="99">
        <f t="shared" ref="E32:BP32" si="7">1-E31</f>
        <v>0.53399126498345484</v>
      </c>
      <c r="F32" s="99">
        <f t="shared" si="7"/>
        <v>0.53413886294494484</v>
      </c>
      <c r="G32" s="99">
        <f t="shared" si="7"/>
        <v>0.53428645164890876</v>
      </c>
      <c r="H32" s="99">
        <f t="shared" si="7"/>
        <v>0.53443403109590304</v>
      </c>
      <c r="I32" s="99">
        <f t="shared" si="7"/>
        <v>0.53458160128649013</v>
      </c>
      <c r="J32" s="99">
        <f t="shared" si="7"/>
        <v>0.53421195504631813</v>
      </c>
      <c r="K32" s="99">
        <f t="shared" si="7"/>
        <v>0.53421175176353541</v>
      </c>
      <c r="L32" s="99">
        <f t="shared" si="7"/>
        <v>0.5342115484807255</v>
      </c>
      <c r="M32" s="99">
        <f t="shared" si="7"/>
        <v>0.53437718316433847</v>
      </c>
      <c r="N32" s="99">
        <f t="shared" si="7"/>
        <v>0.53441014627370265</v>
      </c>
      <c r="O32" s="99">
        <f t="shared" si="7"/>
        <v>0.53444310892124347</v>
      </c>
      <c r="P32" s="99">
        <f t="shared" si="7"/>
        <v>0.53442272929045631</v>
      </c>
      <c r="Q32" s="99">
        <f t="shared" si="7"/>
        <v>0.53444748522556895</v>
      </c>
      <c r="R32" s="99">
        <f t="shared" si="7"/>
        <v>0.53447224090018686</v>
      </c>
      <c r="S32" s="99">
        <f t="shared" si="7"/>
        <v>0.53449763139435236</v>
      </c>
      <c r="T32" s="99">
        <f t="shared" si="7"/>
        <v>0.53452246592667452</v>
      </c>
      <c r="U32" s="99">
        <f t="shared" si="7"/>
        <v>0.53454730019685337</v>
      </c>
      <c r="V32" s="99">
        <f t="shared" si="7"/>
        <v>0.53457282696567598</v>
      </c>
      <c r="W32" s="99">
        <f t="shared" si="7"/>
        <v>0.53459773362699159</v>
      </c>
      <c r="X32" s="99">
        <f t="shared" si="7"/>
        <v>0.53462264002460658</v>
      </c>
      <c r="Y32" s="99">
        <f t="shared" si="7"/>
        <v>0.53464830937650254</v>
      </c>
      <c r="Z32" s="99">
        <f t="shared" si="7"/>
        <v>0.53467328462286057</v>
      </c>
      <c r="AA32" s="99">
        <f t="shared" si="7"/>
        <v>0.53469825960410877</v>
      </c>
      <c r="AB32" s="99">
        <f t="shared" si="7"/>
        <v>0.53472407350541928</v>
      </c>
      <c r="AC32" s="99">
        <f t="shared" si="7"/>
        <v>0.53474911508320322</v>
      </c>
      <c r="AD32" s="99">
        <f t="shared" si="7"/>
        <v>0.53477415639441217</v>
      </c>
      <c r="AE32" s="99">
        <f t="shared" si="7"/>
        <v>0.53480011475746203</v>
      </c>
      <c r="AF32" s="99">
        <f t="shared" si="7"/>
        <v>0.53482522104963426</v>
      </c>
      <c r="AG32" s="99">
        <f t="shared" si="7"/>
        <v>0.53485032707390245</v>
      </c>
      <c r="AH32" s="99">
        <f t="shared" si="7"/>
        <v>0.53487642870791285</v>
      </c>
      <c r="AI32" s="99">
        <f t="shared" si="7"/>
        <v>0.53490159843710394</v>
      </c>
      <c r="AJ32" s="99">
        <f t="shared" si="7"/>
        <v>0.53492676789699467</v>
      </c>
      <c r="AK32" s="99">
        <f t="shared" si="7"/>
        <v>0.53495301095437076</v>
      </c>
      <c r="AL32" s="99">
        <f t="shared" si="7"/>
        <v>0.53497824303423058</v>
      </c>
      <c r="AM32" s="99">
        <f t="shared" si="7"/>
        <v>0.53500347484347843</v>
      </c>
      <c r="AN32" s="99">
        <f t="shared" si="7"/>
        <v>0.53447589572642951</v>
      </c>
      <c r="AO32" s="99">
        <f t="shared" si="7"/>
        <v>0.534471247430089</v>
      </c>
      <c r="AP32" s="99">
        <f t="shared" si="7"/>
        <v>0.53446659912456429</v>
      </c>
      <c r="AQ32" s="99">
        <f t="shared" si="7"/>
        <v>0.53446292795784767</v>
      </c>
      <c r="AR32" s="99">
        <f t="shared" si="7"/>
        <v>0.53445832849300723</v>
      </c>
      <c r="AS32" s="99">
        <f t="shared" si="7"/>
        <v>0.53445372901917731</v>
      </c>
      <c r="AT32" s="99">
        <f t="shared" si="7"/>
        <v>0.5344499165294927</v>
      </c>
      <c r="AU32" s="99">
        <f t="shared" si="7"/>
        <v>0.53444535364335155</v>
      </c>
      <c r="AV32" s="99">
        <f t="shared" si="7"/>
        <v>0.53444079074830442</v>
      </c>
      <c r="AW32" s="99">
        <f t="shared" si="7"/>
        <v>0.53443685776758332</v>
      </c>
      <c r="AX32" s="99">
        <f t="shared" si="7"/>
        <v>0.53443232224383819</v>
      </c>
      <c r="AY32" s="99">
        <f t="shared" si="7"/>
        <v>0.53442778671140889</v>
      </c>
      <c r="AZ32" s="99">
        <f t="shared" si="7"/>
        <v>0.53442374888304744</v>
      </c>
      <c r="BA32" s="99">
        <f t="shared" si="7"/>
        <v>0.53441923364872679</v>
      </c>
      <c r="BB32" s="99">
        <f t="shared" si="7"/>
        <v>0.53441471840577393</v>
      </c>
      <c r="BC32" s="99">
        <f t="shared" si="7"/>
        <v>0.5344105876738815</v>
      </c>
      <c r="BD32" s="99">
        <f t="shared" si="7"/>
        <v>0.5344060872034464</v>
      </c>
      <c r="BE32" s="99">
        <f t="shared" si="7"/>
        <v>0.53440158672433435</v>
      </c>
      <c r="BF32" s="99">
        <f t="shared" si="7"/>
        <v>0.53439737233662865</v>
      </c>
      <c r="BG32" s="99">
        <f t="shared" si="7"/>
        <v>0.53439288224446946</v>
      </c>
      <c r="BH32" s="99">
        <f t="shared" si="7"/>
        <v>0.53438839214366318</v>
      </c>
      <c r="BI32" s="99">
        <f t="shared" si="7"/>
        <v>0.53438410134411807</v>
      </c>
      <c r="BJ32" s="99">
        <f t="shared" si="7"/>
        <v>0.53437961809922907</v>
      </c>
      <c r="BK32" s="99">
        <f t="shared" si="7"/>
        <v>0.53437513484590071</v>
      </c>
      <c r="BL32" s="99">
        <f t="shared" si="7"/>
        <v>0.53434377249793541</v>
      </c>
      <c r="BM32" s="99">
        <f t="shared" si="7"/>
        <v>0.53433840789877096</v>
      </c>
      <c r="BN32" s="99">
        <f t="shared" si="7"/>
        <v>0.53433304328729481</v>
      </c>
      <c r="BO32" s="99">
        <f t="shared" si="7"/>
        <v>0.5343277049619799</v>
      </c>
      <c r="BP32" s="99">
        <f t="shared" si="7"/>
        <v>0.53432234114795496</v>
      </c>
      <c r="BQ32" s="99">
        <f t="shared" ref="BQ32" si="8">1-BQ31</f>
        <v>0.5343169773216605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39"/>
  <sheetViews>
    <sheetView showGridLines="0" tabSelected="1" workbookViewId="0">
      <selection activeCell="D14" sqref="D14"/>
    </sheetView>
  </sheetViews>
  <sheetFormatPr defaultRowHeight="15" customHeight="1"/>
  <cols>
    <col min="1" max="1" width="9.140625" style="5"/>
    <col min="2" max="2" width="17.42578125" style="5" bestFit="1" customWidth="1"/>
    <col min="3" max="68" width="11.28515625" style="5" bestFit="1" customWidth="1"/>
    <col min="69" max="16384" width="9.140625" style="5"/>
  </cols>
  <sheetData>
    <row r="2" spans="2:23" ht="15" customHeight="1">
      <c r="B2" s="72" t="s">
        <v>88</v>
      </c>
      <c r="C2" s="72">
        <v>100</v>
      </c>
      <c r="E2" s="67" t="s">
        <v>89</v>
      </c>
      <c r="F2" s="67"/>
      <c r="G2" s="67"/>
      <c r="H2" s="67"/>
      <c r="I2" s="67"/>
      <c r="J2" s="67"/>
      <c r="K2" s="67"/>
      <c r="L2" s="67"/>
      <c r="M2" s="67"/>
      <c r="O2" s="67" t="s">
        <v>158</v>
      </c>
      <c r="P2" s="67"/>
      <c r="Q2" s="67"/>
      <c r="R2" s="67"/>
      <c r="S2" s="67"/>
      <c r="T2" s="67"/>
      <c r="U2" s="67"/>
      <c r="V2" s="67"/>
      <c r="W2" s="67"/>
    </row>
    <row r="3" spans="2:23" ht="15" customHeight="1">
      <c r="E3" s="68" t="s">
        <v>90</v>
      </c>
      <c r="F3" s="68">
        <v>0</v>
      </c>
      <c r="G3" s="68">
        <v>0</v>
      </c>
      <c r="H3" s="68">
        <v>0</v>
      </c>
      <c r="I3" s="68">
        <v>1</v>
      </c>
      <c r="J3" s="68">
        <v>2</v>
      </c>
      <c r="K3" s="68">
        <v>3</v>
      </c>
      <c r="L3" s="68">
        <v>4</v>
      </c>
      <c r="M3" s="68">
        <v>5</v>
      </c>
      <c r="O3" s="68" t="s">
        <v>90</v>
      </c>
      <c r="P3" s="68">
        <v>0</v>
      </c>
      <c r="Q3" s="68">
        <v>0</v>
      </c>
      <c r="R3" s="68">
        <v>0</v>
      </c>
      <c r="S3" s="68">
        <v>1</v>
      </c>
      <c r="T3" s="68">
        <v>2</v>
      </c>
      <c r="U3" s="68">
        <v>3</v>
      </c>
      <c r="V3" s="68">
        <v>4</v>
      </c>
      <c r="W3" s="68">
        <v>5</v>
      </c>
    </row>
    <row r="4" spans="2:23" ht="15" customHeight="1">
      <c r="E4" s="68" t="s">
        <v>91</v>
      </c>
      <c r="F4" s="68">
        <v>0.25</v>
      </c>
      <c r="G4" s="68">
        <v>0.5</v>
      </c>
      <c r="H4" s="68">
        <v>0.75</v>
      </c>
      <c r="I4" s="68">
        <v>1</v>
      </c>
      <c r="J4" s="68">
        <v>3</v>
      </c>
      <c r="K4" s="68">
        <v>5</v>
      </c>
      <c r="L4" s="68">
        <v>10</v>
      </c>
      <c r="M4" s="68">
        <v>20</v>
      </c>
      <c r="O4" s="68" t="s">
        <v>91</v>
      </c>
      <c r="P4" s="68">
        <v>0.25</v>
      </c>
      <c r="Q4" s="68">
        <v>0.5</v>
      </c>
      <c r="R4" s="68">
        <v>0.75</v>
      </c>
      <c r="S4" s="68">
        <v>1</v>
      </c>
      <c r="T4" s="68">
        <v>3</v>
      </c>
      <c r="U4" s="68">
        <v>5</v>
      </c>
      <c r="V4" s="68">
        <v>10</v>
      </c>
      <c r="W4" s="68">
        <v>20</v>
      </c>
    </row>
    <row r="5" spans="2:23" ht="15" customHeight="1">
      <c r="E5" s="68" t="s">
        <v>92</v>
      </c>
      <c r="F5" s="69">
        <f>채권만기수익률_Seibro!D2/100</f>
        <v>3.4099999999999998E-2</v>
      </c>
      <c r="G5" s="69">
        <f>채권만기수익률_Seibro!E2/100</f>
        <v>3.32E-2</v>
      </c>
      <c r="H5" s="69">
        <f>채권만기수익률_Seibro!F2/100</f>
        <v>3.32E-2</v>
      </c>
      <c r="I5" s="69">
        <f>채권만기수익률_Seibro!G2/100</f>
        <v>3.3000000000000002E-2</v>
      </c>
      <c r="J5" s="69">
        <f>채권만기수익률_Seibro!H2/100</f>
        <v>3.1800000000000002E-2</v>
      </c>
      <c r="K5" s="69">
        <f>채권만기수익률_Seibro!I2/100</f>
        <v>3.2000000000000001E-2</v>
      </c>
      <c r="L5" s="69">
        <f>채권만기수익률_Seibro!J2/100</f>
        <v>3.2599999999999997E-2</v>
      </c>
      <c r="M5" s="69">
        <f>채권만기수익률_Seibro!K2/100</f>
        <v>3.2500000000000001E-2</v>
      </c>
      <c r="O5" s="68" t="s">
        <v>92</v>
      </c>
      <c r="P5" s="69"/>
      <c r="Q5" s="69"/>
      <c r="R5" s="69"/>
      <c r="S5" s="69">
        <v>0.17230000000000001</v>
      </c>
      <c r="T5" s="69">
        <v>0.20380000000000001</v>
      </c>
      <c r="U5" s="69">
        <v>0.2112</v>
      </c>
      <c r="V5" s="69">
        <v>0.21679999999999999</v>
      </c>
      <c r="W5" s="69">
        <v>0.2185</v>
      </c>
    </row>
    <row r="6" spans="2:23" ht="15" customHeight="1">
      <c r="E6" s="70" t="s">
        <v>93</v>
      </c>
      <c r="F6" s="70"/>
      <c r="G6" s="70"/>
      <c r="H6" s="70"/>
      <c r="I6" s="74">
        <f>(J5-I5)/(J4-I4)</f>
        <v>-5.9999999999999984E-4</v>
      </c>
      <c r="J6" s="74">
        <f t="shared" ref="J6:L6" si="0">(K5-J5)/(K4-J4)</f>
        <v>9.9999999999999395E-5</v>
      </c>
      <c r="K6" s="74">
        <f t="shared" si="0"/>
        <v>1.1999999999999927E-4</v>
      </c>
      <c r="L6" s="74">
        <f t="shared" si="0"/>
        <v>-9.9999999999995925E-6</v>
      </c>
      <c r="M6" s="70"/>
      <c r="O6" s="70" t="s">
        <v>93</v>
      </c>
      <c r="P6" s="70"/>
      <c r="Q6" s="70"/>
      <c r="R6" s="70"/>
      <c r="S6" s="71">
        <f>(T5-S5)/(T4-S4)</f>
        <v>1.575E-2</v>
      </c>
      <c r="T6" s="71">
        <f t="shared" ref="T6" si="1">(U5-T5)/(U4-T4)</f>
        <v>3.699999999999995E-3</v>
      </c>
      <c r="U6" s="71">
        <f t="shared" ref="U6" si="2">(V5-U5)/(V4-U4)</f>
        <v>1.1199999999999988E-3</v>
      </c>
      <c r="V6" s="71">
        <f t="shared" ref="V6" si="3">(W5-V5)/(W4-V4)</f>
        <v>1.7000000000000072E-4</v>
      </c>
      <c r="W6" s="70"/>
    </row>
    <row r="9" spans="2:23" s="6" customFormat="1" ht="15" customHeight="1">
      <c r="B9" s="6" t="s">
        <v>89</v>
      </c>
    </row>
    <row r="11" spans="2:23" ht="15" customHeight="1">
      <c r="B11" s="60" t="s">
        <v>167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</row>
    <row r="12" spans="2:23" ht="15" customHeight="1">
      <c r="B12" s="77" t="s">
        <v>161</v>
      </c>
      <c r="C12" s="77"/>
      <c r="D12" s="77"/>
      <c r="E12" s="77"/>
      <c r="F12" s="78">
        <f>(SUMIFS($I$3:$M$3,$I$4:$M$4,F13)=0)*1</f>
        <v>0</v>
      </c>
      <c r="G12" s="78">
        <f t="shared" ref="G12:O12" si="4">(SUMIFS($I$3:$M$3,$I$4:$M$4,G13)=0)*1</f>
        <v>1</v>
      </c>
      <c r="H12" s="78">
        <f t="shared" si="4"/>
        <v>0</v>
      </c>
      <c r="I12" s="78">
        <f t="shared" si="4"/>
        <v>1</v>
      </c>
      <c r="J12" s="78">
        <f t="shared" si="4"/>
        <v>0</v>
      </c>
      <c r="K12" s="78">
        <f t="shared" si="4"/>
        <v>1</v>
      </c>
      <c r="L12" s="78">
        <f t="shared" si="4"/>
        <v>1</v>
      </c>
      <c r="M12" s="78">
        <f t="shared" si="4"/>
        <v>1</v>
      </c>
      <c r="N12" s="78">
        <f t="shared" si="4"/>
        <v>1</v>
      </c>
      <c r="O12" s="78">
        <f t="shared" si="4"/>
        <v>0</v>
      </c>
    </row>
    <row r="13" spans="2:23" ht="15" customHeight="1">
      <c r="B13" s="68" t="s">
        <v>159</v>
      </c>
      <c r="C13" s="68">
        <v>0.25</v>
      </c>
      <c r="D13" s="68">
        <v>0.5</v>
      </c>
      <c r="E13" s="68">
        <v>0.75</v>
      </c>
      <c r="F13" s="68">
        <v>1</v>
      </c>
      <c r="G13" s="68">
        <v>2</v>
      </c>
      <c r="H13" s="68">
        <v>3</v>
      </c>
      <c r="I13" s="68">
        <v>4</v>
      </c>
      <c r="J13" s="68">
        <v>5</v>
      </c>
      <c r="K13" s="68">
        <v>6</v>
      </c>
      <c r="L13" s="68">
        <v>7</v>
      </c>
      <c r="M13" s="68">
        <v>8</v>
      </c>
      <c r="N13" s="68">
        <v>9</v>
      </c>
      <c r="O13" s="68">
        <v>10</v>
      </c>
    </row>
    <row r="14" spans="2:23" ht="15" customHeight="1">
      <c r="B14" s="68" t="s">
        <v>92</v>
      </c>
      <c r="C14" s="73">
        <f>F5</f>
        <v>3.4099999999999998E-2</v>
      </c>
      <c r="D14" s="73">
        <f t="shared" ref="D14:F14" si="5">G5</f>
        <v>3.32E-2</v>
      </c>
      <c r="E14" s="73">
        <f t="shared" si="5"/>
        <v>3.32E-2</v>
      </c>
      <c r="F14" s="73">
        <f t="shared" si="5"/>
        <v>3.3000000000000002E-2</v>
      </c>
      <c r="G14" s="69">
        <f t="shared" ref="G14:H14" si="6">IF(G12=0,SUMIFS($I$5:$M$5,$I$4:$M$4,G13),(F14+SUMIFS($I$6:$M$6,$I$3:$M$3,G15)))</f>
        <v>3.2399999999999998E-2</v>
      </c>
      <c r="H14" s="69">
        <f t="shared" si="6"/>
        <v>3.1800000000000002E-2</v>
      </c>
      <c r="I14" s="69">
        <f>IF(I12=0,SUMIFS($I$5:$M$5,$I$4:$M$4,I13),(H14+SUMIFS($I$6:$M$6,$I$3:$M$3,I15)))</f>
        <v>3.1899999999999998E-2</v>
      </c>
      <c r="J14" s="69">
        <f t="shared" ref="J14:O14" si="7">IF(J12=0,SUMIFS($I$5:$M$5,$I$4:$M$4,J13),(I14+SUMIFS($I$6:$M$6,$I$3:$M$3,J15)))</f>
        <v>3.2000000000000001E-2</v>
      </c>
      <c r="K14" s="69">
        <f t="shared" si="7"/>
        <v>3.2120000000000003E-2</v>
      </c>
      <c r="L14" s="69">
        <f t="shared" si="7"/>
        <v>3.2240000000000005E-2</v>
      </c>
      <c r="M14" s="69">
        <f t="shared" si="7"/>
        <v>3.2360000000000007E-2</v>
      </c>
      <c r="N14" s="69">
        <f t="shared" si="7"/>
        <v>3.2480000000000009E-2</v>
      </c>
      <c r="O14" s="69">
        <f t="shared" si="7"/>
        <v>3.2599999999999997E-2</v>
      </c>
    </row>
    <row r="15" spans="2:23" ht="15" customHeight="1">
      <c r="B15" s="68" t="s">
        <v>90</v>
      </c>
      <c r="C15" s="68"/>
      <c r="D15" s="68"/>
      <c r="E15" s="68"/>
      <c r="F15" s="68">
        <f>SUMIFS($I$3:$M$3,I4:M4,F13)</f>
        <v>1</v>
      </c>
      <c r="G15" s="68">
        <f>IF(SUMIFS($I$3:$M$3,$I$4:$M$4,G13)=0,F15,SUMIFS($I$3:$M$3,$I$4:$M$4,G13))</f>
        <v>1</v>
      </c>
      <c r="H15" s="68">
        <f t="shared" ref="H15:O15" si="8">IF(SUMIFS($I$3:$M$3,$I$4:$M$4,H13)=0,G15,SUMIFS($I$3:$M$3,$I$4:$M$4,H13))</f>
        <v>2</v>
      </c>
      <c r="I15" s="68">
        <f t="shared" si="8"/>
        <v>2</v>
      </c>
      <c r="J15" s="68">
        <f t="shared" si="8"/>
        <v>3</v>
      </c>
      <c r="K15" s="68">
        <f t="shared" si="8"/>
        <v>3</v>
      </c>
      <c r="L15" s="68">
        <f t="shared" si="8"/>
        <v>3</v>
      </c>
      <c r="M15" s="68">
        <f t="shared" si="8"/>
        <v>3</v>
      </c>
      <c r="N15" s="68">
        <f t="shared" si="8"/>
        <v>3</v>
      </c>
      <c r="O15" s="68">
        <f t="shared" si="8"/>
        <v>4</v>
      </c>
    </row>
    <row r="16" spans="2:23" ht="15" customHeight="1">
      <c r="B16" s="70" t="s">
        <v>160</v>
      </c>
      <c r="C16" s="70"/>
      <c r="D16" s="70"/>
      <c r="E16" s="70"/>
      <c r="F16" s="71">
        <f>(G14-F14)/4</f>
        <v>-1.5000000000000083E-4</v>
      </c>
      <c r="G16" s="71">
        <f t="shared" ref="G16:N16" si="9">(H14-G14)/4</f>
        <v>-1.4999999999999909E-4</v>
      </c>
      <c r="H16" s="71">
        <f t="shared" si="9"/>
        <v>2.4999999999998981E-5</v>
      </c>
      <c r="I16" s="71">
        <f t="shared" si="9"/>
        <v>2.5000000000000716E-5</v>
      </c>
      <c r="J16" s="71">
        <f t="shared" si="9"/>
        <v>3.0000000000000512E-5</v>
      </c>
      <c r="K16" s="71">
        <f t="shared" si="9"/>
        <v>3.0000000000000512E-5</v>
      </c>
      <c r="L16" s="71">
        <f t="shared" si="9"/>
        <v>3.0000000000000512E-5</v>
      </c>
      <c r="M16" s="71">
        <f t="shared" si="9"/>
        <v>3.0000000000000512E-5</v>
      </c>
      <c r="N16" s="71">
        <f t="shared" si="9"/>
        <v>2.9999999999997043E-5</v>
      </c>
      <c r="O16" s="70"/>
    </row>
    <row r="18" spans="1:69" ht="15" customHeight="1">
      <c r="B18" s="67" t="s">
        <v>168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</row>
    <row r="19" spans="1:69" ht="15" customHeight="1">
      <c r="B19" s="81" t="s">
        <v>169</v>
      </c>
      <c r="C19" s="81"/>
      <c r="D19" s="81"/>
      <c r="E19" s="81"/>
      <c r="F19" s="82"/>
      <c r="G19" s="82">
        <f>ROUNDDOWN(F20,0)</f>
        <v>1</v>
      </c>
      <c r="H19" s="82">
        <f t="shared" ref="H19:X19" si="10">ROUNDDOWN(G20,0)</f>
        <v>1</v>
      </c>
      <c r="I19" s="82">
        <f t="shared" si="10"/>
        <v>1</v>
      </c>
      <c r="J19" s="82">
        <f t="shared" si="10"/>
        <v>1</v>
      </c>
      <c r="K19" s="82">
        <f t="shared" si="10"/>
        <v>2</v>
      </c>
      <c r="L19" s="82">
        <f t="shared" si="10"/>
        <v>2</v>
      </c>
      <c r="M19" s="82">
        <f t="shared" si="10"/>
        <v>2</v>
      </c>
      <c r="N19" s="82">
        <f t="shared" si="10"/>
        <v>2</v>
      </c>
      <c r="O19" s="82">
        <f t="shared" si="10"/>
        <v>3</v>
      </c>
      <c r="P19" s="82">
        <f t="shared" si="10"/>
        <v>3</v>
      </c>
      <c r="Q19" s="82">
        <f t="shared" si="10"/>
        <v>3</v>
      </c>
      <c r="R19" s="82">
        <f t="shared" si="10"/>
        <v>3</v>
      </c>
      <c r="S19" s="82">
        <f t="shared" si="10"/>
        <v>4</v>
      </c>
      <c r="T19" s="82">
        <f t="shared" si="10"/>
        <v>4</v>
      </c>
      <c r="U19" s="82">
        <f t="shared" si="10"/>
        <v>4</v>
      </c>
      <c r="V19" s="82">
        <f t="shared" si="10"/>
        <v>4</v>
      </c>
      <c r="W19" s="82">
        <f t="shared" si="10"/>
        <v>5</v>
      </c>
      <c r="X19" s="82">
        <f t="shared" si="10"/>
        <v>5</v>
      </c>
    </row>
    <row r="20" spans="1:69" ht="15" customHeight="1">
      <c r="B20" s="68"/>
      <c r="C20" s="68">
        <v>0.25</v>
      </c>
      <c r="D20" s="68">
        <v>0.5</v>
      </c>
      <c r="E20" s="68">
        <v>0.75</v>
      </c>
      <c r="F20" s="68">
        <v>1</v>
      </c>
      <c r="G20" s="68">
        <v>1.25</v>
      </c>
      <c r="H20" s="68">
        <v>1.5</v>
      </c>
      <c r="I20" s="68">
        <v>1.75</v>
      </c>
      <c r="J20" s="68">
        <v>2</v>
      </c>
      <c r="K20" s="68">
        <v>2.25</v>
      </c>
      <c r="L20" s="68">
        <v>2.5</v>
      </c>
      <c r="M20" s="68">
        <v>2.75</v>
      </c>
      <c r="N20" s="68">
        <v>3</v>
      </c>
      <c r="O20" s="68">
        <v>3.25</v>
      </c>
      <c r="P20" s="68">
        <v>3.5</v>
      </c>
      <c r="Q20" s="68">
        <v>3.75</v>
      </c>
      <c r="R20" s="68">
        <v>4</v>
      </c>
      <c r="S20" s="68">
        <v>4.25</v>
      </c>
      <c r="T20" s="68">
        <v>4.5</v>
      </c>
      <c r="U20" s="68">
        <v>4.75</v>
      </c>
      <c r="V20" s="68">
        <v>5</v>
      </c>
      <c r="W20" s="68">
        <v>5.25</v>
      </c>
      <c r="X20" s="68">
        <v>5.5</v>
      </c>
    </row>
    <row r="21" spans="1:69" ht="15" customHeight="1">
      <c r="B21" s="68" t="s">
        <v>92</v>
      </c>
      <c r="C21" s="73">
        <f>C14</f>
        <v>3.4099999999999998E-2</v>
      </c>
      <c r="D21" s="73">
        <f t="shared" ref="D21:F21" si="11">D14</f>
        <v>3.32E-2</v>
      </c>
      <c r="E21" s="73">
        <f t="shared" si="11"/>
        <v>3.32E-2</v>
      </c>
      <c r="F21" s="73">
        <f t="shared" si="11"/>
        <v>3.3000000000000002E-2</v>
      </c>
      <c r="G21" s="73">
        <f>SUMIFS($F$16:$O$16,$F$13:$O$13,G19)+F21</f>
        <v>3.2850000000000004E-2</v>
      </c>
      <c r="H21" s="73">
        <f t="shared" ref="H21:X21" si="12">SUMIFS($F$16:$O$16,$F$13:$O$13,H19)+G21</f>
        <v>3.2700000000000007E-2</v>
      </c>
      <c r="I21" s="73">
        <f t="shared" si="12"/>
        <v>3.2550000000000009E-2</v>
      </c>
      <c r="J21" s="73">
        <f t="shared" si="12"/>
        <v>3.2400000000000012E-2</v>
      </c>
      <c r="K21" s="73">
        <f t="shared" si="12"/>
        <v>3.2250000000000015E-2</v>
      </c>
      <c r="L21" s="73">
        <f t="shared" si="12"/>
        <v>3.2100000000000017E-2</v>
      </c>
      <c r="M21" s="73">
        <f t="shared" si="12"/>
        <v>3.195000000000002E-2</v>
      </c>
      <c r="N21" s="73">
        <f t="shared" si="12"/>
        <v>3.1800000000000023E-2</v>
      </c>
      <c r="O21" s="73">
        <f t="shared" si="12"/>
        <v>3.182500000000002E-2</v>
      </c>
      <c r="P21" s="73">
        <f t="shared" si="12"/>
        <v>3.1850000000000017E-2</v>
      </c>
      <c r="Q21" s="73">
        <f t="shared" si="12"/>
        <v>3.1875000000000014E-2</v>
      </c>
      <c r="R21" s="73">
        <f t="shared" si="12"/>
        <v>3.1900000000000012E-2</v>
      </c>
      <c r="S21" s="73">
        <f t="shared" si="12"/>
        <v>3.1925000000000009E-2</v>
      </c>
      <c r="T21" s="73">
        <f t="shared" si="12"/>
        <v>3.1950000000000006E-2</v>
      </c>
      <c r="U21" s="73">
        <f t="shared" si="12"/>
        <v>3.1975000000000003E-2</v>
      </c>
      <c r="V21" s="73">
        <f t="shared" si="12"/>
        <v>3.2000000000000001E-2</v>
      </c>
      <c r="W21" s="73">
        <f t="shared" si="12"/>
        <v>3.2030000000000003E-2</v>
      </c>
      <c r="X21" s="73">
        <f t="shared" si="12"/>
        <v>3.2060000000000005E-2</v>
      </c>
    </row>
    <row r="22" spans="1:69" ht="15" customHeight="1">
      <c r="B22" s="68" t="s">
        <v>162</v>
      </c>
      <c r="C22" s="69">
        <f>((C23/C25)^(1/(C20*4))-1)*4</f>
        <v>3.4099999999999575E-2</v>
      </c>
      <c r="D22" s="69">
        <f t="shared" ref="D22:X22" si="13">((D23/D25)^(1/(D20*4))-1)*4</f>
        <v>3.3196265838457251E-2</v>
      </c>
      <c r="E22" s="69">
        <f t="shared" si="13"/>
        <v>3.3197510558586885E-2</v>
      </c>
      <c r="F22" s="69">
        <f t="shared" si="13"/>
        <v>3.2995656108723459E-2</v>
      </c>
      <c r="G22" s="69">
        <f t="shared" si="13"/>
        <v>3.2844057460799547E-2</v>
      </c>
      <c r="H22" s="69">
        <f t="shared" si="13"/>
        <v>3.2691972652915346E-2</v>
      </c>
      <c r="I22" s="69">
        <f t="shared" si="13"/>
        <v>3.2539441246686174E-2</v>
      </c>
      <c r="J22" s="69">
        <f t="shared" si="13"/>
        <v>3.2386484898070833E-2</v>
      </c>
      <c r="K22" s="69">
        <f t="shared" si="13"/>
        <v>3.2233117362992836E-2</v>
      </c>
      <c r="L22" s="69">
        <f t="shared" si="13"/>
        <v>3.2079348499474136E-2</v>
      </c>
      <c r="M22" s="69">
        <f t="shared" si="13"/>
        <v>3.1925186086637858E-2</v>
      </c>
      <c r="N22" s="69">
        <f t="shared" si="13"/>
        <v>3.1770636734037794E-2</v>
      </c>
      <c r="O22" s="69">
        <f t="shared" si="13"/>
        <v>3.1799100823268311E-2</v>
      </c>
      <c r="P22" s="69">
        <f t="shared" si="13"/>
        <v>3.1827265737541133E-2</v>
      </c>
      <c r="Q22" s="69">
        <f t="shared" si="13"/>
        <v>3.1855206509121103E-2</v>
      </c>
      <c r="R22" s="69">
        <f t="shared" si="13"/>
        <v>3.1882979574556991E-2</v>
      </c>
      <c r="S22" s="69">
        <f t="shared" si="13"/>
        <v>3.1910628246058614E-2</v>
      </c>
      <c r="T22" s="69">
        <f t="shared" si="13"/>
        <v>3.1938186359126597E-2</v>
      </c>
      <c r="U22" s="69">
        <f t="shared" si="13"/>
        <v>3.1965680768329285E-2</v>
      </c>
      <c r="V22" s="69">
        <f t="shared" si="13"/>
        <v>3.1993133094377235E-2</v>
      </c>
      <c r="W22" s="69">
        <f t="shared" si="13"/>
        <v>3.2025981589153929E-2</v>
      </c>
      <c r="X22" s="69">
        <f t="shared" si="13"/>
        <v>3.2058825051921147E-2</v>
      </c>
    </row>
    <row r="23" spans="1:69" ht="15" customHeight="1">
      <c r="B23" s="68" t="s">
        <v>163</v>
      </c>
      <c r="C23" s="4">
        <f>$C$2*(1+C21/4)</f>
        <v>100.85249999999999</v>
      </c>
      <c r="D23" s="4">
        <f t="shared" ref="D23:X23" si="14">$C$2*(1+D21/4)</f>
        <v>100.83</v>
      </c>
      <c r="E23" s="4">
        <f t="shared" si="14"/>
        <v>100.83</v>
      </c>
      <c r="F23" s="4">
        <f t="shared" si="14"/>
        <v>100.825</v>
      </c>
      <c r="G23" s="4">
        <f t="shared" si="14"/>
        <v>100.82124999999999</v>
      </c>
      <c r="H23" s="4">
        <f t="shared" si="14"/>
        <v>100.81750000000001</v>
      </c>
      <c r="I23" s="4">
        <f t="shared" si="14"/>
        <v>100.81374999999998</v>
      </c>
      <c r="J23" s="4">
        <f t="shared" si="14"/>
        <v>100.81</v>
      </c>
      <c r="K23" s="4">
        <f t="shared" si="14"/>
        <v>100.80625000000001</v>
      </c>
      <c r="L23" s="4">
        <f t="shared" si="14"/>
        <v>100.80249999999999</v>
      </c>
      <c r="M23" s="4">
        <f t="shared" si="14"/>
        <v>100.79875</v>
      </c>
      <c r="N23" s="4">
        <f t="shared" si="14"/>
        <v>100.79499999999999</v>
      </c>
      <c r="O23" s="4">
        <f t="shared" si="14"/>
        <v>100.79562500000002</v>
      </c>
      <c r="P23" s="4">
        <f t="shared" si="14"/>
        <v>100.79625000000001</v>
      </c>
      <c r="Q23" s="4">
        <f t="shared" si="14"/>
        <v>100.79687500000001</v>
      </c>
      <c r="R23" s="4">
        <f t="shared" si="14"/>
        <v>100.79750000000001</v>
      </c>
      <c r="S23" s="4">
        <f t="shared" si="14"/>
        <v>100.798125</v>
      </c>
      <c r="T23" s="4">
        <f t="shared" si="14"/>
        <v>100.79875</v>
      </c>
      <c r="U23" s="4">
        <f t="shared" si="14"/>
        <v>100.799375</v>
      </c>
      <c r="V23" s="4">
        <f t="shared" si="14"/>
        <v>100.8</v>
      </c>
      <c r="W23" s="4">
        <f t="shared" si="14"/>
        <v>100.80074999999999</v>
      </c>
      <c r="X23" s="4">
        <f t="shared" si="14"/>
        <v>100.8015</v>
      </c>
    </row>
    <row r="24" spans="1:69" ht="15" customHeight="1">
      <c r="B24" s="68" t="s">
        <v>164</v>
      </c>
      <c r="C24" s="68">
        <v>0</v>
      </c>
      <c r="D24" s="68">
        <f>($C$2*(D21/4))*SUM($C$26:C26)</f>
        <v>0.82298406088098952</v>
      </c>
      <c r="E24" s="68">
        <f>($C$2*(E21/4))*SUM($C$26:D26)</f>
        <v>1.6393772298730434</v>
      </c>
      <c r="F24" s="68">
        <f>($C$2*(F21/4))*SUM($C$26:E26)</f>
        <v>2.434296799988124</v>
      </c>
      <c r="G24" s="68">
        <f>($C$2*(G21/4))*SUM($C$26:F26)</f>
        <v>3.2179338601870899</v>
      </c>
      <c r="H24" s="68">
        <f>($C$2*(H21/4))*SUM($C$26:G26)</f>
        <v>3.9879887407351404</v>
      </c>
      <c r="I24" s="68">
        <f>($C$2*(I21/4))*SUM($C$26:H26)</f>
        <v>4.7446576382091337</v>
      </c>
      <c r="J24" s="68">
        <f>($C$2*(J21/4))*SUM($C$26:I26)</f>
        <v>5.4881331727727964</v>
      </c>
      <c r="K24" s="68">
        <f>($C$2*(K21/4))*SUM($C$26:J26)</f>
        <v>6.2186044527574396</v>
      </c>
      <c r="L24" s="68">
        <f>($C$2*(L21/4))*SUM($C$26:K26)</f>
        <v>6.936257137942051</v>
      </c>
      <c r="M24" s="68">
        <f>($C$2*(M21/4))*SUM($C$26:L26)</f>
        <v>7.6412735015595974</v>
      </c>
      <c r="N24" s="68">
        <f>($C$2*(N21/4))*SUM($C$26:M26)</f>
        <v>8.3338324910557908</v>
      </c>
      <c r="O24" s="68">
        <f>($C$2*(O21/4))*SUM($C$26:N26)</f>
        <v>9.0639508370046347</v>
      </c>
      <c r="P24" s="68">
        <f>($C$2*(P21/4))*SUM($C$26:O26)</f>
        <v>9.7894338042111162</v>
      </c>
      <c r="Q24" s="68">
        <f>($C$2*(Q21/4))*SUM($C$26:P26)</f>
        <v>10.510304518457939</v>
      </c>
      <c r="R24" s="68">
        <f>($C$2*(R21/4))*SUM($C$26:Q26)</f>
        <v>11.226586037067964</v>
      </c>
      <c r="S24" s="68">
        <f>($C$2*(S21/4))*SUM($C$26:R26)</f>
        <v>11.938301348731162</v>
      </c>
      <c r="T24" s="68">
        <f>($C$2*(T21/4))*SUM($C$26:S26)</f>
        <v>12.645473373335561</v>
      </c>
      <c r="U24" s="68">
        <f>($C$2*(U21/4))*SUM($C$26:T26)</f>
        <v>13.34812496180202</v>
      </c>
      <c r="V24" s="68">
        <f>($C$2*(V21/4))*SUM($C$26:U26)</f>
        <v>14.046278895922928</v>
      </c>
      <c r="W24" s="68">
        <f>($C$2*(W21/4))*SUM($C$26:V26)</f>
        <v>14.742259208718112</v>
      </c>
      <c r="X24" s="68">
        <f>($C$2*(X21/4))*SUM($C$26:W26)</f>
        <v>15.433979540626829</v>
      </c>
    </row>
    <row r="25" spans="1:69" ht="15" customHeight="1">
      <c r="B25" s="68" t="s">
        <v>165</v>
      </c>
      <c r="C25" s="68">
        <f>$C$2-C24</f>
        <v>100</v>
      </c>
      <c r="D25" s="68">
        <f t="shared" ref="D25:X25" si="15">$C$2-D24</f>
        <v>99.177015939119016</v>
      </c>
      <c r="E25" s="68">
        <f t="shared" si="15"/>
        <v>98.360622770126952</v>
      </c>
      <c r="F25" s="68">
        <f t="shared" si="15"/>
        <v>97.565703200011882</v>
      </c>
      <c r="G25" s="68">
        <f t="shared" si="15"/>
        <v>96.782066139812912</v>
      </c>
      <c r="H25" s="68">
        <f t="shared" si="15"/>
        <v>96.012011259264852</v>
      </c>
      <c r="I25" s="68">
        <f t="shared" si="15"/>
        <v>95.255342361790866</v>
      </c>
      <c r="J25" s="68">
        <f t="shared" si="15"/>
        <v>94.511866827227209</v>
      </c>
      <c r="K25" s="68">
        <f t="shared" si="15"/>
        <v>93.781395547242568</v>
      </c>
      <c r="L25" s="68">
        <f t="shared" si="15"/>
        <v>93.06374286205795</v>
      </c>
      <c r="M25" s="68">
        <f t="shared" si="15"/>
        <v>92.358726498440404</v>
      </c>
      <c r="N25" s="68">
        <f t="shared" si="15"/>
        <v>91.666167508944213</v>
      </c>
      <c r="O25" s="68">
        <f t="shared" si="15"/>
        <v>90.93604916299536</v>
      </c>
      <c r="P25" s="68">
        <f t="shared" si="15"/>
        <v>90.210566195788886</v>
      </c>
      <c r="Q25" s="68">
        <f t="shared" si="15"/>
        <v>89.489695481542057</v>
      </c>
      <c r="R25" s="68">
        <f t="shared" si="15"/>
        <v>88.77341396293204</v>
      </c>
      <c r="S25" s="68">
        <f t="shared" si="15"/>
        <v>88.061698651268841</v>
      </c>
      <c r="T25" s="68">
        <f t="shared" si="15"/>
        <v>87.354526626664438</v>
      </c>
      <c r="U25" s="68">
        <f t="shared" si="15"/>
        <v>86.651875038197986</v>
      </c>
      <c r="V25" s="68">
        <f t="shared" si="15"/>
        <v>85.953721104077076</v>
      </c>
      <c r="W25" s="68">
        <f t="shared" si="15"/>
        <v>85.25774079128189</v>
      </c>
      <c r="X25" s="68">
        <f t="shared" si="15"/>
        <v>84.566020459373163</v>
      </c>
    </row>
    <row r="26" spans="1:69" ht="15" customHeight="1">
      <c r="B26" s="70" t="s">
        <v>166</v>
      </c>
      <c r="C26" s="70">
        <f>1/(1+C22/4)^(C20*4)</f>
        <v>0.99154706130239711</v>
      </c>
      <c r="D26" s="70">
        <f t="shared" ref="D26:X26" si="16">1/(1+D22/4)^(D20*4)</f>
        <v>0.9836062277012696</v>
      </c>
      <c r="E26" s="70">
        <f t="shared" si="16"/>
        <v>0.97550949886072602</v>
      </c>
      <c r="F26" s="70">
        <f t="shared" si="16"/>
        <v>0.96767372377894278</v>
      </c>
      <c r="G26" s="70">
        <f t="shared" si="16"/>
        <v>0.95993717732931216</v>
      </c>
      <c r="H26" s="70">
        <f t="shared" si="16"/>
        <v>0.95233477580047943</v>
      </c>
      <c r="I26" s="70">
        <f t="shared" si="16"/>
        <v>0.94486458803279172</v>
      </c>
      <c r="J26" s="70">
        <f t="shared" si="16"/>
        <v>0.93752471805601767</v>
      </c>
      <c r="K26" s="70">
        <f t="shared" si="16"/>
        <v>0.93031330445525473</v>
      </c>
      <c r="L26" s="70">
        <f t="shared" si="16"/>
        <v>0.92322851974958964</v>
      </c>
      <c r="M26" s="70">
        <f t="shared" si="16"/>
        <v>0.9162685697832611</v>
      </c>
      <c r="N26" s="70">
        <f t="shared" si="16"/>
        <v>0.90943169312906635</v>
      </c>
      <c r="O26" s="70">
        <f t="shared" si="16"/>
        <v>0.90218250209763839</v>
      </c>
      <c r="P26" s="70">
        <f t="shared" si="16"/>
        <v>0.89497938857634807</v>
      </c>
      <c r="Q26" s="70">
        <f t="shared" si="16"/>
        <v>0.88782212227851409</v>
      </c>
      <c r="R26" s="70">
        <f t="shared" si="16"/>
        <v>0.88071047360234134</v>
      </c>
      <c r="S26" s="70">
        <f t="shared" si="16"/>
        <v>0.87364421363263101</v>
      </c>
      <c r="T26" s="70">
        <f t="shared" si="16"/>
        <v>0.86662311414243154</v>
      </c>
      <c r="U26" s="70">
        <f t="shared" si="16"/>
        <v>0.85964694759464477</v>
      </c>
      <c r="V26" s="70">
        <f t="shared" si="16"/>
        <v>0.852715487143623</v>
      </c>
      <c r="W26" s="70">
        <f t="shared" si="16"/>
        <v>0.84580462735923889</v>
      </c>
      <c r="X26" s="70">
        <f t="shared" si="16"/>
        <v>0.83893613149976209</v>
      </c>
    </row>
    <row r="27" spans="1:69" ht="15" customHeight="1">
      <c r="B27" s="59">
        <f>평가기준일</f>
        <v>45473</v>
      </c>
      <c r="C27" s="59">
        <f>EOMONTH(B27,3)</f>
        <v>45565</v>
      </c>
      <c r="D27" s="59">
        <f t="shared" ref="D27:X27" si="17">EOMONTH(C27,3)</f>
        <v>45657</v>
      </c>
      <c r="E27" s="59">
        <f t="shared" si="17"/>
        <v>45747</v>
      </c>
      <c r="F27" s="59">
        <f t="shared" si="17"/>
        <v>45838</v>
      </c>
      <c r="G27" s="59">
        <f t="shared" si="17"/>
        <v>45930</v>
      </c>
      <c r="H27" s="59">
        <f t="shared" si="17"/>
        <v>46022</v>
      </c>
      <c r="I27" s="59">
        <f t="shared" si="17"/>
        <v>46112</v>
      </c>
      <c r="J27" s="59">
        <f t="shared" si="17"/>
        <v>46203</v>
      </c>
      <c r="K27" s="59">
        <f t="shared" si="17"/>
        <v>46295</v>
      </c>
      <c r="L27" s="59">
        <f t="shared" si="17"/>
        <v>46387</v>
      </c>
      <c r="M27" s="59">
        <f t="shared" si="17"/>
        <v>46477</v>
      </c>
      <c r="N27" s="59">
        <f t="shared" si="17"/>
        <v>46568</v>
      </c>
      <c r="O27" s="59">
        <f t="shared" si="17"/>
        <v>46660</v>
      </c>
      <c r="P27" s="59">
        <f t="shared" si="17"/>
        <v>46752</v>
      </c>
      <c r="Q27" s="59">
        <f t="shared" si="17"/>
        <v>46843</v>
      </c>
      <c r="R27" s="59">
        <f t="shared" si="17"/>
        <v>46934</v>
      </c>
      <c r="S27" s="59">
        <f t="shared" si="17"/>
        <v>47026</v>
      </c>
      <c r="T27" s="59">
        <f t="shared" si="17"/>
        <v>47118</v>
      </c>
      <c r="U27" s="59">
        <f t="shared" si="17"/>
        <v>47208</v>
      </c>
      <c r="V27" s="59">
        <f t="shared" si="17"/>
        <v>47299</v>
      </c>
      <c r="W27" s="59">
        <f t="shared" si="17"/>
        <v>47391</v>
      </c>
      <c r="X27" s="59">
        <f t="shared" si="17"/>
        <v>47483</v>
      </c>
    </row>
    <row r="28" spans="1:69" ht="15" customHeight="1"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</row>
    <row r="30" spans="1:69" ht="15" customHeight="1">
      <c r="B30" s="67" t="s">
        <v>177</v>
      </c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</row>
    <row r="31" spans="1:69" ht="15" customHeight="1">
      <c r="A31" s="79" t="s">
        <v>173</v>
      </c>
      <c r="B31" s="83" t="s">
        <v>172</v>
      </c>
      <c r="C31" s="78"/>
      <c r="D31" s="78"/>
      <c r="E31" s="78">
        <f>IF(MOD(MONTH(E33),3)=0,1,0)</f>
        <v>1</v>
      </c>
      <c r="F31" s="78">
        <f t="shared" ref="F31:BP31" si="18">IF(MOD(MONTH(F33),3)=0,1,0)</f>
        <v>0</v>
      </c>
      <c r="G31" s="78">
        <f t="shared" si="18"/>
        <v>0</v>
      </c>
      <c r="H31" s="78">
        <f t="shared" si="18"/>
        <v>1</v>
      </c>
      <c r="I31" s="78">
        <f t="shared" si="18"/>
        <v>0</v>
      </c>
      <c r="J31" s="78">
        <f t="shared" si="18"/>
        <v>0</v>
      </c>
      <c r="K31" s="78">
        <f t="shared" si="18"/>
        <v>1</v>
      </c>
      <c r="L31" s="78">
        <f t="shared" si="18"/>
        <v>0</v>
      </c>
      <c r="M31" s="78">
        <f t="shared" si="18"/>
        <v>0</v>
      </c>
      <c r="N31" s="78">
        <f t="shared" si="18"/>
        <v>1</v>
      </c>
      <c r="O31" s="78">
        <f t="shared" si="18"/>
        <v>0</v>
      </c>
      <c r="P31" s="78">
        <f t="shared" si="18"/>
        <v>0</v>
      </c>
      <c r="Q31" s="78">
        <f t="shared" si="18"/>
        <v>1</v>
      </c>
      <c r="R31" s="78">
        <f t="shared" si="18"/>
        <v>0</v>
      </c>
      <c r="S31" s="78">
        <f t="shared" si="18"/>
        <v>0</v>
      </c>
      <c r="T31" s="78">
        <f t="shared" si="18"/>
        <v>1</v>
      </c>
      <c r="U31" s="78">
        <f t="shared" si="18"/>
        <v>0</v>
      </c>
      <c r="V31" s="78">
        <f t="shared" si="18"/>
        <v>0</v>
      </c>
      <c r="W31" s="78">
        <f t="shared" si="18"/>
        <v>1</v>
      </c>
      <c r="X31" s="78">
        <f t="shared" si="18"/>
        <v>0</v>
      </c>
      <c r="Y31" s="78">
        <f t="shared" si="18"/>
        <v>0</v>
      </c>
      <c r="Z31" s="78">
        <f t="shared" si="18"/>
        <v>1</v>
      </c>
      <c r="AA31" s="78">
        <f t="shared" si="18"/>
        <v>0</v>
      </c>
      <c r="AB31" s="78">
        <f t="shared" si="18"/>
        <v>0</v>
      </c>
      <c r="AC31" s="78">
        <f t="shared" si="18"/>
        <v>1</v>
      </c>
      <c r="AD31" s="78">
        <f t="shared" si="18"/>
        <v>0</v>
      </c>
      <c r="AE31" s="78">
        <f t="shared" si="18"/>
        <v>0</v>
      </c>
      <c r="AF31" s="78">
        <f t="shared" si="18"/>
        <v>1</v>
      </c>
      <c r="AG31" s="78">
        <f t="shared" si="18"/>
        <v>0</v>
      </c>
      <c r="AH31" s="78">
        <f t="shared" si="18"/>
        <v>0</v>
      </c>
      <c r="AI31" s="78">
        <f t="shared" si="18"/>
        <v>1</v>
      </c>
      <c r="AJ31" s="78">
        <f t="shared" si="18"/>
        <v>0</v>
      </c>
      <c r="AK31" s="78">
        <f t="shared" si="18"/>
        <v>0</v>
      </c>
      <c r="AL31" s="78">
        <f t="shared" si="18"/>
        <v>1</v>
      </c>
      <c r="AM31" s="78">
        <f t="shared" si="18"/>
        <v>0</v>
      </c>
      <c r="AN31" s="78">
        <f t="shared" si="18"/>
        <v>0</v>
      </c>
      <c r="AO31" s="78">
        <f t="shared" si="18"/>
        <v>1</v>
      </c>
      <c r="AP31" s="78">
        <f t="shared" si="18"/>
        <v>0</v>
      </c>
      <c r="AQ31" s="78">
        <f t="shared" si="18"/>
        <v>0</v>
      </c>
      <c r="AR31" s="78">
        <f t="shared" si="18"/>
        <v>1</v>
      </c>
      <c r="AS31" s="78">
        <f t="shared" si="18"/>
        <v>0</v>
      </c>
      <c r="AT31" s="78">
        <f t="shared" si="18"/>
        <v>0</v>
      </c>
      <c r="AU31" s="78">
        <f t="shared" si="18"/>
        <v>1</v>
      </c>
      <c r="AV31" s="78">
        <f t="shared" si="18"/>
        <v>0</v>
      </c>
      <c r="AW31" s="78">
        <f t="shared" si="18"/>
        <v>0</v>
      </c>
      <c r="AX31" s="78">
        <f t="shared" si="18"/>
        <v>1</v>
      </c>
      <c r="AY31" s="78">
        <f t="shared" si="18"/>
        <v>0</v>
      </c>
      <c r="AZ31" s="78">
        <f t="shared" si="18"/>
        <v>0</v>
      </c>
      <c r="BA31" s="78">
        <f t="shared" si="18"/>
        <v>1</v>
      </c>
      <c r="BB31" s="78">
        <f t="shared" si="18"/>
        <v>0</v>
      </c>
      <c r="BC31" s="78">
        <f t="shared" si="18"/>
        <v>0</v>
      </c>
      <c r="BD31" s="78">
        <f t="shared" si="18"/>
        <v>1</v>
      </c>
      <c r="BE31" s="78">
        <f t="shared" si="18"/>
        <v>0</v>
      </c>
      <c r="BF31" s="78">
        <f t="shared" si="18"/>
        <v>0</v>
      </c>
      <c r="BG31" s="78">
        <f t="shared" si="18"/>
        <v>1</v>
      </c>
      <c r="BH31" s="78">
        <f t="shared" si="18"/>
        <v>0</v>
      </c>
      <c r="BI31" s="78">
        <f t="shared" si="18"/>
        <v>0</v>
      </c>
      <c r="BJ31" s="78">
        <f t="shared" si="18"/>
        <v>1</v>
      </c>
      <c r="BK31" s="78">
        <f t="shared" si="18"/>
        <v>0</v>
      </c>
      <c r="BL31" s="78">
        <f t="shared" si="18"/>
        <v>0</v>
      </c>
      <c r="BM31" s="78">
        <f t="shared" si="18"/>
        <v>1</v>
      </c>
      <c r="BN31" s="78">
        <f t="shared" si="18"/>
        <v>0</v>
      </c>
      <c r="BO31" s="78">
        <f t="shared" si="18"/>
        <v>0</v>
      </c>
      <c r="BP31" s="84">
        <f t="shared" si="18"/>
        <v>1</v>
      </c>
    </row>
    <row r="32" spans="1:69" ht="15" customHeight="1">
      <c r="B32" s="85" t="s">
        <v>170</v>
      </c>
      <c r="C32" s="4">
        <f>1/12</f>
        <v>8.3333333333333329E-2</v>
      </c>
      <c r="D32" s="4">
        <f>C32+1/12</f>
        <v>0.16666666666666666</v>
      </c>
      <c r="E32" s="4">
        <f t="shared" ref="E32:BP32" si="19">D32+1/12</f>
        <v>0.25</v>
      </c>
      <c r="F32" s="4">
        <f t="shared" si="19"/>
        <v>0.33333333333333331</v>
      </c>
      <c r="G32" s="4">
        <f t="shared" si="19"/>
        <v>0.41666666666666663</v>
      </c>
      <c r="H32" s="4">
        <f>G32+1/12</f>
        <v>0.49999999999999994</v>
      </c>
      <c r="I32" s="4">
        <f t="shared" si="19"/>
        <v>0.58333333333333326</v>
      </c>
      <c r="J32" s="4">
        <f t="shared" si="19"/>
        <v>0.66666666666666663</v>
      </c>
      <c r="K32" s="4">
        <f t="shared" si="19"/>
        <v>0.75</v>
      </c>
      <c r="L32" s="4">
        <f t="shared" si="19"/>
        <v>0.83333333333333337</v>
      </c>
      <c r="M32" s="4">
        <f t="shared" si="19"/>
        <v>0.91666666666666674</v>
      </c>
      <c r="N32" s="4">
        <f t="shared" si="19"/>
        <v>1</v>
      </c>
      <c r="O32" s="4">
        <f t="shared" si="19"/>
        <v>1.0833333333333333</v>
      </c>
      <c r="P32" s="4">
        <f t="shared" si="19"/>
        <v>1.1666666666666665</v>
      </c>
      <c r="Q32" s="4">
        <f t="shared" si="19"/>
        <v>1.2499999999999998</v>
      </c>
      <c r="R32" s="4">
        <f t="shared" si="19"/>
        <v>1.333333333333333</v>
      </c>
      <c r="S32" s="4">
        <f t="shared" si="19"/>
        <v>1.4166666666666663</v>
      </c>
      <c r="T32" s="4">
        <f t="shared" si="19"/>
        <v>1.4999999999999996</v>
      </c>
      <c r="U32" s="4">
        <f t="shared" si="19"/>
        <v>1.5833333333333328</v>
      </c>
      <c r="V32" s="4">
        <f t="shared" si="19"/>
        <v>1.6666666666666661</v>
      </c>
      <c r="W32" s="4">
        <f t="shared" si="19"/>
        <v>1.7499999999999993</v>
      </c>
      <c r="X32" s="4">
        <f t="shared" si="19"/>
        <v>1.8333333333333326</v>
      </c>
      <c r="Y32" s="4">
        <f t="shared" si="19"/>
        <v>1.9166666666666659</v>
      </c>
      <c r="Z32" s="4">
        <f t="shared" si="19"/>
        <v>1.9999999999999991</v>
      </c>
      <c r="AA32" s="4">
        <f t="shared" si="19"/>
        <v>2.0833333333333326</v>
      </c>
      <c r="AB32" s="4">
        <f t="shared" si="19"/>
        <v>2.1666666666666661</v>
      </c>
      <c r="AC32" s="4">
        <f t="shared" si="19"/>
        <v>2.2499999999999996</v>
      </c>
      <c r="AD32" s="4">
        <f t="shared" si="19"/>
        <v>2.333333333333333</v>
      </c>
      <c r="AE32" s="4">
        <f t="shared" si="19"/>
        <v>2.4166666666666665</v>
      </c>
      <c r="AF32" s="4">
        <f t="shared" si="19"/>
        <v>2.5</v>
      </c>
      <c r="AG32" s="4">
        <f t="shared" si="19"/>
        <v>2.5833333333333335</v>
      </c>
      <c r="AH32" s="4">
        <f t="shared" si="19"/>
        <v>2.666666666666667</v>
      </c>
      <c r="AI32" s="4">
        <f t="shared" si="19"/>
        <v>2.7500000000000004</v>
      </c>
      <c r="AJ32" s="4">
        <f t="shared" si="19"/>
        <v>2.8333333333333339</v>
      </c>
      <c r="AK32" s="4">
        <f t="shared" si="19"/>
        <v>2.9166666666666674</v>
      </c>
      <c r="AL32" s="4">
        <f t="shared" si="19"/>
        <v>3.0000000000000009</v>
      </c>
      <c r="AM32" s="4">
        <f t="shared" si="19"/>
        <v>3.0833333333333344</v>
      </c>
      <c r="AN32" s="4">
        <f t="shared" si="19"/>
        <v>3.1666666666666679</v>
      </c>
      <c r="AO32" s="4">
        <f t="shared" si="19"/>
        <v>3.2500000000000013</v>
      </c>
      <c r="AP32" s="4">
        <f t="shared" si="19"/>
        <v>3.3333333333333348</v>
      </c>
      <c r="AQ32" s="4">
        <f t="shared" si="19"/>
        <v>3.4166666666666683</v>
      </c>
      <c r="AR32" s="4">
        <f t="shared" si="19"/>
        <v>3.5000000000000018</v>
      </c>
      <c r="AS32" s="4">
        <f t="shared" si="19"/>
        <v>3.5833333333333353</v>
      </c>
      <c r="AT32" s="4">
        <f t="shared" si="19"/>
        <v>3.6666666666666687</v>
      </c>
      <c r="AU32" s="4">
        <f t="shared" si="19"/>
        <v>3.7500000000000022</v>
      </c>
      <c r="AV32" s="4">
        <f t="shared" si="19"/>
        <v>3.8333333333333357</v>
      </c>
      <c r="AW32" s="4">
        <f t="shared" si="19"/>
        <v>3.9166666666666692</v>
      </c>
      <c r="AX32" s="4">
        <f t="shared" si="19"/>
        <v>4.0000000000000027</v>
      </c>
      <c r="AY32" s="4">
        <f t="shared" si="19"/>
        <v>4.0833333333333357</v>
      </c>
      <c r="AZ32" s="4">
        <f t="shared" si="19"/>
        <v>4.1666666666666687</v>
      </c>
      <c r="BA32" s="4">
        <f t="shared" si="19"/>
        <v>4.2500000000000018</v>
      </c>
      <c r="BB32" s="4">
        <f t="shared" si="19"/>
        <v>4.3333333333333348</v>
      </c>
      <c r="BC32" s="4">
        <f t="shared" si="19"/>
        <v>4.4166666666666679</v>
      </c>
      <c r="BD32" s="4">
        <f t="shared" si="19"/>
        <v>4.5000000000000009</v>
      </c>
      <c r="BE32" s="4">
        <f t="shared" si="19"/>
        <v>4.5833333333333339</v>
      </c>
      <c r="BF32" s="4">
        <f t="shared" si="19"/>
        <v>4.666666666666667</v>
      </c>
      <c r="BG32" s="4">
        <f t="shared" si="19"/>
        <v>4.75</v>
      </c>
      <c r="BH32" s="4">
        <f t="shared" si="19"/>
        <v>4.833333333333333</v>
      </c>
      <c r="BI32" s="4">
        <f t="shared" si="19"/>
        <v>4.9166666666666661</v>
      </c>
      <c r="BJ32" s="4">
        <f t="shared" si="19"/>
        <v>4.9999999999999991</v>
      </c>
      <c r="BK32" s="4">
        <f t="shared" si="19"/>
        <v>5.0833333333333321</v>
      </c>
      <c r="BL32" s="4">
        <f t="shared" si="19"/>
        <v>5.1666666666666652</v>
      </c>
      <c r="BM32" s="4">
        <f t="shared" si="19"/>
        <v>5.2499999999999982</v>
      </c>
      <c r="BN32" s="4">
        <f t="shared" si="19"/>
        <v>5.3333333333333313</v>
      </c>
      <c r="BO32" s="4">
        <f t="shared" si="19"/>
        <v>5.4166666666666643</v>
      </c>
      <c r="BP32" s="86">
        <f t="shared" si="19"/>
        <v>5.4999999999999973</v>
      </c>
      <c r="BQ32" s="2"/>
    </row>
    <row r="33" spans="2:68" ht="15" customHeight="1">
      <c r="B33" s="85" t="s">
        <v>78</v>
      </c>
      <c r="C33" s="87">
        <f>EOMONTH(B27,1)</f>
        <v>45504</v>
      </c>
      <c r="D33" s="87">
        <f>EOMONTH(C33,1)</f>
        <v>45535</v>
      </c>
      <c r="E33" s="87">
        <f t="shared" ref="E33:BP33" si="20">EOMONTH(D33,1)</f>
        <v>45565</v>
      </c>
      <c r="F33" s="87">
        <f t="shared" si="20"/>
        <v>45596</v>
      </c>
      <c r="G33" s="87">
        <f t="shared" si="20"/>
        <v>45626</v>
      </c>
      <c r="H33" s="87">
        <f t="shared" si="20"/>
        <v>45657</v>
      </c>
      <c r="I33" s="87">
        <f t="shared" si="20"/>
        <v>45688</v>
      </c>
      <c r="J33" s="87">
        <f t="shared" si="20"/>
        <v>45716</v>
      </c>
      <c r="K33" s="87">
        <f t="shared" si="20"/>
        <v>45747</v>
      </c>
      <c r="L33" s="87">
        <f t="shared" si="20"/>
        <v>45777</v>
      </c>
      <c r="M33" s="87">
        <f t="shared" si="20"/>
        <v>45808</v>
      </c>
      <c r="N33" s="87">
        <f t="shared" si="20"/>
        <v>45838</v>
      </c>
      <c r="O33" s="87">
        <f t="shared" si="20"/>
        <v>45869</v>
      </c>
      <c r="P33" s="87">
        <f t="shared" si="20"/>
        <v>45900</v>
      </c>
      <c r="Q33" s="87">
        <f t="shared" si="20"/>
        <v>45930</v>
      </c>
      <c r="R33" s="87">
        <f t="shared" si="20"/>
        <v>45961</v>
      </c>
      <c r="S33" s="87">
        <f t="shared" si="20"/>
        <v>45991</v>
      </c>
      <c r="T33" s="87">
        <f t="shared" si="20"/>
        <v>46022</v>
      </c>
      <c r="U33" s="87">
        <f t="shared" si="20"/>
        <v>46053</v>
      </c>
      <c r="V33" s="87">
        <f t="shared" si="20"/>
        <v>46081</v>
      </c>
      <c r="W33" s="87">
        <f t="shared" si="20"/>
        <v>46112</v>
      </c>
      <c r="X33" s="87">
        <f t="shared" si="20"/>
        <v>46142</v>
      </c>
      <c r="Y33" s="87">
        <f t="shared" si="20"/>
        <v>46173</v>
      </c>
      <c r="Z33" s="87">
        <f t="shared" si="20"/>
        <v>46203</v>
      </c>
      <c r="AA33" s="87">
        <f t="shared" si="20"/>
        <v>46234</v>
      </c>
      <c r="AB33" s="87">
        <f t="shared" si="20"/>
        <v>46265</v>
      </c>
      <c r="AC33" s="87">
        <f t="shared" si="20"/>
        <v>46295</v>
      </c>
      <c r="AD33" s="87">
        <f t="shared" si="20"/>
        <v>46326</v>
      </c>
      <c r="AE33" s="87">
        <f t="shared" si="20"/>
        <v>46356</v>
      </c>
      <c r="AF33" s="87">
        <f t="shared" si="20"/>
        <v>46387</v>
      </c>
      <c r="AG33" s="87">
        <f t="shared" si="20"/>
        <v>46418</v>
      </c>
      <c r="AH33" s="87">
        <f t="shared" si="20"/>
        <v>46446</v>
      </c>
      <c r="AI33" s="87">
        <f t="shared" si="20"/>
        <v>46477</v>
      </c>
      <c r="AJ33" s="87">
        <f t="shared" si="20"/>
        <v>46507</v>
      </c>
      <c r="AK33" s="87">
        <f t="shared" si="20"/>
        <v>46538</v>
      </c>
      <c r="AL33" s="87">
        <f t="shared" si="20"/>
        <v>46568</v>
      </c>
      <c r="AM33" s="87">
        <f t="shared" si="20"/>
        <v>46599</v>
      </c>
      <c r="AN33" s="87">
        <f t="shared" si="20"/>
        <v>46630</v>
      </c>
      <c r="AO33" s="87">
        <f t="shared" si="20"/>
        <v>46660</v>
      </c>
      <c r="AP33" s="87">
        <f t="shared" si="20"/>
        <v>46691</v>
      </c>
      <c r="AQ33" s="87">
        <f t="shared" si="20"/>
        <v>46721</v>
      </c>
      <c r="AR33" s="87">
        <f t="shared" si="20"/>
        <v>46752</v>
      </c>
      <c r="AS33" s="87">
        <f t="shared" si="20"/>
        <v>46783</v>
      </c>
      <c r="AT33" s="87">
        <f t="shared" si="20"/>
        <v>46812</v>
      </c>
      <c r="AU33" s="87">
        <f t="shared" si="20"/>
        <v>46843</v>
      </c>
      <c r="AV33" s="87">
        <f t="shared" si="20"/>
        <v>46873</v>
      </c>
      <c r="AW33" s="87">
        <f t="shared" si="20"/>
        <v>46904</v>
      </c>
      <c r="AX33" s="87">
        <f t="shared" si="20"/>
        <v>46934</v>
      </c>
      <c r="AY33" s="87">
        <f t="shared" si="20"/>
        <v>46965</v>
      </c>
      <c r="AZ33" s="87">
        <f t="shared" si="20"/>
        <v>46996</v>
      </c>
      <c r="BA33" s="87">
        <f t="shared" si="20"/>
        <v>47026</v>
      </c>
      <c r="BB33" s="87">
        <f t="shared" si="20"/>
        <v>47057</v>
      </c>
      <c r="BC33" s="87">
        <f t="shared" si="20"/>
        <v>47087</v>
      </c>
      <c r="BD33" s="87">
        <f t="shared" si="20"/>
        <v>47118</v>
      </c>
      <c r="BE33" s="87">
        <f t="shared" si="20"/>
        <v>47149</v>
      </c>
      <c r="BF33" s="87">
        <f t="shared" si="20"/>
        <v>47177</v>
      </c>
      <c r="BG33" s="87">
        <f t="shared" si="20"/>
        <v>47208</v>
      </c>
      <c r="BH33" s="87">
        <f t="shared" si="20"/>
        <v>47238</v>
      </c>
      <c r="BI33" s="87">
        <f t="shared" si="20"/>
        <v>47269</v>
      </c>
      <c r="BJ33" s="87">
        <f t="shared" si="20"/>
        <v>47299</v>
      </c>
      <c r="BK33" s="87">
        <f t="shared" si="20"/>
        <v>47330</v>
      </c>
      <c r="BL33" s="87">
        <f t="shared" si="20"/>
        <v>47361</v>
      </c>
      <c r="BM33" s="87">
        <f t="shared" si="20"/>
        <v>47391</v>
      </c>
      <c r="BN33" s="87">
        <f t="shared" si="20"/>
        <v>47422</v>
      </c>
      <c r="BO33" s="87">
        <f t="shared" si="20"/>
        <v>47452</v>
      </c>
      <c r="BP33" s="88">
        <f t="shared" si="20"/>
        <v>47483</v>
      </c>
    </row>
    <row r="34" spans="2:68" ht="15" customHeight="1">
      <c r="B34" s="85"/>
      <c r="C34" s="69">
        <f>SUMIFS($C$22:$X$22,$C$27:$X$27,C33)</f>
        <v>0</v>
      </c>
      <c r="D34" s="69">
        <f t="shared" ref="D34:BO34" si="21">SUMIFS($C$22:$X$22,$C$27:$X$27,D33)</f>
        <v>0</v>
      </c>
      <c r="E34" s="69">
        <f t="shared" si="21"/>
        <v>3.4099999999999575E-2</v>
      </c>
      <c r="F34" s="69">
        <f t="shared" si="21"/>
        <v>0</v>
      </c>
      <c r="G34" s="69">
        <f t="shared" si="21"/>
        <v>0</v>
      </c>
      <c r="H34" s="69">
        <f t="shared" si="21"/>
        <v>3.3196265838457251E-2</v>
      </c>
      <c r="I34" s="69">
        <f t="shared" si="21"/>
        <v>0</v>
      </c>
      <c r="J34" s="69">
        <f t="shared" si="21"/>
        <v>0</v>
      </c>
      <c r="K34" s="69">
        <f t="shared" si="21"/>
        <v>3.3197510558586885E-2</v>
      </c>
      <c r="L34" s="69">
        <f t="shared" si="21"/>
        <v>0</v>
      </c>
      <c r="M34" s="69">
        <f t="shared" si="21"/>
        <v>0</v>
      </c>
      <c r="N34" s="69">
        <f t="shared" si="21"/>
        <v>3.2995656108723459E-2</v>
      </c>
      <c r="O34" s="69">
        <f t="shared" si="21"/>
        <v>0</v>
      </c>
      <c r="P34" s="69">
        <f t="shared" si="21"/>
        <v>0</v>
      </c>
      <c r="Q34" s="69">
        <f t="shared" si="21"/>
        <v>3.2844057460799547E-2</v>
      </c>
      <c r="R34" s="69">
        <f t="shared" si="21"/>
        <v>0</v>
      </c>
      <c r="S34" s="69">
        <f t="shared" si="21"/>
        <v>0</v>
      </c>
      <c r="T34" s="69">
        <f t="shared" si="21"/>
        <v>3.2691972652915346E-2</v>
      </c>
      <c r="U34" s="69">
        <f t="shared" si="21"/>
        <v>0</v>
      </c>
      <c r="V34" s="69">
        <f t="shared" si="21"/>
        <v>0</v>
      </c>
      <c r="W34" s="69">
        <f t="shared" si="21"/>
        <v>3.2539441246686174E-2</v>
      </c>
      <c r="X34" s="69">
        <f t="shared" si="21"/>
        <v>0</v>
      </c>
      <c r="Y34" s="69">
        <f t="shared" si="21"/>
        <v>0</v>
      </c>
      <c r="Z34" s="69">
        <f t="shared" si="21"/>
        <v>3.2386484898070833E-2</v>
      </c>
      <c r="AA34" s="69">
        <f t="shared" si="21"/>
        <v>0</v>
      </c>
      <c r="AB34" s="69">
        <f t="shared" si="21"/>
        <v>0</v>
      </c>
      <c r="AC34" s="69">
        <f t="shared" si="21"/>
        <v>3.2233117362992836E-2</v>
      </c>
      <c r="AD34" s="69">
        <f t="shared" si="21"/>
        <v>0</v>
      </c>
      <c r="AE34" s="69">
        <f t="shared" si="21"/>
        <v>0</v>
      </c>
      <c r="AF34" s="69">
        <f t="shared" si="21"/>
        <v>3.2079348499474136E-2</v>
      </c>
      <c r="AG34" s="69">
        <f t="shared" si="21"/>
        <v>0</v>
      </c>
      <c r="AH34" s="69">
        <f t="shared" si="21"/>
        <v>0</v>
      </c>
      <c r="AI34" s="69">
        <f t="shared" si="21"/>
        <v>3.1925186086637858E-2</v>
      </c>
      <c r="AJ34" s="69">
        <f t="shared" si="21"/>
        <v>0</v>
      </c>
      <c r="AK34" s="69">
        <f t="shared" si="21"/>
        <v>0</v>
      </c>
      <c r="AL34" s="69">
        <f t="shared" si="21"/>
        <v>3.1770636734037794E-2</v>
      </c>
      <c r="AM34" s="69">
        <f t="shared" si="21"/>
        <v>0</v>
      </c>
      <c r="AN34" s="69">
        <f t="shared" si="21"/>
        <v>0</v>
      </c>
      <c r="AO34" s="69">
        <f t="shared" si="21"/>
        <v>3.1799100823268311E-2</v>
      </c>
      <c r="AP34" s="69">
        <f t="shared" si="21"/>
        <v>0</v>
      </c>
      <c r="AQ34" s="69">
        <f t="shared" si="21"/>
        <v>0</v>
      </c>
      <c r="AR34" s="69">
        <f t="shared" si="21"/>
        <v>3.1827265737541133E-2</v>
      </c>
      <c r="AS34" s="69">
        <f t="shared" si="21"/>
        <v>0</v>
      </c>
      <c r="AT34" s="69">
        <f t="shared" si="21"/>
        <v>0</v>
      </c>
      <c r="AU34" s="69">
        <f t="shared" si="21"/>
        <v>3.1855206509121103E-2</v>
      </c>
      <c r="AV34" s="69">
        <f t="shared" si="21"/>
        <v>0</v>
      </c>
      <c r="AW34" s="69">
        <f t="shared" si="21"/>
        <v>0</v>
      </c>
      <c r="AX34" s="69">
        <f t="shared" si="21"/>
        <v>3.1882979574556991E-2</v>
      </c>
      <c r="AY34" s="69">
        <f t="shared" si="21"/>
        <v>0</v>
      </c>
      <c r="AZ34" s="69">
        <f t="shared" si="21"/>
        <v>0</v>
      </c>
      <c r="BA34" s="69">
        <f t="shared" si="21"/>
        <v>3.1910628246058614E-2</v>
      </c>
      <c r="BB34" s="69">
        <f t="shared" si="21"/>
        <v>0</v>
      </c>
      <c r="BC34" s="69">
        <f t="shared" si="21"/>
        <v>0</v>
      </c>
      <c r="BD34" s="69">
        <f t="shared" si="21"/>
        <v>3.1938186359126597E-2</v>
      </c>
      <c r="BE34" s="69">
        <f t="shared" si="21"/>
        <v>0</v>
      </c>
      <c r="BF34" s="69">
        <f t="shared" si="21"/>
        <v>0</v>
      </c>
      <c r="BG34" s="69">
        <f t="shared" si="21"/>
        <v>3.1965680768329285E-2</v>
      </c>
      <c r="BH34" s="69">
        <f t="shared" si="21"/>
        <v>0</v>
      </c>
      <c r="BI34" s="69">
        <f t="shared" si="21"/>
        <v>0</v>
      </c>
      <c r="BJ34" s="69">
        <f t="shared" si="21"/>
        <v>3.1993133094377235E-2</v>
      </c>
      <c r="BK34" s="69">
        <f t="shared" si="21"/>
        <v>0</v>
      </c>
      <c r="BL34" s="69">
        <f t="shared" si="21"/>
        <v>0</v>
      </c>
      <c r="BM34" s="69">
        <f t="shared" si="21"/>
        <v>3.2025981589153929E-2</v>
      </c>
      <c r="BN34" s="69">
        <f t="shared" si="21"/>
        <v>0</v>
      </c>
      <c r="BO34" s="69">
        <f t="shared" si="21"/>
        <v>0</v>
      </c>
      <c r="BP34" s="89">
        <f t="shared" ref="BP34" si="22">SUMIFS($C$22:$X$22,$C$27:$X$27,BP33)</f>
        <v>3.2058825051921147E-2</v>
      </c>
    </row>
    <row r="35" spans="2:68" ht="15" customHeight="1">
      <c r="B35" s="85" t="s">
        <v>171</v>
      </c>
      <c r="C35" s="68"/>
      <c r="D35" s="68"/>
      <c r="E35" s="69">
        <f>IF(E31=1,(H34-E34)/3,D35)</f>
        <v>-3.0124472051410817E-4</v>
      </c>
      <c r="F35" s="69">
        <f t="shared" ref="F35:BP35" si="23">IF(F31=1,(I34-F34)/3,E35)</f>
        <v>-3.0124472051410817E-4</v>
      </c>
      <c r="G35" s="69">
        <f t="shared" si="23"/>
        <v>-3.0124472051410817E-4</v>
      </c>
      <c r="H35" s="69">
        <f t="shared" si="23"/>
        <v>4.1490670987798239E-7</v>
      </c>
      <c r="I35" s="69">
        <f t="shared" si="23"/>
        <v>4.1490670987798239E-7</v>
      </c>
      <c r="J35" s="69">
        <f t="shared" si="23"/>
        <v>4.1490670987798239E-7</v>
      </c>
      <c r="K35" s="69">
        <f t="shared" si="23"/>
        <v>-6.7284816621141871E-5</v>
      </c>
      <c r="L35" s="69">
        <f t="shared" si="23"/>
        <v>-6.7284816621141871E-5</v>
      </c>
      <c r="M35" s="69">
        <f t="shared" si="23"/>
        <v>-6.7284816621141871E-5</v>
      </c>
      <c r="N35" s="69">
        <f t="shared" si="23"/>
        <v>-5.0532882641303921E-5</v>
      </c>
      <c r="O35" s="69">
        <f t="shared" si="23"/>
        <v>-5.0532882641303921E-5</v>
      </c>
      <c r="P35" s="69">
        <f t="shared" si="23"/>
        <v>-5.0532882641303921E-5</v>
      </c>
      <c r="Q35" s="69">
        <f t="shared" si="23"/>
        <v>-5.0694935961400254E-5</v>
      </c>
      <c r="R35" s="69">
        <f t="shared" si="23"/>
        <v>-5.0694935961400254E-5</v>
      </c>
      <c r="S35" s="69">
        <f t="shared" si="23"/>
        <v>-5.0694935961400254E-5</v>
      </c>
      <c r="T35" s="69">
        <f t="shared" si="23"/>
        <v>-5.0843802076390908E-5</v>
      </c>
      <c r="U35" s="69">
        <f t="shared" si="23"/>
        <v>-5.0843802076390908E-5</v>
      </c>
      <c r="V35" s="69">
        <f t="shared" si="23"/>
        <v>-5.0843802076390908E-5</v>
      </c>
      <c r="W35" s="69">
        <f t="shared" si="23"/>
        <v>-5.0985449538446893E-5</v>
      </c>
      <c r="X35" s="69">
        <f t="shared" si="23"/>
        <v>-5.0985449538446893E-5</v>
      </c>
      <c r="Y35" s="69">
        <f t="shared" si="23"/>
        <v>-5.0985449538446893E-5</v>
      </c>
      <c r="Z35" s="69">
        <f t="shared" si="23"/>
        <v>-5.112251169266576E-5</v>
      </c>
      <c r="AA35" s="69">
        <f t="shared" si="23"/>
        <v>-5.112251169266576E-5</v>
      </c>
      <c r="AB35" s="69">
        <f t="shared" si="23"/>
        <v>-5.112251169266576E-5</v>
      </c>
      <c r="AC35" s="69">
        <f t="shared" si="23"/>
        <v>-5.1256287839566518E-5</v>
      </c>
      <c r="AD35" s="69">
        <f t="shared" si="23"/>
        <v>-5.1256287839566518E-5</v>
      </c>
      <c r="AE35" s="69">
        <f t="shared" si="23"/>
        <v>-5.1256287839566518E-5</v>
      </c>
      <c r="AF35" s="69">
        <f t="shared" si="23"/>
        <v>-5.1387470945426138E-5</v>
      </c>
      <c r="AG35" s="69">
        <f t="shared" si="23"/>
        <v>-5.1387470945426138E-5</v>
      </c>
      <c r="AH35" s="69">
        <f t="shared" si="23"/>
        <v>-5.1387470945426138E-5</v>
      </c>
      <c r="AI35" s="69">
        <f t="shared" si="23"/>
        <v>-5.1516450866688025E-5</v>
      </c>
      <c r="AJ35" s="69">
        <f t="shared" si="23"/>
        <v>-5.1516450866688025E-5</v>
      </c>
      <c r="AK35" s="69">
        <f t="shared" si="23"/>
        <v>-5.1516450866688025E-5</v>
      </c>
      <c r="AL35" s="69">
        <f t="shared" si="23"/>
        <v>9.488029743505896E-6</v>
      </c>
      <c r="AM35" s="69">
        <f t="shared" si="23"/>
        <v>9.488029743505896E-6</v>
      </c>
      <c r="AN35" s="69">
        <f t="shared" si="23"/>
        <v>9.488029743505896E-6</v>
      </c>
      <c r="AO35" s="69">
        <f t="shared" si="23"/>
        <v>9.3883047576071021E-6</v>
      </c>
      <c r="AP35" s="69">
        <f t="shared" si="23"/>
        <v>9.3883047576071021E-6</v>
      </c>
      <c r="AQ35" s="69">
        <f t="shared" si="23"/>
        <v>9.3883047576071021E-6</v>
      </c>
      <c r="AR35" s="69">
        <f t="shared" si="23"/>
        <v>9.3135905266568866E-6</v>
      </c>
      <c r="AS35" s="69">
        <f t="shared" si="23"/>
        <v>9.3135905266568866E-6</v>
      </c>
      <c r="AT35" s="69">
        <f t="shared" si="23"/>
        <v>9.3135905266568866E-6</v>
      </c>
      <c r="AU35" s="69">
        <f t="shared" si="23"/>
        <v>9.2576884786292144E-6</v>
      </c>
      <c r="AV35" s="69">
        <f t="shared" si="23"/>
        <v>9.2576884786292144E-6</v>
      </c>
      <c r="AW35" s="69">
        <f t="shared" si="23"/>
        <v>9.2576884786292144E-6</v>
      </c>
      <c r="AX35" s="69">
        <f t="shared" si="23"/>
        <v>9.2162238338744373E-6</v>
      </c>
      <c r="AY35" s="69">
        <f t="shared" si="23"/>
        <v>9.2162238338744373E-6</v>
      </c>
      <c r="AZ35" s="69">
        <f t="shared" si="23"/>
        <v>9.2162238338744373E-6</v>
      </c>
      <c r="BA35" s="69">
        <f t="shared" si="23"/>
        <v>9.1860376893275007E-6</v>
      </c>
      <c r="BB35" s="69">
        <f t="shared" si="23"/>
        <v>9.1860376893275007E-6</v>
      </c>
      <c r="BC35" s="69">
        <f t="shared" si="23"/>
        <v>9.1860376893275007E-6</v>
      </c>
      <c r="BD35" s="69">
        <f t="shared" si="23"/>
        <v>9.1648030675628434E-6</v>
      </c>
      <c r="BE35" s="69">
        <f t="shared" si="23"/>
        <v>9.1648030675628434E-6</v>
      </c>
      <c r="BF35" s="69">
        <f t="shared" si="23"/>
        <v>9.1648030675628434E-6</v>
      </c>
      <c r="BG35" s="69">
        <f t="shared" si="23"/>
        <v>9.1507753493165946E-6</v>
      </c>
      <c r="BH35" s="69">
        <f t="shared" si="23"/>
        <v>9.1507753493165946E-6</v>
      </c>
      <c r="BI35" s="69">
        <f t="shared" si="23"/>
        <v>9.1507753493165946E-6</v>
      </c>
      <c r="BJ35" s="69">
        <f t="shared" si="23"/>
        <v>1.0949498258897942E-5</v>
      </c>
      <c r="BK35" s="69">
        <f t="shared" si="23"/>
        <v>1.0949498258897942E-5</v>
      </c>
      <c r="BL35" s="69">
        <f t="shared" si="23"/>
        <v>1.0949498258897942E-5</v>
      </c>
      <c r="BM35" s="69">
        <f t="shared" si="23"/>
        <v>1.0947820922406018E-5</v>
      </c>
      <c r="BN35" s="69">
        <f t="shared" si="23"/>
        <v>1.0947820922406018E-5</v>
      </c>
      <c r="BO35" s="69">
        <f t="shared" si="23"/>
        <v>1.0947820922406018E-5</v>
      </c>
      <c r="BP35" s="89">
        <f t="shared" si="23"/>
        <v>-1.0686275017307048E-2</v>
      </c>
    </row>
    <row r="36" spans="2:68" ht="15" customHeight="1">
      <c r="B36" s="85" t="s">
        <v>162</v>
      </c>
      <c r="C36" s="73">
        <f>D36-$E$35</f>
        <v>3.4702489441027787E-2</v>
      </c>
      <c r="D36" s="73">
        <f>E36-$E$35</f>
        <v>3.4401244720513681E-2</v>
      </c>
      <c r="E36" s="73">
        <f>E34</f>
        <v>3.4099999999999575E-2</v>
      </c>
      <c r="F36" s="73">
        <f>E35+E36</f>
        <v>3.3798755279485469E-2</v>
      </c>
      <c r="G36" s="73">
        <f t="shared" ref="G36:BP36" si="24">F35+F36</f>
        <v>3.3497510558971363E-2</v>
      </c>
      <c r="H36" s="73">
        <f t="shared" si="24"/>
        <v>3.3196265838457258E-2</v>
      </c>
      <c r="I36" s="73">
        <f t="shared" si="24"/>
        <v>3.3196680745167136E-2</v>
      </c>
      <c r="J36" s="73">
        <f t="shared" si="24"/>
        <v>3.3197095651877014E-2</v>
      </c>
      <c r="K36" s="73">
        <f t="shared" si="24"/>
        <v>3.3197510558586892E-2</v>
      </c>
      <c r="L36" s="73">
        <f t="shared" si="24"/>
        <v>3.3130225741965752E-2</v>
      </c>
      <c r="M36" s="73">
        <f t="shared" si="24"/>
        <v>3.3062940925344612E-2</v>
      </c>
      <c r="N36" s="73">
        <f t="shared" si="24"/>
        <v>3.2995656108723473E-2</v>
      </c>
      <c r="O36" s="73">
        <f t="shared" si="24"/>
        <v>3.2945123226082167E-2</v>
      </c>
      <c r="P36" s="73">
        <f t="shared" si="24"/>
        <v>3.289459034344086E-2</v>
      </c>
      <c r="Q36" s="73">
        <f t="shared" si="24"/>
        <v>3.2844057460799554E-2</v>
      </c>
      <c r="R36" s="73">
        <f t="shared" si="24"/>
        <v>3.2793362524838152E-2</v>
      </c>
      <c r="S36" s="73">
        <f t="shared" si="24"/>
        <v>3.2742667588876749E-2</v>
      </c>
      <c r="T36" s="73">
        <f t="shared" si="24"/>
        <v>3.2691972652915346E-2</v>
      </c>
      <c r="U36" s="73">
        <f t="shared" si="24"/>
        <v>3.2641128850838953E-2</v>
      </c>
      <c r="V36" s="73">
        <f t="shared" si="24"/>
        <v>3.259028504876256E-2</v>
      </c>
      <c r="W36" s="73">
        <f t="shared" si="24"/>
        <v>3.2539441246686167E-2</v>
      </c>
      <c r="X36" s="73">
        <f t="shared" si="24"/>
        <v>3.2488455797147722E-2</v>
      </c>
      <c r="Y36" s="73">
        <f t="shared" si="24"/>
        <v>3.2437470347609278E-2</v>
      </c>
      <c r="Z36" s="73">
        <f t="shared" si="24"/>
        <v>3.2386484898070833E-2</v>
      </c>
      <c r="AA36" s="73">
        <f t="shared" si="24"/>
        <v>3.2335362386378165E-2</v>
      </c>
      <c r="AB36" s="73">
        <f t="shared" si="24"/>
        <v>3.2284239874685497E-2</v>
      </c>
      <c r="AC36" s="73">
        <f t="shared" si="24"/>
        <v>3.2233117362992829E-2</v>
      </c>
      <c r="AD36" s="73">
        <f t="shared" si="24"/>
        <v>3.2181861075153265E-2</v>
      </c>
      <c r="AE36" s="73">
        <f t="shared" si="24"/>
        <v>3.21306047873137E-2</v>
      </c>
      <c r="AF36" s="73">
        <f t="shared" si="24"/>
        <v>3.2079348499474136E-2</v>
      </c>
      <c r="AG36" s="73">
        <f t="shared" si="24"/>
        <v>3.2027961028528708E-2</v>
      </c>
      <c r="AH36" s="73">
        <f t="shared" si="24"/>
        <v>3.1976573557583279E-2</v>
      </c>
      <c r="AI36" s="73">
        <f t="shared" si="24"/>
        <v>3.1925186086637851E-2</v>
      </c>
      <c r="AJ36" s="73">
        <f t="shared" si="24"/>
        <v>3.1873669635771165E-2</v>
      </c>
      <c r="AK36" s="73">
        <f t="shared" si="24"/>
        <v>3.1822153184904479E-2</v>
      </c>
      <c r="AL36" s="73">
        <f t="shared" si="24"/>
        <v>3.1770636734037794E-2</v>
      </c>
      <c r="AM36" s="73">
        <f t="shared" si="24"/>
        <v>3.1780124763781302E-2</v>
      </c>
      <c r="AN36" s="73">
        <f t="shared" si="24"/>
        <v>3.178961279352481E-2</v>
      </c>
      <c r="AO36" s="73">
        <f t="shared" si="24"/>
        <v>3.1799100823268318E-2</v>
      </c>
      <c r="AP36" s="73">
        <f t="shared" si="24"/>
        <v>3.1808489128025925E-2</v>
      </c>
      <c r="AQ36" s="73">
        <f t="shared" si="24"/>
        <v>3.1817877432783533E-2</v>
      </c>
      <c r="AR36" s="73">
        <f t="shared" si="24"/>
        <v>3.182726573754114E-2</v>
      </c>
      <c r="AS36" s="73">
        <f t="shared" si="24"/>
        <v>3.1836579328067799E-2</v>
      </c>
      <c r="AT36" s="73">
        <f t="shared" si="24"/>
        <v>3.1845892918594458E-2</v>
      </c>
      <c r="AU36" s="73">
        <f t="shared" si="24"/>
        <v>3.1855206509121117E-2</v>
      </c>
      <c r="AV36" s="73">
        <f t="shared" si="24"/>
        <v>3.1864464197599744E-2</v>
      </c>
      <c r="AW36" s="73">
        <f t="shared" si="24"/>
        <v>3.1873721886078371E-2</v>
      </c>
      <c r="AX36" s="73">
        <f t="shared" si="24"/>
        <v>3.1882979574556998E-2</v>
      </c>
      <c r="AY36" s="73">
        <f t="shared" si="24"/>
        <v>3.1892195798390872E-2</v>
      </c>
      <c r="AZ36" s="73">
        <f t="shared" si="24"/>
        <v>3.1901412022224747E-2</v>
      </c>
      <c r="BA36" s="73">
        <f t="shared" si="24"/>
        <v>3.1910628246058621E-2</v>
      </c>
      <c r="BB36" s="73">
        <f t="shared" si="24"/>
        <v>3.1919814283747946E-2</v>
      </c>
      <c r="BC36" s="73">
        <f t="shared" si="24"/>
        <v>3.1929000321437272E-2</v>
      </c>
      <c r="BD36" s="73">
        <f t="shared" si="24"/>
        <v>3.1938186359126597E-2</v>
      </c>
      <c r="BE36" s="73">
        <f t="shared" si="24"/>
        <v>3.194735116219416E-2</v>
      </c>
      <c r="BF36" s="73">
        <f t="shared" si="24"/>
        <v>3.1956515965261723E-2</v>
      </c>
      <c r="BG36" s="73">
        <f t="shared" si="24"/>
        <v>3.1965680768329285E-2</v>
      </c>
      <c r="BH36" s="73">
        <f t="shared" si="24"/>
        <v>3.1974831543678604E-2</v>
      </c>
      <c r="BI36" s="73">
        <f t="shared" si="24"/>
        <v>3.1983982319027923E-2</v>
      </c>
      <c r="BJ36" s="73">
        <f t="shared" si="24"/>
        <v>3.1993133094377242E-2</v>
      </c>
      <c r="BK36" s="73">
        <f t="shared" si="24"/>
        <v>3.2004082592636138E-2</v>
      </c>
      <c r="BL36" s="73">
        <f t="shared" si="24"/>
        <v>3.2015032090895033E-2</v>
      </c>
      <c r="BM36" s="73">
        <f t="shared" si="24"/>
        <v>3.2025981589153929E-2</v>
      </c>
      <c r="BN36" s="73">
        <f t="shared" si="24"/>
        <v>3.2036929410076333E-2</v>
      </c>
      <c r="BO36" s="73">
        <f t="shared" si="24"/>
        <v>3.2047877230998736E-2</v>
      </c>
      <c r="BP36" s="90">
        <f t="shared" si="24"/>
        <v>3.205882505192114E-2</v>
      </c>
    </row>
    <row r="37" spans="2:68" ht="15" customHeight="1">
      <c r="B37" s="85" t="s">
        <v>175</v>
      </c>
      <c r="C37" s="73">
        <f>C36</f>
        <v>3.4702489441027787E-2</v>
      </c>
      <c r="D37" s="68">
        <f>(1+D36/12)^(D32*12)</f>
        <v>1.0057417591592408</v>
      </c>
      <c r="E37" s="68">
        <f t="shared" ref="E37:BP37" si="25">(1+E36/12)^(E32*12)</f>
        <v>1.0085492481549889</v>
      </c>
      <c r="F37" s="68">
        <f t="shared" si="25"/>
        <v>1.0113139393590067</v>
      </c>
      <c r="G37" s="68">
        <f t="shared" si="25"/>
        <v>1.0140354363327233</v>
      </c>
      <c r="H37" s="68">
        <f t="shared" si="25"/>
        <v>1.0167133480418589</v>
      </c>
      <c r="I37" s="68">
        <f t="shared" si="25"/>
        <v>1.0195261846645052</v>
      </c>
      <c r="J37" s="68">
        <f t="shared" si="25"/>
        <v>1.0223468737753452</v>
      </c>
      <c r="K37" s="68">
        <f t="shared" si="25"/>
        <v>1.0251754374891655</v>
      </c>
      <c r="L37" s="68">
        <f t="shared" si="25"/>
        <v>1.0279540626852999</v>
      </c>
      <c r="M37" s="68">
        <f t="shared" si="25"/>
        <v>1.0307286917447438</v>
      </c>
      <c r="N37" s="68">
        <f t="shared" si="25"/>
        <v>1.0334992516403372</v>
      </c>
      <c r="O37" s="68">
        <f t="shared" si="25"/>
        <v>1.0362844240528024</v>
      </c>
      <c r="P37" s="68">
        <f t="shared" si="25"/>
        <v>1.0390683747120546</v>
      </c>
      <c r="Q37" s="68">
        <f t="shared" si="25"/>
        <v>1.0418510534515752</v>
      </c>
      <c r="R37" s="68">
        <f t="shared" si="25"/>
        <v>1.044632184902234</v>
      </c>
      <c r="S37" s="68">
        <f t="shared" si="25"/>
        <v>1.047411914380421</v>
      </c>
      <c r="T37" s="68">
        <f t="shared" si="25"/>
        <v>1.0501901911911831</v>
      </c>
      <c r="U37" s="68">
        <f t="shared" si="25"/>
        <v>1.0529667170252643</v>
      </c>
      <c r="V37" s="68">
        <f t="shared" si="25"/>
        <v>1.0557416610785604</v>
      </c>
      <c r="W37" s="68">
        <f t="shared" si="25"/>
        <v>1.0585149721603402</v>
      </c>
      <c r="X37" s="68">
        <f t="shared" si="25"/>
        <v>1.0612863241280093</v>
      </c>
      <c r="Y37" s="68">
        <f t="shared" si="25"/>
        <v>1.064055913973734</v>
      </c>
      <c r="Z37" s="68">
        <f t="shared" si="25"/>
        <v>1.0668236900357611</v>
      </c>
      <c r="AA37" s="68">
        <f t="shared" si="25"/>
        <v>1.0695892959670983</v>
      </c>
      <c r="AB37" s="68">
        <f t="shared" si="25"/>
        <v>1.072352958518634</v>
      </c>
      <c r="AC37" s="68">
        <f t="shared" si="25"/>
        <v>1.0751146255791972</v>
      </c>
      <c r="AD37" s="68">
        <f t="shared" si="25"/>
        <v>1.0778739094012582</v>
      </c>
      <c r="AE37" s="68">
        <f t="shared" si="25"/>
        <v>1.0806310675106656</v>
      </c>
      <c r="AF37" s="68">
        <f t="shared" si="25"/>
        <v>1.0833860473670029</v>
      </c>
      <c r="AG37" s="68">
        <f t="shared" si="25"/>
        <v>1.0861384292496248</v>
      </c>
      <c r="AH37" s="68">
        <f t="shared" si="25"/>
        <v>1.0888885019570731</v>
      </c>
      <c r="AI37" s="68">
        <f t="shared" si="25"/>
        <v>1.0916362125394086</v>
      </c>
      <c r="AJ37" s="68">
        <f t="shared" si="25"/>
        <v>1.0943811090983737</v>
      </c>
      <c r="AK37" s="68">
        <f t="shared" si="25"/>
        <v>1.0971235118881839</v>
      </c>
      <c r="AL37" s="68">
        <f t="shared" si="25"/>
        <v>1.099863367568936</v>
      </c>
      <c r="AM37" s="68">
        <f t="shared" si="25"/>
        <v>1.102807490888404</v>
      </c>
      <c r="AN37" s="68">
        <f t="shared" si="25"/>
        <v>1.1057612389985716</v>
      </c>
      <c r="AO37" s="68">
        <f t="shared" si="25"/>
        <v>1.1087246470057337</v>
      </c>
      <c r="AP37" s="68">
        <f t="shared" si="25"/>
        <v>1.111697381586217</v>
      </c>
      <c r="AQ37" s="68">
        <f t="shared" si="25"/>
        <v>1.1146798262412461</v>
      </c>
      <c r="AR37" s="68">
        <f t="shared" si="25"/>
        <v>1.1176720163398581</v>
      </c>
      <c r="AS37" s="68">
        <f t="shared" si="25"/>
        <v>1.1206736881520627</v>
      </c>
      <c r="AT37" s="68">
        <f t="shared" si="25"/>
        <v>1.1236851610049052</v>
      </c>
      <c r="AU37" s="68">
        <f t="shared" si="25"/>
        <v>1.126706470570576</v>
      </c>
      <c r="AV37" s="68">
        <f t="shared" si="25"/>
        <v>1.1297374112111875</v>
      </c>
      <c r="AW37" s="68">
        <f t="shared" si="25"/>
        <v>1.1327782485087914</v>
      </c>
      <c r="AX37" s="68">
        <f t="shared" si="25"/>
        <v>1.1358290184707989</v>
      </c>
      <c r="AY37" s="68">
        <f t="shared" si="25"/>
        <v>1.1388895649287101</v>
      </c>
      <c r="AZ37" s="68">
        <f t="shared" si="25"/>
        <v>1.1419601075873926</v>
      </c>
      <c r="BA37" s="68">
        <f t="shared" si="25"/>
        <v>1.1450406828158672</v>
      </c>
      <c r="BB37" s="68">
        <f t="shared" si="25"/>
        <v>1.1481311773426794</v>
      </c>
      <c r="BC37" s="68">
        <f t="shared" si="25"/>
        <v>1.151231771025369</v>
      </c>
      <c r="BD37" s="68">
        <f t="shared" si="25"/>
        <v>1.1543425006167649</v>
      </c>
      <c r="BE37" s="68">
        <f t="shared" si="25"/>
        <v>1.1574632906639974</v>
      </c>
      <c r="BF37" s="68">
        <f t="shared" si="25"/>
        <v>1.1605942858591776</v>
      </c>
      <c r="BG37" s="68">
        <f t="shared" si="25"/>
        <v>1.1637355233580358</v>
      </c>
      <c r="BH37" s="68">
        <f t="shared" si="25"/>
        <v>1.1668869615581976</v>
      </c>
      <c r="BI37" s="68">
        <f t="shared" si="25"/>
        <v>1.1700487136605149</v>
      </c>
      <c r="BJ37" s="68">
        <f t="shared" si="25"/>
        <v>1.1732208172404217</v>
      </c>
      <c r="BK37" s="68">
        <f t="shared" si="25"/>
        <v>1.1764140379142602</v>
      </c>
      <c r="BL37" s="68">
        <f t="shared" si="25"/>
        <v>1.1796180966721028</v>
      </c>
      <c r="BM37" s="68">
        <f t="shared" si="25"/>
        <v>1.1828330347081835</v>
      </c>
      <c r="BN37" s="68">
        <f t="shared" si="25"/>
        <v>1.1860588828063798</v>
      </c>
      <c r="BO37" s="68">
        <f t="shared" si="25"/>
        <v>1.1892956926977176</v>
      </c>
      <c r="BP37" s="91">
        <f t="shared" si="25"/>
        <v>1.1925435060907921</v>
      </c>
    </row>
    <row r="38" spans="2:68" ht="15" customHeight="1">
      <c r="B38" s="85" t="s">
        <v>176</v>
      </c>
      <c r="C38" s="68"/>
      <c r="D38" s="68">
        <f>(1+C36/12)^(C32*12)</f>
        <v>1.0028918741200856</v>
      </c>
      <c r="E38" s="68">
        <f t="shared" ref="E38:BP38" si="26">(1+D36/12)^(D32*12)</f>
        <v>1.0057417591592408</v>
      </c>
      <c r="F38" s="68">
        <f t="shared" si="26"/>
        <v>1.0085492481549889</v>
      </c>
      <c r="G38" s="68">
        <f t="shared" si="26"/>
        <v>1.0113139393590067</v>
      </c>
      <c r="H38" s="68">
        <f t="shared" si="26"/>
        <v>1.0140354363327233</v>
      </c>
      <c r="I38" s="68">
        <f t="shared" si="26"/>
        <v>1.0167133480418589</v>
      </c>
      <c r="J38" s="68">
        <f t="shared" si="26"/>
        <v>1.0195261846645052</v>
      </c>
      <c r="K38" s="68">
        <f t="shared" si="26"/>
        <v>1.0223468737753452</v>
      </c>
      <c r="L38" s="68">
        <f t="shared" si="26"/>
        <v>1.0251754374891655</v>
      </c>
      <c r="M38" s="68">
        <f t="shared" si="26"/>
        <v>1.0279540626852999</v>
      </c>
      <c r="N38" s="68">
        <f t="shared" si="26"/>
        <v>1.0307286917447438</v>
      </c>
      <c r="O38" s="68">
        <f t="shared" si="26"/>
        <v>1.0334992516403372</v>
      </c>
      <c r="P38" s="68">
        <f t="shared" si="26"/>
        <v>1.0362844240528024</v>
      </c>
      <c r="Q38" s="68">
        <f t="shared" si="26"/>
        <v>1.0390683747120546</v>
      </c>
      <c r="R38" s="68">
        <f t="shared" si="26"/>
        <v>1.0418510534515752</v>
      </c>
      <c r="S38" s="68">
        <f t="shared" si="26"/>
        <v>1.044632184902234</v>
      </c>
      <c r="T38" s="68">
        <f t="shared" si="26"/>
        <v>1.047411914380421</v>
      </c>
      <c r="U38" s="68">
        <f t="shared" si="26"/>
        <v>1.0501901911911831</v>
      </c>
      <c r="V38" s="68">
        <f t="shared" si="26"/>
        <v>1.0529667170252643</v>
      </c>
      <c r="W38" s="68">
        <f t="shared" si="26"/>
        <v>1.0557416610785604</v>
      </c>
      <c r="X38" s="68">
        <f t="shared" si="26"/>
        <v>1.0585149721603402</v>
      </c>
      <c r="Y38" s="68">
        <f t="shared" si="26"/>
        <v>1.0612863241280093</v>
      </c>
      <c r="Z38" s="68">
        <f t="shared" si="26"/>
        <v>1.064055913973734</v>
      </c>
      <c r="AA38" s="68">
        <f t="shared" si="26"/>
        <v>1.0668236900357611</v>
      </c>
      <c r="AB38" s="68">
        <f t="shared" si="26"/>
        <v>1.0695892959670983</v>
      </c>
      <c r="AC38" s="68">
        <f t="shared" si="26"/>
        <v>1.072352958518634</v>
      </c>
      <c r="AD38" s="68">
        <f t="shared" si="26"/>
        <v>1.0751146255791972</v>
      </c>
      <c r="AE38" s="68">
        <f t="shared" si="26"/>
        <v>1.0778739094012582</v>
      </c>
      <c r="AF38" s="68">
        <f t="shared" si="26"/>
        <v>1.0806310675106656</v>
      </c>
      <c r="AG38" s="68">
        <f t="shared" si="26"/>
        <v>1.0833860473670029</v>
      </c>
      <c r="AH38" s="68">
        <f t="shared" si="26"/>
        <v>1.0861384292496248</v>
      </c>
      <c r="AI38" s="68">
        <f t="shared" si="26"/>
        <v>1.0888885019570731</v>
      </c>
      <c r="AJ38" s="68">
        <f t="shared" si="26"/>
        <v>1.0916362125394086</v>
      </c>
      <c r="AK38" s="68">
        <f t="shared" si="26"/>
        <v>1.0943811090983737</v>
      </c>
      <c r="AL38" s="68">
        <f t="shared" si="26"/>
        <v>1.0971235118881839</v>
      </c>
      <c r="AM38" s="68">
        <f t="shared" si="26"/>
        <v>1.099863367568936</v>
      </c>
      <c r="AN38" s="68">
        <f t="shared" si="26"/>
        <v>1.102807490888404</v>
      </c>
      <c r="AO38" s="68">
        <f t="shared" si="26"/>
        <v>1.1057612389985716</v>
      </c>
      <c r="AP38" s="68">
        <f t="shared" si="26"/>
        <v>1.1087246470057337</v>
      </c>
      <c r="AQ38" s="68">
        <f t="shared" si="26"/>
        <v>1.111697381586217</v>
      </c>
      <c r="AR38" s="68">
        <f t="shared" si="26"/>
        <v>1.1146798262412461</v>
      </c>
      <c r="AS38" s="68">
        <f t="shared" si="26"/>
        <v>1.1176720163398581</v>
      </c>
      <c r="AT38" s="68">
        <f t="shared" si="26"/>
        <v>1.1206736881520627</v>
      </c>
      <c r="AU38" s="68">
        <f t="shared" si="26"/>
        <v>1.1236851610049052</v>
      </c>
      <c r="AV38" s="68">
        <f t="shared" si="26"/>
        <v>1.126706470570576</v>
      </c>
      <c r="AW38" s="68">
        <f t="shared" si="26"/>
        <v>1.1297374112111875</v>
      </c>
      <c r="AX38" s="68">
        <f t="shared" si="26"/>
        <v>1.1327782485087914</v>
      </c>
      <c r="AY38" s="68">
        <f t="shared" si="26"/>
        <v>1.1358290184707989</v>
      </c>
      <c r="AZ38" s="68">
        <f t="shared" si="26"/>
        <v>1.1388895649287101</v>
      </c>
      <c r="BA38" s="68">
        <f t="shared" si="26"/>
        <v>1.1419601075873926</v>
      </c>
      <c r="BB38" s="68">
        <f t="shared" si="26"/>
        <v>1.1450406828158672</v>
      </c>
      <c r="BC38" s="68">
        <f t="shared" si="26"/>
        <v>1.1481311773426794</v>
      </c>
      <c r="BD38" s="68">
        <f t="shared" si="26"/>
        <v>1.151231771025369</v>
      </c>
      <c r="BE38" s="68">
        <f t="shared" si="26"/>
        <v>1.1543425006167649</v>
      </c>
      <c r="BF38" s="68">
        <f t="shared" si="26"/>
        <v>1.1574632906639974</v>
      </c>
      <c r="BG38" s="68">
        <f t="shared" si="26"/>
        <v>1.1605942858591776</v>
      </c>
      <c r="BH38" s="68">
        <f t="shared" si="26"/>
        <v>1.1637355233580358</v>
      </c>
      <c r="BI38" s="68">
        <f t="shared" si="26"/>
        <v>1.1668869615581976</v>
      </c>
      <c r="BJ38" s="68">
        <f t="shared" si="26"/>
        <v>1.1700487136605149</v>
      </c>
      <c r="BK38" s="68">
        <f t="shared" si="26"/>
        <v>1.1732208172404217</v>
      </c>
      <c r="BL38" s="68">
        <f t="shared" si="26"/>
        <v>1.1764140379142602</v>
      </c>
      <c r="BM38" s="68">
        <f t="shared" si="26"/>
        <v>1.1796180966721028</v>
      </c>
      <c r="BN38" s="68">
        <f t="shared" si="26"/>
        <v>1.1828330347081835</v>
      </c>
      <c r="BO38" s="68">
        <f t="shared" si="26"/>
        <v>1.1860588828063798</v>
      </c>
      <c r="BP38" s="91">
        <f t="shared" si="26"/>
        <v>1.1892956926977176</v>
      </c>
    </row>
    <row r="39" spans="2:68" ht="15" customHeight="1">
      <c r="B39" s="92" t="s">
        <v>174</v>
      </c>
      <c r="C39" s="93">
        <f>C37</f>
        <v>3.4702489441027787E-2</v>
      </c>
      <c r="D39" s="94">
        <f>((D37/D38)-1)*12</f>
        <v>3.4100007540559751E-2</v>
      </c>
      <c r="E39" s="94">
        <f t="shared" ref="E39:BP39" si="27">((E37/E38)-1)*12</f>
        <v>3.3497533181022554E-2</v>
      </c>
      <c r="F39" s="94">
        <f t="shared" si="27"/>
        <v>3.2895066362802261E-2</v>
      </c>
      <c r="G39" s="94">
        <f t="shared" si="27"/>
        <v>3.2292607086279901E-2</v>
      </c>
      <c r="H39" s="94">
        <f t="shared" si="27"/>
        <v>3.1690155351812521E-2</v>
      </c>
      <c r="I39" s="94">
        <f t="shared" si="27"/>
        <v>3.31991701857417E-2</v>
      </c>
      <c r="J39" s="94">
        <f t="shared" si="27"/>
        <v>3.3199999999234286E-2</v>
      </c>
      <c r="K39" s="94">
        <f t="shared" si="27"/>
        <v>3.3200829812780164E-2</v>
      </c>
      <c r="L39" s="94">
        <f t="shared" si="27"/>
        <v>3.2524679322473382E-2</v>
      </c>
      <c r="M39" s="94">
        <f t="shared" si="27"/>
        <v>3.2390113451520541E-2</v>
      </c>
      <c r="N39" s="94">
        <f t="shared" si="27"/>
        <v>3.2255547956896002E-2</v>
      </c>
      <c r="O39" s="94">
        <f t="shared" si="27"/>
        <v>3.2338745186835993E-2</v>
      </c>
      <c r="P39" s="94">
        <f t="shared" si="27"/>
        <v>3.2237682180315197E-2</v>
      </c>
      <c r="Q39" s="94">
        <f t="shared" si="27"/>
        <v>3.2136619386093912E-2</v>
      </c>
      <c r="R39" s="94">
        <f t="shared" si="27"/>
        <v>3.2032964114535822E-2</v>
      </c>
      <c r="S39" s="94">
        <f t="shared" si="27"/>
        <v>3.1931577659906729E-2</v>
      </c>
      <c r="T39" s="94">
        <f t="shared" si="27"/>
        <v>3.1830191418880105E-2</v>
      </c>
      <c r="U39" s="94">
        <f t="shared" si="27"/>
        <v>3.1725977150084184E-2</v>
      </c>
      <c r="V39" s="94">
        <f t="shared" si="27"/>
        <v>3.1624293627841915E-2</v>
      </c>
      <c r="W39" s="94">
        <f t="shared" si="27"/>
        <v>3.1522610320558364E-2</v>
      </c>
      <c r="X39" s="94">
        <f t="shared" si="27"/>
        <v>3.1417811260765482E-2</v>
      </c>
      <c r="Y39" s="94">
        <f t="shared" si="27"/>
        <v>3.131584511465757E-2</v>
      </c>
      <c r="Z39" s="94">
        <f t="shared" si="27"/>
        <v>3.1213879184496918E-2</v>
      </c>
      <c r="AA39" s="94">
        <f t="shared" si="27"/>
        <v>3.1108487265534279E-2</v>
      </c>
      <c r="AB39" s="94">
        <f t="shared" si="27"/>
        <v>3.1006247672329401E-2</v>
      </c>
      <c r="AC39" s="94">
        <f t="shared" si="27"/>
        <v>3.0904008296428032E-2</v>
      </c>
      <c r="AD39" s="94">
        <f t="shared" si="27"/>
        <v>3.0798023835729715E-2</v>
      </c>
      <c r="AE39" s="94">
        <f t="shared" si="27"/>
        <v>3.0695517373890979E-2</v>
      </c>
      <c r="AF39" s="94">
        <f t="shared" si="27"/>
        <v>3.0593011130251035E-2</v>
      </c>
      <c r="AG39" s="94">
        <f t="shared" si="27"/>
        <v>3.048643894919234E-2</v>
      </c>
      <c r="AH39" s="94">
        <f t="shared" si="27"/>
        <v>3.0383670810891772E-2</v>
      </c>
      <c r="AI39" s="94">
        <f t="shared" si="27"/>
        <v>3.0280902892044992E-2</v>
      </c>
      <c r="AJ39" s="94">
        <f t="shared" si="27"/>
        <v>3.0173750494186358E-2</v>
      </c>
      <c r="AK39" s="94">
        <f t="shared" si="27"/>
        <v>3.0070725092134154E-2</v>
      </c>
      <c r="AL39" s="94">
        <f t="shared" si="27"/>
        <v>2.996769991050563E-2</v>
      </c>
      <c r="AM39" s="94">
        <f t="shared" si="27"/>
        <v>3.2121698817651811E-2</v>
      </c>
      <c r="AN39" s="94">
        <f t="shared" si="27"/>
        <v>3.2140675153972786E-2</v>
      </c>
      <c r="AO39" s="94">
        <f t="shared" si="27"/>
        <v>3.2159651497778441E-2</v>
      </c>
      <c r="AP39" s="94">
        <f t="shared" si="27"/>
        <v>3.2174638727603622E-2</v>
      </c>
      <c r="AQ39" s="94">
        <f t="shared" si="27"/>
        <v>3.2193415630145772E-2</v>
      </c>
      <c r="AR39" s="94">
        <f t="shared" si="27"/>
        <v>3.2212192540007401E-2</v>
      </c>
      <c r="AS39" s="94">
        <f t="shared" si="27"/>
        <v>3.222775664046118E-2</v>
      </c>
      <c r="AT39" s="94">
        <f t="shared" si="27"/>
        <v>3.224638413140557E-2</v>
      </c>
      <c r="AU39" s="94">
        <f t="shared" si="27"/>
        <v>3.2265011629794671E-2</v>
      </c>
      <c r="AV39" s="94">
        <f t="shared" si="27"/>
        <v>3.2281067551621412E-2</v>
      </c>
      <c r="AW39" s="94">
        <f t="shared" si="27"/>
        <v>3.2299583256364173E-2</v>
      </c>
      <c r="AX39" s="94">
        <f t="shared" si="27"/>
        <v>3.2318098967986764E-2</v>
      </c>
      <c r="AY39" s="94">
        <f t="shared" si="27"/>
        <v>3.2334582844503856E-2</v>
      </c>
      <c r="AZ39" s="94">
        <f t="shared" si="27"/>
        <v>3.2353015638086013E-2</v>
      </c>
      <c r="BA39" s="94">
        <f t="shared" si="27"/>
        <v>3.2371448438593298E-2</v>
      </c>
      <c r="BB39" s="94">
        <f t="shared" si="27"/>
        <v>3.2388311505706646E-2</v>
      </c>
      <c r="BC39" s="94">
        <f t="shared" si="27"/>
        <v>3.2406683945636061E-2</v>
      </c>
      <c r="BD39" s="94">
        <f t="shared" si="27"/>
        <v>3.2425056392860974E-2</v>
      </c>
      <c r="BE39" s="94">
        <f t="shared" si="27"/>
        <v>3.2442260894649522E-2</v>
      </c>
      <c r="BF39" s="94">
        <f t="shared" si="27"/>
        <v>3.2460590884578089E-2</v>
      </c>
      <c r="BG39" s="94">
        <f t="shared" si="27"/>
        <v>3.2478920881807483E-2</v>
      </c>
      <c r="BH39" s="94">
        <f t="shared" si="27"/>
        <v>3.2496437242731879E-2</v>
      </c>
      <c r="BI39" s="94">
        <f t="shared" si="27"/>
        <v>3.2514739197310405E-2</v>
      </c>
      <c r="BJ39" s="94">
        <f t="shared" si="27"/>
        <v>3.25330411584277E-2</v>
      </c>
      <c r="BK39" s="94">
        <f t="shared" si="27"/>
        <v>3.2661070723406738E-2</v>
      </c>
      <c r="BL39" s="94">
        <f t="shared" si="27"/>
        <v>3.2682970327590155E-2</v>
      </c>
      <c r="BM39" s="94">
        <f t="shared" si="27"/>
        <v>3.2704869942064008E-2</v>
      </c>
      <c r="BN39" s="94">
        <f t="shared" si="27"/>
        <v>3.2726662210533775E-2</v>
      </c>
      <c r="BO39" s="94">
        <f t="shared" si="27"/>
        <v>3.2748558489902102E-2</v>
      </c>
      <c r="BP39" s="95">
        <f t="shared" si="27"/>
        <v>3.2770454779406322E-2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showGridLines="0" workbookViewId="0">
      <selection activeCell="C20" sqref="C20"/>
    </sheetView>
  </sheetViews>
  <sheetFormatPr defaultRowHeight="12"/>
  <cols>
    <col min="1" max="1" width="9.140625" style="64"/>
    <col min="2" max="2" width="15.7109375" style="64" bestFit="1" customWidth="1"/>
    <col min="3" max="3" width="30.7109375" style="64" bestFit="1" customWidth="1"/>
    <col min="4" max="8" width="5.5703125" style="64" bestFit="1" customWidth="1"/>
    <col min="9" max="11" width="6.7109375" style="64" bestFit="1" customWidth="1"/>
    <col min="12" max="16384" width="9.140625" style="64"/>
  </cols>
  <sheetData>
    <row r="1" spans="1:11" ht="15.75" customHeight="1">
      <c r="A1" s="61" t="s">
        <v>1</v>
      </c>
      <c r="B1" s="62"/>
      <c r="C1" s="63" t="s">
        <v>94</v>
      </c>
      <c r="D1" s="63" t="s">
        <v>95</v>
      </c>
      <c r="E1" s="63" t="s">
        <v>96</v>
      </c>
      <c r="F1" s="63" t="s">
        <v>97</v>
      </c>
      <c r="G1" s="63" t="s">
        <v>98</v>
      </c>
      <c r="H1" s="63" t="s">
        <v>99</v>
      </c>
      <c r="I1" s="63" t="s">
        <v>100</v>
      </c>
      <c r="J1" s="63" t="s">
        <v>101</v>
      </c>
      <c r="K1" s="63" t="s">
        <v>102</v>
      </c>
    </row>
    <row r="2" spans="1:11">
      <c r="A2" s="65" t="s">
        <v>103</v>
      </c>
      <c r="B2" s="65" t="s">
        <v>104</v>
      </c>
      <c r="C2" s="65" t="s">
        <v>105</v>
      </c>
      <c r="D2" s="66">
        <v>3.41</v>
      </c>
      <c r="E2" s="66">
        <v>3.32</v>
      </c>
      <c r="F2" s="66">
        <v>3.32</v>
      </c>
      <c r="G2" s="66">
        <v>3.3</v>
      </c>
      <c r="H2" s="66">
        <v>3.18</v>
      </c>
      <c r="I2" s="66">
        <v>3.2</v>
      </c>
      <c r="J2" s="66">
        <v>3.26</v>
      </c>
      <c r="K2" s="66">
        <v>3.25</v>
      </c>
    </row>
    <row r="3" spans="1:11">
      <c r="A3" s="65" t="s">
        <v>103</v>
      </c>
      <c r="B3" s="65" t="s">
        <v>106</v>
      </c>
      <c r="C3" s="65" t="s">
        <v>106</v>
      </c>
      <c r="D3" s="66">
        <v>3.25</v>
      </c>
      <c r="E3" s="66">
        <v>3.21</v>
      </c>
      <c r="F3" s="66">
        <v>3.2</v>
      </c>
      <c r="G3" s="66">
        <v>3.13</v>
      </c>
      <c r="H3" s="66">
        <v>3.12</v>
      </c>
      <c r="I3" s="66">
        <v>3.08</v>
      </c>
      <c r="J3" s="66">
        <v>3.39</v>
      </c>
      <c r="K3" s="66">
        <v>3.47</v>
      </c>
    </row>
    <row r="4" spans="1:11">
      <c r="A4" s="65" t="s">
        <v>103</v>
      </c>
      <c r="B4" s="65" t="s">
        <v>107</v>
      </c>
      <c r="C4" s="65" t="s">
        <v>108</v>
      </c>
      <c r="D4" s="66">
        <v>3.44</v>
      </c>
      <c r="E4" s="66">
        <v>3.42</v>
      </c>
      <c r="F4" s="66">
        <v>3.41</v>
      </c>
      <c r="G4" s="66">
        <v>3.34</v>
      </c>
      <c r="H4" s="66">
        <v>3.28</v>
      </c>
      <c r="I4" s="66">
        <v>3.31</v>
      </c>
      <c r="J4" s="66">
        <v>0</v>
      </c>
      <c r="K4" s="66">
        <v>0</v>
      </c>
    </row>
    <row r="5" spans="1:11">
      <c r="A5" s="65" t="s">
        <v>109</v>
      </c>
      <c r="B5" s="65" t="s">
        <v>110</v>
      </c>
      <c r="C5" s="65" t="s">
        <v>111</v>
      </c>
      <c r="D5" s="66">
        <v>3.52</v>
      </c>
      <c r="E5" s="66">
        <v>3.49</v>
      </c>
      <c r="F5" s="66">
        <v>3.5</v>
      </c>
      <c r="G5" s="66">
        <v>3.42</v>
      </c>
      <c r="H5" s="66">
        <v>3.44</v>
      </c>
      <c r="I5" s="66">
        <v>3.36</v>
      </c>
      <c r="J5" s="66">
        <v>0</v>
      </c>
      <c r="K5" s="66">
        <v>0</v>
      </c>
    </row>
    <row r="6" spans="1:11">
      <c r="A6" s="65" t="s">
        <v>109</v>
      </c>
      <c r="B6" s="65" t="s">
        <v>112</v>
      </c>
      <c r="C6" s="65" t="s">
        <v>113</v>
      </c>
      <c r="D6" s="66">
        <v>3.52</v>
      </c>
      <c r="E6" s="66">
        <v>3.49</v>
      </c>
      <c r="F6" s="66">
        <v>3.5</v>
      </c>
      <c r="G6" s="66">
        <v>3.42</v>
      </c>
      <c r="H6" s="66">
        <v>3.44</v>
      </c>
      <c r="I6" s="66">
        <v>3.36</v>
      </c>
      <c r="J6" s="66">
        <v>3.64</v>
      </c>
      <c r="K6" s="66">
        <v>3.68</v>
      </c>
    </row>
    <row r="7" spans="1:11">
      <c r="A7" s="65" t="s">
        <v>114</v>
      </c>
      <c r="B7" s="65" t="s">
        <v>115</v>
      </c>
      <c r="C7" s="65" t="s">
        <v>116</v>
      </c>
      <c r="D7" s="66">
        <v>3.52</v>
      </c>
      <c r="E7" s="66">
        <v>3.53</v>
      </c>
      <c r="F7" s="66">
        <v>3.51</v>
      </c>
      <c r="G7" s="66">
        <v>3.5</v>
      </c>
      <c r="H7" s="66">
        <v>3.36</v>
      </c>
      <c r="I7" s="66">
        <v>3.35</v>
      </c>
      <c r="J7" s="66">
        <v>3.43</v>
      </c>
      <c r="K7" s="66">
        <v>3.47</v>
      </c>
    </row>
    <row r="8" spans="1:11">
      <c r="A8" s="65" t="s">
        <v>114</v>
      </c>
      <c r="B8" s="65" t="s">
        <v>115</v>
      </c>
      <c r="C8" s="65" t="s">
        <v>117</v>
      </c>
      <c r="D8" s="66">
        <v>3.55</v>
      </c>
      <c r="E8" s="66">
        <v>3.59</v>
      </c>
      <c r="F8" s="66">
        <v>3.57</v>
      </c>
      <c r="G8" s="66">
        <v>3.56</v>
      </c>
      <c r="H8" s="66">
        <v>3.47</v>
      </c>
      <c r="I8" s="66">
        <v>3.48</v>
      </c>
      <c r="J8" s="66">
        <v>3.62</v>
      </c>
      <c r="K8" s="66">
        <v>3.71</v>
      </c>
    </row>
    <row r="9" spans="1:11">
      <c r="A9" s="65" t="s">
        <v>114</v>
      </c>
      <c r="B9" s="65" t="s">
        <v>115</v>
      </c>
      <c r="C9" s="65" t="s">
        <v>118</v>
      </c>
      <c r="D9" s="66">
        <v>3.62</v>
      </c>
      <c r="E9" s="66">
        <v>3.67</v>
      </c>
      <c r="F9" s="66">
        <v>3.66</v>
      </c>
      <c r="G9" s="66">
        <v>3.66</v>
      </c>
      <c r="H9" s="66">
        <v>3.63</v>
      </c>
      <c r="I9" s="66">
        <v>3.63</v>
      </c>
      <c r="J9" s="66">
        <v>3.76</v>
      </c>
      <c r="K9" s="66">
        <v>3.85</v>
      </c>
    </row>
    <row r="10" spans="1:11">
      <c r="A10" s="65" t="s">
        <v>114</v>
      </c>
      <c r="B10" s="65" t="s">
        <v>115</v>
      </c>
      <c r="C10" s="65" t="s">
        <v>119</v>
      </c>
      <c r="D10" s="66">
        <v>3.75</v>
      </c>
      <c r="E10" s="66">
        <v>3.8</v>
      </c>
      <c r="F10" s="66">
        <v>3.81</v>
      </c>
      <c r="G10" s="66">
        <v>3.88</v>
      </c>
      <c r="H10" s="66">
        <v>3.78</v>
      </c>
      <c r="I10" s="66">
        <v>3.77</v>
      </c>
      <c r="J10" s="66">
        <v>3.88</v>
      </c>
      <c r="K10" s="66">
        <v>3.98</v>
      </c>
    </row>
    <row r="11" spans="1:11">
      <c r="A11" s="65" t="s">
        <v>114</v>
      </c>
      <c r="B11" s="65" t="s">
        <v>120</v>
      </c>
      <c r="C11" s="65" t="s">
        <v>121</v>
      </c>
      <c r="D11" s="66">
        <v>3.46</v>
      </c>
      <c r="E11" s="66">
        <v>3.46</v>
      </c>
      <c r="F11" s="66">
        <v>3.43</v>
      </c>
      <c r="G11" s="66">
        <v>3.43</v>
      </c>
      <c r="H11" s="66">
        <v>3.28</v>
      </c>
      <c r="I11" s="66">
        <v>3.31</v>
      </c>
      <c r="J11" s="66">
        <v>3.38</v>
      </c>
      <c r="K11" s="66">
        <v>3.4</v>
      </c>
    </row>
    <row r="12" spans="1:11">
      <c r="A12" s="65" t="s">
        <v>114</v>
      </c>
      <c r="B12" s="65" t="s">
        <v>122</v>
      </c>
      <c r="C12" s="65" t="s">
        <v>122</v>
      </c>
      <c r="D12" s="66">
        <v>3.47</v>
      </c>
      <c r="E12" s="66">
        <v>3.54</v>
      </c>
      <c r="F12" s="66">
        <v>3.53</v>
      </c>
      <c r="G12" s="66">
        <v>3.58</v>
      </c>
      <c r="H12" s="66">
        <v>3.51</v>
      </c>
      <c r="I12" s="66">
        <v>3.49</v>
      </c>
      <c r="J12" s="66">
        <v>3.57</v>
      </c>
      <c r="K12" s="66">
        <v>3.59</v>
      </c>
    </row>
    <row r="13" spans="1:11">
      <c r="A13" s="65" t="s">
        <v>123</v>
      </c>
      <c r="B13" s="65" t="s">
        <v>124</v>
      </c>
      <c r="C13" s="65" t="s">
        <v>123</v>
      </c>
      <c r="D13" s="66">
        <v>3.46</v>
      </c>
      <c r="E13" s="66">
        <v>3.43</v>
      </c>
      <c r="F13" s="66">
        <v>3.38</v>
      </c>
      <c r="G13" s="66">
        <v>3.33</v>
      </c>
      <c r="H13" s="66">
        <v>3.26</v>
      </c>
      <c r="I13" s="66">
        <v>0</v>
      </c>
      <c r="J13" s="66">
        <v>0</v>
      </c>
      <c r="K13" s="66">
        <v>0</v>
      </c>
    </row>
    <row r="14" spans="1:11">
      <c r="A14" s="65" t="s">
        <v>125</v>
      </c>
      <c r="B14" s="65" t="s">
        <v>126</v>
      </c>
      <c r="C14" s="65" t="s">
        <v>127</v>
      </c>
      <c r="D14" s="66">
        <v>3.56</v>
      </c>
      <c r="E14" s="66">
        <v>3.54</v>
      </c>
      <c r="F14" s="66">
        <v>3.5</v>
      </c>
      <c r="G14" s="66">
        <v>3.45</v>
      </c>
      <c r="H14" s="66">
        <v>3.29</v>
      </c>
      <c r="I14" s="66">
        <v>3.31</v>
      </c>
      <c r="J14" s="66">
        <v>3.8</v>
      </c>
      <c r="K14" s="66">
        <v>3.97</v>
      </c>
    </row>
    <row r="15" spans="1:11">
      <c r="A15" s="65" t="s">
        <v>125</v>
      </c>
      <c r="B15" s="65" t="s">
        <v>126</v>
      </c>
      <c r="C15" s="65" t="s">
        <v>128</v>
      </c>
      <c r="D15" s="66">
        <v>3.56</v>
      </c>
      <c r="E15" s="66">
        <v>3.54</v>
      </c>
      <c r="F15" s="66">
        <v>3.5</v>
      </c>
      <c r="G15" s="66">
        <v>3.45</v>
      </c>
      <c r="H15" s="66">
        <v>3.29</v>
      </c>
      <c r="I15" s="66">
        <v>3.31</v>
      </c>
      <c r="J15" s="66">
        <v>3.83</v>
      </c>
      <c r="K15" s="66">
        <v>4</v>
      </c>
    </row>
    <row r="16" spans="1:11">
      <c r="A16" s="65" t="s">
        <v>125</v>
      </c>
      <c r="B16" s="65" t="s">
        <v>126</v>
      </c>
      <c r="C16" s="65" t="s">
        <v>129</v>
      </c>
      <c r="D16" s="66">
        <v>3.6</v>
      </c>
      <c r="E16" s="66">
        <v>3.57</v>
      </c>
      <c r="F16" s="66">
        <v>3.53</v>
      </c>
      <c r="G16" s="66">
        <v>3.48</v>
      </c>
      <c r="H16" s="66">
        <v>3.43</v>
      </c>
      <c r="I16" s="66">
        <v>3.45</v>
      </c>
      <c r="J16" s="66">
        <v>3.9</v>
      </c>
      <c r="K16" s="66">
        <v>4.0599999999999996</v>
      </c>
    </row>
    <row r="17" spans="1:11">
      <c r="A17" s="65" t="s">
        <v>125</v>
      </c>
      <c r="B17" s="65" t="s">
        <v>126</v>
      </c>
      <c r="C17" s="65" t="s">
        <v>130</v>
      </c>
      <c r="D17" s="66">
        <v>3.62</v>
      </c>
      <c r="E17" s="66">
        <v>3.6</v>
      </c>
      <c r="F17" s="66">
        <v>3.59</v>
      </c>
      <c r="G17" s="66">
        <v>3.56</v>
      </c>
      <c r="H17" s="66">
        <v>3.53</v>
      </c>
      <c r="I17" s="66">
        <v>3.58</v>
      </c>
      <c r="J17" s="66">
        <v>4</v>
      </c>
      <c r="K17" s="66">
        <v>4.2699999999999996</v>
      </c>
    </row>
    <row r="18" spans="1:11">
      <c r="A18" s="65" t="s">
        <v>125</v>
      </c>
      <c r="B18" s="65" t="s">
        <v>126</v>
      </c>
      <c r="C18" s="65" t="s">
        <v>131</v>
      </c>
      <c r="D18" s="66">
        <v>3.78</v>
      </c>
      <c r="E18" s="66">
        <v>3.77</v>
      </c>
      <c r="F18" s="66">
        <v>3.76</v>
      </c>
      <c r="G18" s="66">
        <v>3.75</v>
      </c>
      <c r="H18" s="66">
        <v>3.79</v>
      </c>
      <c r="I18" s="66">
        <v>3.85</v>
      </c>
      <c r="J18" s="66">
        <v>4.37</v>
      </c>
      <c r="K18" s="66">
        <v>4.5999999999999996</v>
      </c>
    </row>
    <row r="19" spans="1:11">
      <c r="A19" s="65" t="s">
        <v>125</v>
      </c>
      <c r="B19" s="65" t="s">
        <v>126</v>
      </c>
      <c r="C19" s="65" t="s">
        <v>132</v>
      </c>
      <c r="D19" s="66">
        <v>3.93</v>
      </c>
      <c r="E19" s="66">
        <v>3.99</v>
      </c>
      <c r="F19" s="66">
        <v>4</v>
      </c>
      <c r="G19" s="66">
        <v>4</v>
      </c>
      <c r="H19" s="66">
        <v>4.03</v>
      </c>
      <c r="I19" s="66">
        <v>4.08</v>
      </c>
      <c r="J19" s="66">
        <v>4.63</v>
      </c>
      <c r="K19" s="66">
        <v>4.87</v>
      </c>
    </row>
    <row r="20" spans="1:11">
      <c r="A20" s="65" t="s">
        <v>125</v>
      </c>
      <c r="B20" s="65" t="s">
        <v>126</v>
      </c>
      <c r="C20" s="65" t="s">
        <v>133</v>
      </c>
      <c r="D20" s="66">
        <v>4.03</v>
      </c>
      <c r="E20" s="66">
        <v>4.07</v>
      </c>
      <c r="F20" s="66">
        <v>4.09</v>
      </c>
      <c r="G20" s="66">
        <v>4.0999999999999996</v>
      </c>
      <c r="H20" s="66">
        <v>4.1399999999999997</v>
      </c>
      <c r="I20" s="66">
        <v>4.21</v>
      </c>
      <c r="J20" s="66">
        <v>4.83</v>
      </c>
      <c r="K20" s="66">
        <v>5.07</v>
      </c>
    </row>
    <row r="21" spans="1:11">
      <c r="A21" s="65" t="s">
        <v>125</v>
      </c>
      <c r="B21" s="65" t="s">
        <v>126</v>
      </c>
      <c r="C21" s="65" t="s">
        <v>134</v>
      </c>
      <c r="D21" s="66">
        <v>4.12</v>
      </c>
      <c r="E21" s="66">
        <v>4.1500000000000004</v>
      </c>
      <c r="F21" s="66">
        <v>4.17</v>
      </c>
      <c r="G21" s="66">
        <v>4.18</v>
      </c>
      <c r="H21" s="66">
        <v>4.24</v>
      </c>
      <c r="I21" s="66">
        <v>4.32</v>
      </c>
      <c r="J21" s="66">
        <v>4.9800000000000004</v>
      </c>
      <c r="K21" s="66">
        <v>5.21</v>
      </c>
    </row>
    <row r="22" spans="1:11">
      <c r="A22" s="65" t="s">
        <v>125</v>
      </c>
      <c r="B22" s="65" t="s">
        <v>126</v>
      </c>
      <c r="C22" s="65" t="s">
        <v>135</v>
      </c>
      <c r="D22" s="66">
        <v>4.2</v>
      </c>
      <c r="E22" s="66">
        <v>4.24</v>
      </c>
      <c r="F22" s="66">
        <v>4.26</v>
      </c>
      <c r="G22" s="66">
        <v>4.2699999999999996</v>
      </c>
      <c r="H22" s="66">
        <v>4.33</v>
      </c>
      <c r="I22" s="66">
        <v>4.4400000000000004</v>
      </c>
      <c r="J22" s="66">
        <v>5.12</v>
      </c>
      <c r="K22" s="66">
        <v>5.36</v>
      </c>
    </row>
    <row r="23" spans="1:11">
      <c r="A23" s="65" t="s">
        <v>125</v>
      </c>
      <c r="B23" s="65" t="s">
        <v>136</v>
      </c>
      <c r="C23" s="65" t="s">
        <v>137</v>
      </c>
      <c r="D23" s="66">
        <v>3.56</v>
      </c>
      <c r="E23" s="66">
        <v>3.57</v>
      </c>
      <c r="F23" s="66">
        <v>3.59</v>
      </c>
      <c r="G23" s="66">
        <v>3.59</v>
      </c>
      <c r="H23" s="66">
        <v>3.55</v>
      </c>
      <c r="I23" s="66">
        <v>3.59</v>
      </c>
      <c r="J23" s="66">
        <v>4.6100000000000003</v>
      </c>
      <c r="K23" s="66">
        <v>5.17</v>
      </c>
    </row>
    <row r="24" spans="1:11">
      <c r="A24" s="65" t="s">
        <v>125</v>
      </c>
      <c r="B24" s="65" t="s">
        <v>136</v>
      </c>
      <c r="C24" s="65" t="s">
        <v>138</v>
      </c>
      <c r="D24" s="66">
        <v>3.59</v>
      </c>
      <c r="E24" s="66">
        <v>3.59</v>
      </c>
      <c r="F24" s="66">
        <v>3.61</v>
      </c>
      <c r="G24" s="66">
        <v>3.61</v>
      </c>
      <c r="H24" s="66">
        <v>3.59</v>
      </c>
      <c r="I24" s="66">
        <v>3.8</v>
      </c>
      <c r="J24" s="66">
        <v>4.79</v>
      </c>
      <c r="K24" s="66">
        <v>5.41</v>
      </c>
    </row>
    <row r="25" spans="1:11">
      <c r="A25" s="65" t="s">
        <v>125</v>
      </c>
      <c r="B25" s="65" t="s">
        <v>136</v>
      </c>
      <c r="C25" s="65" t="s">
        <v>139</v>
      </c>
      <c r="D25" s="66">
        <v>3.63</v>
      </c>
      <c r="E25" s="66">
        <v>3.65</v>
      </c>
      <c r="F25" s="66">
        <v>3.66</v>
      </c>
      <c r="G25" s="66">
        <v>3.66</v>
      </c>
      <c r="H25" s="66">
        <v>3.69</v>
      </c>
      <c r="I25" s="66">
        <v>3.91</v>
      </c>
      <c r="J25" s="66">
        <v>5</v>
      </c>
      <c r="K25" s="66">
        <v>5.64</v>
      </c>
    </row>
    <row r="26" spans="1:11">
      <c r="A26" s="65" t="s">
        <v>125</v>
      </c>
      <c r="B26" s="65" t="s">
        <v>136</v>
      </c>
      <c r="C26" s="65" t="s">
        <v>140</v>
      </c>
      <c r="D26" s="66">
        <v>4.18</v>
      </c>
      <c r="E26" s="66">
        <v>4.5199999999999996</v>
      </c>
      <c r="F26" s="66">
        <v>4.63</v>
      </c>
      <c r="G26" s="66">
        <v>4.63</v>
      </c>
      <c r="H26" s="66">
        <v>4.79</v>
      </c>
      <c r="I26" s="66">
        <v>5.12</v>
      </c>
      <c r="J26" s="66">
        <v>5.69</v>
      </c>
      <c r="K26" s="66">
        <v>6.07</v>
      </c>
    </row>
    <row r="27" spans="1:11">
      <c r="A27" s="65" t="s">
        <v>125</v>
      </c>
      <c r="B27" s="65" t="s">
        <v>136</v>
      </c>
      <c r="C27" s="65" t="s">
        <v>141</v>
      </c>
      <c r="D27" s="66">
        <v>4.7300000000000004</v>
      </c>
      <c r="E27" s="66">
        <v>5.12</v>
      </c>
      <c r="F27" s="66">
        <v>5.28</v>
      </c>
      <c r="G27" s="66">
        <v>5.38</v>
      </c>
      <c r="H27" s="66">
        <v>5.57</v>
      </c>
      <c r="I27" s="66">
        <v>5.74</v>
      </c>
      <c r="J27" s="66">
        <v>6.12</v>
      </c>
      <c r="K27" s="66">
        <v>6.44</v>
      </c>
    </row>
    <row r="28" spans="1:11">
      <c r="A28" s="65" t="s">
        <v>125</v>
      </c>
      <c r="B28" s="65" t="s">
        <v>136</v>
      </c>
      <c r="C28" s="65" t="s">
        <v>142</v>
      </c>
      <c r="D28" s="66">
        <v>5.26</v>
      </c>
      <c r="E28" s="66">
        <v>5.78</v>
      </c>
      <c r="F28" s="66">
        <v>5.93</v>
      </c>
      <c r="G28" s="66">
        <v>5.94</v>
      </c>
      <c r="H28" s="66">
        <v>6.26</v>
      </c>
      <c r="I28" s="66">
        <v>6.4</v>
      </c>
      <c r="J28" s="66">
        <v>6.77</v>
      </c>
      <c r="K28" s="66">
        <v>7.08</v>
      </c>
    </row>
    <row r="29" spans="1:11">
      <c r="A29" s="65" t="s">
        <v>125</v>
      </c>
      <c r="B29" s="65" t="s">
        <v>136</v>
      </c>
      <c r="C29" s="65" t="s">
        <v>143</v>
      </c>
      <c r="D29" s="66">
        <v>6.12</v>
      </c>
      <c r="E29" s="66">
        <v>6.86</v>
      </c>
      <c r="F29" s="66">
        <v>7.16</v>
      </c>
      <c r="G29" s="66">
        <v>7.17</v>
      </c>
      <c r="H29" s="66">
        <v>7.63</v>
      </c>
      <c r="I29" s="66">
        <v>7.72</v>
      </c>
      <c r="J29" s="66">
        <v>8.0399999999999991</v>
      </c>
      <c r="K29" s="66">
        <v>8.4700000000000006</v>
      </c>
    </row>
    <row r="30" spans="1:11">
      <c r="A30" s="65" t="s">
        <v>125</v>
      </c>
      <c r="B30" s="65" t="s">
        <v>136</v>
      </c>
      <c r="C30" s="65" t="s">
        <v>144</v>
      </c>
      <c r="D30" s="66">
        <v>6.77</v>
      </c>
      <c r="E30" s="66">
        <v>7.59</v>
      </c>
      <c r="F30" s="66">
        <v>7.91</v>
      </c>
      <c r="G30" s="66">
        <v>7.95</v>
      </c>
      <c r="H30" s="66">
        <v>8.5500000000000007</v>
      </c>
      <c r="I30" s="66">
        <v>8.76</v>
      </c>
      <c r="J30" s="66">
        <v>9.32</v>
      </c>
      <c r="K30" s="66">
        <v>10.039999999999999</v>
      </c>
    </row>
    <row r="31" spans="1:11">
      <c r="A31" s="65" t="s">
        <v>125</v>
      </c>
      <c r="B31" s="65" t="s">
        <v>136</v>
      </c>
      <c r="C31" s="65" t="s">
        <v>145</v>
      </c>
      <c r="D31" s="66">
        <v>8.17</v>
      </c>
      <c r="E31" s="66">
        <v>8.93</v>
      </c>
      <c r="F31" s="66">
        <v>9.2899999999999991</v>
      </c>
      <c r="G31" s="66">
        <v>9.3000000000000007</v>
      </c>
      <c r="H31" s="66">
        <v>9.9600000000000009</v>
      </c>
      <c r="I31" s="66">
        <v>10.25</v>
      </c>
      <c r="J31" s="66">
        <v>10.7</v>
      </c>
      <c r="K31" s="66">
        <v>11.38</v>
      </c>
    </row>
    <row r="32" spans="1:11">
      <c r="A32" s="65" t="s">
        <v>146</v>
      </c>
      <c r="B32" s="65" t="s">
        <v>147</v>
      </c>
      <c r="C32" s="65" t="s">
        <v>148</v>
      </c>
      <c r="D32" s="66">
        <v>3.57</v>
      </c>
      <c r="E32" s="66">
        <v>3.57</v>
      </c>
      <c r="F32" s="66">
        <v>3.58</v>
      </c>
      <c r="G32" s="66">
        <v>3.57</v>
      </c>
      <c r="H32" s="66">
        <v>3.55</v>
      </c>
      <c r="I32" s="66">
        <v>3.53</v>
      </c>
      <c r="J32" s="66">
        <v>3.94</v>
      </c>
      <c r="K32" s="66">
        <v>4.3</v>
      </c>
    </row>
    <row r="33" spans="1:11">
      <c r="A33" s="65" t="s">
        <v>146</v>
      </c>
      <c r="B33" s="65" t="s">
        <v>147</v>
      </c>
      <c r="C33" s="65" t="s">
        <v>149</v>
      </c>
      <c r="D33" s="66">
        <v>3.58</v>
      </c>
      <c r="E33" s="66">
        <v>3.58</v>
      </c>
      <c r="F33" s="66">
        <v>3.59</v>
      </c>
      <c r="G33" s="66">
        <v>3.59</v>
      </c>
      <c r="H33" s="66">
        <v>3.58</v>
      </c>
      <c r="I33" s="66">
        <v>3.6</v>
      </c>
      <c r="J33" s="66">
        <v>4.22</v>
      </c>
      <c r="K33" s="66">
        <v>4.66</v>
      </c>
    </row>
    <row r="34" spans="1:11">
      <c r="A34" s="65" t="s">
        <v>146</v>
      </c>
      <c r="B34" s="65" t="s">
        <v>147</v>
      </c>
      <c r="C34" s="65" t="s">
        <v>150</v>
      </c>
      <c r="D34" s="66">
        <v>3.58</v>
      </c>
      <c r="E34" s="66">
        <v>3.59</v>
      </c>
      <c r="F34" s="66">
        <v>3.59</v>
      </c>
      <c r="G34" s="66">
        <v>3.59</v>
      </c>
      <c r="H34" s="66">
        <v>3.62</v>
      </c>
      <c r="I34" s="66">
        <v>3.67</v>
      </c>
      <c r="J34" s="66">
        <v>4.5599999999999996</v>
      </c>
      <c r="K34" s="66">
        <v>5.25</v>
      </c>
    </row>
    <row r="35" spans="1:11">
      <c r="A35" s="65" t="s">
        <v>146</v>
      </c>
      <c r="B35" s="65" t="s">
        <v>147</v>
      </c>
      <c r="C35" s="65" t="s">
        <v>151</v>
      </c>
      <c r="D35" s="66">
        <v>3.61</v>
      </c>
      <c r="E35" s="66">
        <v>3.62</v>
      </c>
      <c r="F35" s="66">
        <v>3.62</v>
      </c>
      <c r="G35" s="66">
        <v>3.63</v>
      </c>
      <c r="H35" s="66">
        <v>3.66</v>
      </c>
      <c r="I35" s="66">
        <v>3.77</v>
      </c>
      <c r="J35" s="66">
        <v>4.93</v>
      </c>
      <c r="K35" s="66">
        <v>5.78</v>
      </c>
    </row>
    <row r="36" spans="1:11">
      <c r="A36" s="65" t="s">
        <v>146</v>
      </c>
      <c r="B36" s="65" t="s">
        <v>147</v>
      </c>
      <c r="C36" s="65" t="s">
        <v>152</v>
      </c>
      <c r="D36" s="66">
        <v>3.71</v>
      </c>
      <c r="E36" s="66">
        <v>3.84</v>
      </c>
      <c r="F36" s="66">
        <v>3.9</v>
      </c>
      <c r="G36" s="66">
        <v>3.9</v>
      </c>
      <c r="H36" s="66">
        <v>4.0999999999999996</v>
      </c>
      <c r="I36" s="66">
        <v>4.5999999999999996</v>
      </c>
      <c r="J36" s="66">
        <v>5.49</v>
      </c>
      <c r="K36" s="66">
        <v>6.22</v>
      </c>
    </row>
    <row r="37" spans="1:11">
      <c r="A37" s="65" t="s">
        <v>146</v>
      </c>
      <c r="B37" s="65" t="s">
        <v>147</v>
      </c>
      <c r="C37" s="65" t="s">
        <v>153</v>
      </c>
      <c r="D37" s="66">
        <v>3.85</v>
      </c>
      <c r="E37" s="66">
        <v>4</v>
      </c>
      <c r="F37" s="66">
        <v>4.07</v>
      </c>
      <c r="G37" s="66">
        <v>4.07</v>
      </c>
      <c r="H37" s="66">
        <v>4.37</v>
      </c>
      <c r="I37" s="66">
        <v>5.04</v>
      </c>
      <c r="J37" s="66">
        <v>5.95</v>
      </c>
      <c r="K37" s="66">
        <v>6.65</v>
      </c>
    </row>
    <row r="38" spans="1:11">
      <c r="A38" s="65" t="s">
        <v>146</v>
      </c>
      <c r="B38" s="65" t="s">
        <v>147</v>
      </c>
      <c r="C38" s="65" t="s">
        <v>154</v>
      </c>
      <c r="D38" s="66">
        <v>4.08</v>
      </c>
      <c r="E38" s="66">
        <v>4.24</v>
      </c>
      <c r="F38" s="66">
        <v>4.33</v>
      </c>
      <c r="G38" s="66">
        <v>4.34</v>
      </c>
      <c r="H38" s="66">
        <v>4.8099999999999996</v>
      </c>
      <c r="I38" s="66">
        <v>5.64</v>
      </c>
      <c r="J38" s="66">
        <v>6.47</v>
      </c>
      <c r="K38" s="66">
        <v>7.2</v>
      </c>
    </row>
    <row r="39" spans="1:11">
      <c r="A39" s="65" t="s">
        <v>146</v>
      </c>
      <c r="B39" s="65" t="s">
        <v>147</v>
      </c>
      <c r="C39" s="65" t="s">
        <v>155</v>
      </c>
      <c r="D39" s="66">
        <v>4.74</v>
      </c>
      <c r="E39" s="66">
        <v>5.21</v>
      </c>
      <c r="F39" s="66">
        <v>5.61</v>
      </c>
      <c r="G39" s="66">
        <v>5.76</v>
      </c>
      <c r="H39" s="66">
        <v>7.34</v>
      </c>
      <c r="I39" s="66">
        <v>7.58</v>
      </c>
      <c r="J39" s="66">
        <v>8.02</v>
      </c>
      <c r="K39" s="66">
        <v>8.6300000000000008</v>
      </c>
    </row>
    <row r="40" spans="1:11">
      <c r="A40" s="65" t="s">
        <v>146</v>
      </c>
      <c r="B40" s="65" t="s">
        <v>147</v>
      </c>
      <c r="C40" s="65" t="s">
        <v>156</v>
      </c>
      <c r="D40" s="66">
        <v>5.12</v>
      </c>
      <c r="E40" s="66">
        <v>5.71</v>
      </c>
      <c r="F40" s="66">
        <v>6.19</v>
      </c>
      <c r="G40" s="66">
        <v>6.43</v>
      </c>
      <c r="H40" s="66">
        <v>8.39</v>
      </c>
      <c r="I40" s="66">
        <v>8.6300000000000008</v>
      </c>
      <c r="J40" s="66">
        <v>9.1199999999999992</v>
      </c>
      <c r="K40" s="66">
        <v>9.81</v>
      </c>
    </row>
    <row r="41" spans="1:11">
      <c r="A41" s="65" t="s">
        <v>146</v>
      </c>
      <c r="B41" s="65" t="s">
        <v>147</v>
      </c>
      <c r="C41" s="65" t="s">
        <v>157</v>
      </c>
      <c r="D41" s="66">
        <v>5.8</v>
      </c>
      <c r="E41" s="66">
        <v>6.5</v>
      </c>
      <c r="F41" s="66">
        <v>7.12</v>
      </c>
      <c r="G41" s="66">
        <v>7.41</v>
      </c>
      <c r="H41" s="66">
        <v>9.76</v>
      </c>
      <c r="I41" s="66">
        <v>10.050000000000001</v>
      </c>
      <c r="J41" s="66">
        <v>10.55</v>
      </c>
      <c r="K41" s="66">
        <v>11.23</v>
      </c>
    </row>
  </sheetData>
  <mergeCells count="1">
    <mergeCell ref="A1:B1"/>
  </mergeCells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5</vt:i4>
      </vt:variant>
    </vt:vector>
  </HeadingPairs>
  <TitlesOfParts>
    <vt:vector size="10" baseType="lpstr">
      <vt:lpstr>A&amp;R</vt:lpstr>
      <vt:lpstr>계약서 캡쳐</vt:lpstr>
      <vt:lpstr>1. 주가이항과정</vt:lpstr>
      <vt:lpstr>부트스트랩</vt:lpstr>
      <vt:lpstr>채권만기수익률_Seibro</vt:lpstr>
      <vt:lpstr>exit</vt:lpstr>
      <vt:lpstr>start</vt:lpstr>
      <vt:lpstr>상환일</vt:lpstr>
      <vt:lpstr>전환일</vt:lpstr>
      <vt:lpstr>평가기준일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다.채동우</dc:creator>
  <cp:lastModifiedBy>다.채동우</cp:lastModifiedBy>
  <dcterms:created xsi:type="dcterms:W3CDTF">2025-03-10T04:40:47Z</dcterms:created>
  <dcterms:modified xsi:type="dcterms:W3CDTF">2025-03-10T08:56:50Z</dcterms:modified>
</cp:coreProperties>
</file>