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date1904="1"/>
  <mc:AlternateContent xmlns:mc="http://schemas.openxmlformats.org/markup-compatibility/2006">
    <mc:Choice Requires="x15">
      <x15ac:absPath xmlns:x15ac="http://schemas.microsoft.com/office/spreadsheetml/2010/11/ac" url="D:\working\waccache\OS1PEPF0000EF08\EXCELCNV\a1265fbd-8866-4abc-8413-6d5fb14a3bb4\"/>
    </mc:Choice>
  </mc:AlternateContent>
  <xr:revisionPtr revIDLastSave="0" documentId="8_{0A1651A3-64E8-4ACD-9FE4-173A8E195FE2}" xr6:coauthVersionLast="47" xr6:coauthVersionMax="47" xr10:uidLastSave="{00000000-0000-0000-0000-000000000000}"/>
  <bookViews>
    <workbookView xWindow="-60" yWindow="-60" windowWidth="15480" windowHeight="11640" firstSheet="5" activeTab="5" xr2:uid="{6EDC6AA2-5624-403E-9746-08029AEDB9FA}"/>
  </bookViews>
  <sheets>
    <sheet name="Digital Status Quo IP 25.1" sheetId="4" r:id="rId1"/>
    <sheet name="Digital Opt Mg ip25.2" sheetId="3" r:id="rId2"/>
    <sheet name="Compaq Alone ip 25.3" sheetId="2" r:id="rId3"/>
    <sheet name="Combined w.synergy ip25.3" sheetId="1" r:id="rId4"/>
    <sheet name="Value of Synergy ip25.3" sheetId="5" r:id="rId5"/>
    <sheet name="Exchange Ratio ip25.5" sheetId="6" r:id="rId6"/>
  </sheets>
  <calcPr calcId="191028" iterate="1" iterateCount="200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F4" i="4"/>
  <c r="F6" i="4"/>
  <c r="C13" i="4"/>
  <c r="H10" i="4"/>
  <c r="G12" i="4"/>
  <c r="I12" i="4"/>
  <c r="G13" i="4"/>
  <c r="I13" i="4"/>
  <c r="G14" i="4"/>
  <c r="I14" i="4"/>
  <c r="G15" i="4"/>
  <c r="I15" i="4"/>
  <c r="G16" i="4"/>
  <c r="G17" i="4"/>
  <c r="H16" i="4"/>
  <c r="I16" i="4"/>
  <c r="I17" i="4"/>
  <c r="H19" i="4"/>
  <c r="G23" i="4"/>
  <c r="C25" i="4"/>
  <c r="C26" i="4"/>
  <c r="C27" i="4"/>
  <c r="C4" i="3"/>
  <c r="F4" i="3"/>
  <c r="C13" i="3"/>
  <c r="H10" i="3"/>
  <c r="G12" i="3"/>
  <c r="I12" i="3"/>
  <c r="G13" i="3"/>
  <c r="I13" i="3"/>
  <c r="G14" i="3"/>
  <c r="I14" i="3"/>
  <c r="G15" i="3"/>
  <c r="I15" i="3"/>
  <c r="G16" i="3"/>
  <c r="G17" i="3"/>
  <c r="H16" i="3"/>
  <c r="I16" i="3"/>
  <c r="I17" i="3"/>
  <c r="C25" i="3"/>
  <c r="C26" i="3"/>
  <c r="C27" i="3"/>
  <c r="E3" i="2"/>
  <c r="E4" i="2"/>
  <c r="E6" i="2"/>
  <c r="B13" i="2"/>
  <c r="G10" i="2"/>
  <c r="F12" i="2"/>
  <c r="H12" i="2"/>
  <c r="F13" i="2"/>
  <c r="H13" i="2"/>
  <c r="F14" i="2"/>
  <c r="H14" i="2"/>
  <c r="D15" i="2"/>
  <c r="F15" i="2"/>
  <c r="H15" i="2"/>
  <c r="D16" i="2"/>
  <c r="F16" i="2"/>
  <c r="F17" i="2"/>
  <c r="G16" i="2"/>
  <c r="H16" i="2"/>
  <c r="D17" i="2"/>
  <c r="H17" i="2"/>
  <c r="C25" i="2"/>
  <c r="C26" i="2"/>
  <c r="C27" i="2"/>
  <c r="G4" i="1"/>
  <c r="D8" i="1"/>
  <c r="H4" i="1"/>
  <c r="H5" i="1"/>
  <c r="D6" i="1"/>
  <c r="G6" i="1"/>
  <c r="K6" i="1"/>
  <c r="D7" i="1"/>
  <c r="K9" i="1"/>
  <c r="D13" i="1"/>
  <c r="I10" i="1"/>
  <c r="K10" i="1"/>
  <c r="K11" i="1"/>
  <c r="H12" i="1"/>
  <c r="J12" i="1"/>
  <c r="H13" i="1"/>
  <c r="J13" i="1"/>
  <c r="H14" i="1"/>
  <c r="J14" i="1"/>
  <c r="F15" i="1"/>
  <c r="H15" i="1"/>
  <c r="J15" i="1"/>
  <c r="H16" i="1"/>
  <c r="H17" i="1"/>
  <c r="I16" i="1"/>
  <c r="J16" i="1"/>
  <c r="J17" i="1"/>
  <c r="I22" i="1"/>
  <c r="D25" i="1"/>
  <c r="D26" i="1"/>
  <c r="D27" i="1"/>
  <c r="B2" i="5"/>
  <c r="B3" i="5"/>
  <c r="B4" i="5"/>
  <c r="B5" i="5"/>
  <c r="B2" i="6"/>
  <c r="B3" i="6"/>
  <c r="B4" i="6"/>
  <c r="B5" i="6"/>
  <c r="C5" i="6"/>
  <c r="B7" i="6"/>
  <c r="C7" i="6"/>
  <c r="B9" i="6"/>
  <c r="C9" i="6"/>
  <c r="B11" i="6"/>
</calcChain>
</file>

<file path=xl/sharedStrings.xml><?xml version="1.0" encoding="utf-8"?>
<sst xmlns="http://schemas.openxmlformats.org/spreadsheetml/2006/main" count="231" uniqueCount="60">
  <si>
    <t>Two-Stage FCFF Model</t>
  </si>
  <si>
    <t>Enter the following inputs for the two-stage FCFE Model</t>
  </si>
  <si>
    <t>Current Inputs</t>
  </si>
  <si>
    <t>Current EBIT =</t>
  </si>
  <si>
    <t xml:space="preserve"> (in $)</t>
  </si>
  <si>
    <t>ROC =</t>
  </si>
  <si>
    <t>Current Tax Rate =</t>
  </si>
  <si>
    <t xml:space="preserve"> (in percent)</t>
  </si>
  <si>
    <t>Reinvestment Rate =</t>
  </si>
  <si>
    <t>Current Depreciation  =</t>
  </si>
  <si>
    <t>Margin =</t>
  </si>
  <si>
    <t>Current Capital Spending =</t>
  </si>
  <si>
    <t>Current Revenues =</t>
  </si>
  <si>
    <t>Working Capital as % of Revenues=</t>
  </si>
  <si>
    <t>High Growth Period</t>
  </si>
  <si>
    <t>Cost of Capital =</t>
  </si>
  <si>
    <t>Length of high-growth period (n) =</t>
  </si>
  <si>
    <t xml:space="preserve"> (Number of periods)</t>
  </si>
  <si>
    <t>Year</t>
  </si>
  <si>
    <t>FCFF</t>
  </si>
  <si>
    <t>Terminal Value</t>
  </si>
  <si>
    <t>PV</t>
  </si>
  <si>
    <t>Growth rate during period (g) =</t>
  </si>
  <si>
    <t>(in percent)</t>
  </si>
  <si>
    <t>Cost of Equity during period  =</t>
  </si>
  <si>
    <t>After-tax Cost of Debt =</t>
  </si>
  <si>
    <t>Debt Ratio (D / (D + E)) =</t>
  </si>
  <si>
    <t>Stable Growth Period</t>
  </si>
  <si>
    <t>Growth rate in steady state =</t>
  </si>
  <si>
    <t>Terminal Year</t>
  </si>
  <si>
    <t>Cost of Equity in steady state =</t>
  </si>
  <si>
    <t xml:space="preserve">New cost of capital = </t>
  </si>
  <si>
    <t>Is capital spending offset by depreciation in steady state ?</t>
  </si>
  <si>
    <t>No</t>
  </si>
  <si>
    <t>(Yes or No)</t>
  </si>
  <si>
    <t xml:space="preserve">If no, enter capital expenditures as % of depreciation </t>
  </si>
  <si>
    <t>Output</t>
  </si>
  <si>
    <t>PV of FCFF</t>
  </si>
  <si>
    <t>PV of Terminal Value =</t>
  </si>
  <si>
    <t>Value of Firm =</t>
  </si>
  <si>
    <t>Unlevered Beta=</t>
  </si>
  <si>
    <t>Operating Margin=</t>
  </si>
  <si>
    <t>Unlevered Beta =</t>
  </si>
  <si>
    <t>Value of Synergy</t>
  </si>
  <si>
    <t>Value of Combined firm with no synergy =</t>
  </si>
  <si>
    <t xml:space="preserve"> - Value of Compaq</t>
  </si>
  <si>
    <t xml:space="preserve"> - Value of Digital Optimally managed</t>
  </si>
  <si>
    <t xml:space="preserve"> = Value of Synergy</t>
  </si>
  <si>
    <t>Digital</t>
  </si>
  <si>
    <t>Compaq</t>
  </si>
  <si>
    <t>Value of Digital (Status Quo) =</t>
  </si>
  <si>
    <t>Value of Control (Digital) =</t>
  </si>
  <si>
    <t>Value of Synergy =</t>
  </si>
  <si>
    <t>Total Value of Digital</t>
  </si>
  <si>
    <t xml:space="preserve"> - Outstanding Debt </t>
  </si>
  <si>
    <t>Value of Equity</t>
  </si>
  <si>
    <t xml:space="preserve"> / Number of shares outstanding</t>
  </si>
  <si>
    <t>Value of Equity per share =</t>
  </si>
  <si>
    <t>Exchange Ratio =</t>
  </si>
  <si>
    <t>! Shares of Digital for every share of Compaq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</si>
</sst>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0.000000%"/>
  </numFmts>
  <fonts count="9">
    <font>
      <sz val="10"/>
      <name val="Geneva"/>
    </font>
    <font>
      <b/>
      <sz val="10"/>
      <name val="Geneva"/>
    </font>
    <font>
      <sz val="10"/>
      <name val="Geneva"/>
    </font>
    <font>
      <i/>
      <sz val="14"/>
      <name val="Times"/>
    </font>
    <font>
      <sz val="12"/>
      <name val="Times"/>
    </font>
    <font>
      <b/>
      <sz val="12"/>
      <name val="Times"/>
    </font>
    <font>
      <b/>
      <i/>
      <sz val="12"/>
      <name val="Times"/>
    </font>
    <font>
      <b/>
      <sz val="14"/>
      <name val="Times"/>
    </font>
    <font>
      <sz val="10"/>
      <name val="Times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7" fillId="0" borderId="0" xfId="0" applyFont="1"/>
    <xf numFmtId="0" fontId="4" fillId="0" borderId="0" xfId="0" applyFont="1" applyAlignment="1">
      <alignment horizontal="left"/>
    </xf>
    <xf numFmtId="176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76" fontId="4" fillId="0" borderId="2" xfId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1" xfId="1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4" fillId="0" borderId="0" xfId="2" applyNumberFormat="1" applyFont="1"/>
    <xf numFmtId="9" fontId="4" fillId="0" borderId="0" xfId="0" applyNumberFormat="1" applyFont="1"/>
    <xf numFmtId="10" fontId="4" fillId="0" borderId="1" xfId="2" applyNumberFormat="1" applyFont="1" applyBorder="1" applyAlignment="1">
      <alignment horizontal="center"/>
    </xf>
    <xf numFmtId="176" fontId="4" fillId="0" borderId="0" xfId="0" applyNumberFormat="1" applyFont="1"/>
    <xf numFmtId="176" fontId="4" fillId="0" borderId="0" xfId="1" applyFont="1"/>
    <xf numFmtId="176" fontId="4" fillId="2" borderId="1" xfId="1" applyFont="1" applyFill="1" applyBorder="1" applyAlignment="1">
      <alignment horizontal="center"/>
    </xf>
    <xf numFmtId="10" fontId="4" fillId="0" borderId="1" xfId="2" applyNumberFormat="1" applyFont="1" applyBorder="1"/>
    <xf numFmtId="10" fontId="4" fillId="2" borderId="1" xfId="1" applyNumberFormat="1" applyFont="1" applyFill="1" applyBorder="1" applyAlignment="1">
      <alignment horizontal="center"/>
    </xf>
    <xf numFmtId="9" fontId="4" fillId="0" borderId="1" xfId="0" applyNumberFormat="1" applyFont="1" applyBorder="1"/>
    <xf numFmtId="0" fontId="4" fillId="0" borderId="1" xfId="0" applyFont="1" applyBorder="1"/>
    <xf numFmtId="177" fontId="4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76" fontId="4" fillId="0" borderId="1" xfId="0" applyNumberFormat="1" applyFont="1" applyBorder="1"/>
    <xf numFmtId="176" fontId="4" fillId="0" borderId="1" xfId="1" applyFont="1" applyBorder="1"/>
    <xf numFmtId="10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77" fontId="4" fillId="0" borderId="0" xfId="0" applyNumberFormat="1" applyFont="1"/>
    <xf numFmtId="0" fontId="8" fillId="0" borderId="0" xfId="0" applyFont="1"/>
    <xf numFmtId="176" fontId="8" fillId="0" borderId="0" xfId="0" applyNumberFormat="1" applyFont="1"/>
    <xf numFmtId="0" fontId="1" fillId="0" borderId="0" xfId="0" applyFont="1"/>
    <xf numFmtId="176" fontId="8" fillId="0" borderId="3" xfId="0" applyNumberFormat="1" applyFont="1" applyBorder="1"/>
    <xf numFmtId="176" fontId="0" fillId="2" borderId="1" xfId="1" applyFont="1" applyFill="1" applyBorder="1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  <xf numFmtId="2" fontId="0" fillId="0" borderId="3" xfId="0" applyNumberFormat="1" applyBorder="1" applyAlignment="1">
      <alignment horizontal="left" indent="1"/>
    </xf>
  </cellXfs>
  <cellStyles count="3">
    <cellStyle name="백분율" xfId="2" builtinId="5"/>
    <cellStyle name="통화" xfId="1" builtinId="4"/>
    <cellStyle name="표준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D382-E507-45A6-BCBF-E25C44C498BB}">
  <dimension ref="A1:J28"/>
  <sheetViews>
    <sheetView workbookViewId="0">
      <selection activeCell="A40" sqref="A40"/>
    </sheetView>
  </sheetViews>
  <sheetFormatPr defaultRowHeight="12.75"/>
  <cols>
    <col min="1" max="256" width="11.42578125" customWidth="1"/>
  </cols>
  <sheetData>
    <row r="1" spans="1:9" ht="18.75">
      <c r="C1" s="1" t="s">
        <v>0</v>
      </c>
    </row>
    <row r="2" spans="1:9" ht="18.75">
      <c r="A2" s="6" t="s">
        <v>1</v>
      </c>
      <c r="B2" s="2"/>
      <c r="C2" s="2"/>
      <c r="D2" s="2"/>
      <c r="E2" s="2"/>
      <c r="F2" s="2"/>
      <c r="G2" s="2"/>
      <c r="H2" s="2"/>
      <c r="I2" s="2"/>
    </row>
    <row r="3" spans="1:9" ht="15.75">
      <c r="A3" s="4" t="s">
        <v>2</v>
      </c>
      <c r="B3" s="2"/>
      <c r="C3" s="2"/>
      <c r="D3" s="2"/>
      <c r="E3" s="2"/>
      <c r="F3" s="2"/>
      <c r="G3" s="2"/>
      <c r="H3" s="2"/>
      <c r="I3" s="2"/>
    </row>
    <row r="4" spans="1:9" ht="15.75">
      <c r="A4" s="2" t="s">
        <v>3</v>
      </c>
      <c r="B4" s="2"/>
      <c r="C4" s="21">
        <f>0.03*C8</f>
        <v>391.38</v>
      </c>
      <c r="D4" s="7" t="s">
        <v>4</v>
      </c>
      <c r="E4" s="2" t="s">
        <v>5</v>
      </c>
      <c r="F4" s="22">
        <f>C4*(1-C5)/(999+18+3606)</f>
        <v>5.4181959766385464E-2</v>
      </c>
      <c r="G4" s="2"/>
      <c r="H4" s="2"/>
      <c r="I4" s="2"/>
    </row>
    <row r="5" spans="1:9" ht="15.75">
      <c r="A5" s="2" t="s">
        <v>6</v>
      </c>
      <c r="B5" s="2"/>
      <c r="C5" s="23">
        <v>0.36</v>
      </c>
      <c r="D5" s="7" t="s">
        <v>7</v>
      </c>
      <c r="E5" s="2" t="s">
        <v>8</v>
      </c>
      <c r="F5" s="24">
        <v>0.5</v>
      </c>
      <c r="G5" s="2"/>
      <c r="H5" s="2"/>
      <c r="I5" s="2"/>
    </row>
    <row r="6" spans="1:9" ht="15.75">
      <c r="A6" s="2" t="s">
        <v>9</v>
      </c>
      <c r="B6" s="2"/>
      <c r="C6" s="21">
        <v>461</v>
      </c>
      <c r="D6" s="7" t="s">
        <v>4</v>
      </c>
      <c r="E6" s="2" t="s">
        <v>10</v>
      </c>
      <c r="F6" s="22">
        <f>C4/C8</f>
        <v>0.03</v>
      </c>
      <c r="G6" s="2"/>
      <c r="H6" s="2"/>
      <c r="I6" s="2"/>
    </row>
    <row r="7" spans="1:9" ht="15.75">
      <c r="A7" s="2" t="s">
        <v>11</v>
      </c>
      <c r="B7" s="2"/>
      <c r="C7" s="21">
        <v>475</v>
      </c>
      <c r="D7" s="7" t="s">
        <v>4</v>
      </c>
      <c r="E7" s="2"/>
      <c r="F7" s="2"/>
      <c r="G7" s="2"/>
      <c r="H7" s="2"/>
      <c r="I7" s="2"/>
    </row>
    <row r="8" spans="1:9" ht="15.75">
      <c r="A8" s="2" t="s">
        <v>12</v>
      </c>
      <c r="B8" s="2"/>
      <c r="C8" s="21">
        <v>13046</v>
      </c>
      <c r="D8" s="7" t="s">
        <v>4</v>
      </c>
      <c r="E8" s="2"/>
      <c r="F8" s="2"/>
      <c r="G8" s="2"/>
      <c r="H8" s="2"/>
      <c r="I8" s="2"/>
    </row>
    <row r="9" spans="1:9" ht="15.75">
      <c r="A9" s="2" t="s">
        <v>13</v>
      </c>
      <c r="B9" s="2"/>
      <c r="C9" s="23">
        <v>0.15</v>
      </c>
      <c r="D9" s="7" t="s">
        <v>7</v>
      </c>
      <c r="E9" s="2"/>
      <c r="F9" s="2"/>
      <c r="G9" s="2"/>
      <c r="H9" s="2"/>
      <c r="I9" s="2"/>
    </row>
    <row r="10" spans="1:9" ht="15.75">
      <c r="A10" s="4" t="s">
        <v>14</v>
      </c>
      <c r="B10" s="2"/>
      <c r="C10" s="5"/>
      <c r="D10" s="7"/>
      <c r="E10" s="2"/>
      <c r="F10" s="25" t="s">
        <v>15</v>
      </c>
      <c r="G10" s="2"/>
      <c r="H10" s="26">
        <f>C13*(1-C15)+C14*C15</f>
        <v>0.115925</v>
      </c>
      <c r="I10" s="2"/>
    </row>
    <row r="11" spans="1:9" ht="15.75">
      <c r="A11" s="2" t="s">
        <v>16</v>
      </c>
      <c r="B11" s="2"/>
      <c r="C11" s="27">
        <v>5</v>
      </c>
      <c r="D11" s="7" t="s">
        <v>17</v>
      </c>
      <c r="E11" s="7"/>
      <c r="F11" s="25" t="s">
        <v>18</v>
      </c>
      <c r="G11" s="25" t="s">
        <v>19</v>
      </c>
      <c r="H11" s="25" t="s">
        <v>20</v>
      </c>
      <c r="I11" s="25" t="s">
        <v>21</v>
      </c>
    </row>
    <row r="12" spans="1:9" ht="15.75">
      <c r="A12" s="2" t="s">
        <v>22</v>
      </c>
      <c r="B12" s="2"/>
      <c r="C12" s="28">
        <v>0.06</v>
      </c>
      <c r="D12" s="7" t="s">
        <v>23</v>
      </c>
      <c r="E12" s="2"/>
      <c r="F12" s="25">
        <v>1</v>
      </c>
      <c r="G12" s="29">
        <f>(C4*(1-C5)-C7+C6)*(1+C12)^F12-C8*C12*C9</f>
        <v>133.25819200000004</v>
      </c>
      <c r="H12" s="25"/>
      <c r="I12" s="30">
        <f>(G12+H12)/(1+$H$10)^F12</f>
        <v>119.41500728095529</v>
      </c>
    </row>
    <row r="13" spans="1:9" ht="15.75">
      <c r="A13" s="2" t="s">
        <v>24</v>
      </c>
      <c r="B13" s="2"/>
      <c r="C13" s="31">
        <f>0.06+1.15*0.055</f>
        <v>0.12325</v>
      </c>
      <c r="D13" s="7" t="s">
        <v>23</v>
      </c>
      <c r="E13" s="2"/>
      <c r="F13" s="25">
        <v>2</v>
      </c>
      <c r="G13" s="30">
        <f>($C$4*(1-$C$5)-$C$7+$C$6)*((1+$C$12)^F13)-($C$8*$C$12*$C$9)*(1+$C$12)^(F13-1)</f>
        <v>141.25368352000004</v>
      </c>
      <c r="H13" s="25"/>
      <c r="I13" s="30">
        <f>(G13+H13)/(1+$H$10)^F13</f>
        <v>113.43047939405659</v>
      </c>
    </row>
    <row r="14" spans="1:9" ht="15.75">
      <c r="A14" s="2" t="s">
        <v>25</v>
      </c>
      <c r="B14" s="2"/>
      <c r="C14" s="31">
        <v>0.05</v>
      </c>
      <c r="D14" s="7" t="s">
        <v>23</v>
      </c>
      <c r="E14" s="2"/>
      <c r="F14" s="25">
        <v>3</v>
      </c>
      <c r="G14" s="30">
        <f>($C$4*(1-$C$5)-$C$7+$C$6)*((1+$C$12)^F14)-($C$8*$C$12*$C$9)*(1+$C$12)^(F14-1)</f>
        <v>149.7289045312001</v>
      </c>
      <c r="H14" s="25"/>
      <c r="I14" s="30">
        <f>(G14+H14)/(1+$H$10)^F14</f>
        <v>107.74586836722901</v>
      </c>
    </row>
    <row r="15" spans="1:9" ht="15.75">
      <c r="A15" s="2" t="s">
        <v>26</v>
      </c>
      <c r="B15" s="2"/>
      <c r="C15" s="31">
        <v>0.1</v>
      </c>
      <c r="D15" s="7" t="s">
        <v>23</v>
      </c>
      <c r="E15" s="2"/>
      <c r="F15" s="25">
        <v>4</v>
      </c>
      <c r="G15" s="30">
        <f>($C$4*(1-$C$5)-$C$7+$C$6)*((1+$C$12)^F15)-($C$8*$C$12*$C$9)*(1+$C$12)^(F15-1)</f>
        <v>158.71263880307205</v>
      </c>
      <c r="H15" s="25"/>
      <c r="I15" s="30">
        <f>(G15+H15)/(1+$H$10)^F15</f>
        <v>102.34614375451997</v>
      </c>
    </row>
    <row r="16" spans="1:9" ht="15.75">
      <c r="A16" s="4" t="s">
        <v>27</v>
      </c>
      <c r="B16" s="2"/>
      <c r="C16" s="10"/>
      <c r="D16" s="7"/>
      <c r="E16" s="2"/>
      <c r="F16" s="25">
        <v>5</v>
      </c>
      <c r="G16" s="30">
        <f>($C$4*(1-$C$5)-$C$7+$C$6)*((1+$C$12)^F16)-($C$8*$C$12*$C$9)*(1+$C$12)^(F16-1)</f>
        <v>168.23539713125646</v>
      </c>
      <c r="H16" s="30">
        <f>G17/((C18*(1-C20)+C19*C20)-C17)</f>
        <v>2717.3510526095847</v>
      </c>
      <c r="I16" s="30">
        <f>(G16+H16)/(1+$H$10)^F16</f>
        <v>1667.4739354603851</v>
      </c>
    </row>
    <row r="17" spans="1:10" ht="15.75">
      <c r="A17" s="2" t="s">
        <v>28</v>
      </c>
      <c r="B17" s="2"/>
      <c r="C17" s="31">
        <v>0.05</v>
      </c>
      <c r="D17" s="7" t="s">
        <v>23</v>
      </c>
      <c r="E17" s="2"/>
      <c r="F17" s="25" t="s">
        <v>29</v>
      </c>
      <c r="G17" s="29">
        <f>C4*(1-C5)*(1+C12)^5*(1+C17)-(C6*(1+C12)^5*(1+C17)*(E22-1))-C8*(1+C12)^5*C17*C9</f>
        <v>156.24768552505114</v>
      </c>
      <c r="H17" s="25"/>
      <c r="I17" s="29">
        <f>SUM(I12:I16)</f>
        <v>2110.4114342571461</v>
      </c>
    </row>
    <row r="18" spans="1:10" ht="15.75">
      <c r="A18" s="2" t="s">
        <v>30</v>
      </c>
      <c r="B18" s="2"/>
      <c r="C18" s="31">
        <v>0.115</v>
      </c>
      <c r="D18" s="7" t="s">
        <v>23</v>
      </c>
      <c r="E18" s="2"/>
      <c r="F18" s="2"/>
      <c r="G18" s="2"/>
      <c r="H18" s="2"/>
      <c r="I18" s="2"/>
    </row>
    <row r="19" spans="1:10" ht="15.75">
      <c r="A19" s="2" t="s">
        <v>25</v>
      </c>
      <c r="B19" s="2"/>
      <c r="C19" s="31">
        <v>0.04</v>
      </c>
      <c r="D19" s="7" t="s">
        <v>23</v>
      </c>
      <c r="E19" s="2"/>
      <c r="F19" s="2" t="s">
        <v>31</v>
      </c>
      <c r="G19" s="2"/>
      <c r="H19" s="2">
        <f>C18*0.9+C19*0.1</f>
        <v>0.10750000000000001</v>
      </c>
      <c r="I19" s="2"/>
    </row>
    <row r="20" spans="1:10" ht="15.75">
      <c r="A20" s="2" t="s">
        <v>26</v>
      </c>
      <c r="B20" s="2"/>
      <c r="C20" s="31">
        <v>0.1</v>
      </c>
      <c r="D20" s="7" t="s">
        <v>23</v>
      </c>
      <c r="E20" s="2"/>
      <c r="F20" s="2"/>
      <c r="G20" s="2"/>
      <c r="H20" s="2"/>
      <c r="I20" s="2"/>
    </row>
    <row r="21" spans="1:10" ht="15.75">
      <c r="A21" s="2" t="s">
        <v>32</v>
      </c>
      <c r="B21" s="2"/>
      <c r="C21" s="13"/>
      <c r="D21" s="13"/>
      <c r="E21" s="27" t="s">
        <v>33</v>
      </c>
      <c r="F21" s="2" t="s">
        <v>34</v>
      </c>
      <c r="G21" s="2"/>
      <c r="H21" s="2"/>
      <c r="I21" s="2"/>
      <c r="J21" s="2"/>
    </row>
    <row r="22" spans="1:10" ht="15.75">
      <c r="A22" s="2" t="s">
        <v>35</v>
      </c>
      <c r="B22" s="2"/>
      <c r="C22" s="13"/>
      <c r="D22" s="13"/>
      <c r="E22" s="32">
        <v>1.1000000000000001</v>
      </c>
      <c r="F22" s="2" t="s">
        <v>23</v>
      </c>
      <c r="G22" s="2"/>
      <c r="H22" s="2"/>
      <c r="I22" s="2"/>
      <c r="J22" s="2"/>
    </row>
    <row r="23" spans="1:10" ht="15.75">
      <c r="A23" s="2"/>
      <c r="B23" s="2"/>
      <c r="C23" s="13"/>
      <c r="D23" s="10"/>
      <c r="E23" s="2"/>
      <c r="F23" s="2"/>
      <c r="G23" s="2">
        <f>391.38*(1-0.36)*(1.06)-(475-461)*(1.06)-13046*(0.06)*(0.15)</f>
        <v>133.25819200000004</v>
      </c>
      <c r="H23" s="2"/>
      <c r="I23" s="2"/>
    </row>
    <row r="24" spans="1:10" ht="19.5" thickBot="1">
      <c r="A24" s="6" t="s">
        <v>36</v>
      </c>
      <c r="B24" s="2"/>
      <c r="C24" s="2"/>
      <c r="D24" s="7"/>
      <c r="E24" s="2"/>
      <c r="F24" s="2"/>
      <c r="G24" s="2"/>
      <c r="H24" s="2"/>
      <c r="I24" s="2"/>
    </row>
    <row r="25" spans="1:10" ht="17.25" thickTop="1" thickBot="1">
      <c r="A25" s="3" t="s">
        <v>37</v>
      </c>
      <c r="B25" s="2"/>
      <c r="C25" s="12">
        <f>((C4*(1-C5)-(C7-C6))*(1+C12)-(C8*C12*C9))*(1-(1+C12)^C11/(1+(C13*(1-C15)+C14*C15))^C11)/((C13*(1-C15)+C14*C15)-C12)</f>
        <v>540.15452716317509</v>
      </c>
      <c r="D25" s="7"/>
      <c r="E25" s="2"/>
      <c r="F25" s="2"/>
      <c r="G25" s="2"/>
      <c r="H25" s="2"/>
      <c r="I25" s="2"/>
    </row>
    <row r="26" spans="1:10" ht="17.25" thickTop="1" thickBot="1">
      <c r="A26" s="3" t="s">
        <v>38</v>
      </c>
      <c r="B26" s="2"/>
      <c r="C26" s="12">
        <f>IF(E21="Yes",(C4*((1+C12)^C11)*(1+C17)*(1-C5)-C8*((1+C12)^C11)*C17*C9)/((C18*(1-C20)+C19*C20)-C17),((C4*(1-C5)-((E22-1)*C6))*((1+C12)^C11)*(1+C17)-C8*((1+C12)^C11)*C17*C9)/((C18*(1-C20)+C19*C20)-C17))/((1+C13*(1-C15)+C14*C15)^C11)</f>
        <v>1570.2569070939719</v>
      </c>
      <c r="D26" s="2"/>
      <c r="E26" s="2"/>
      <c r="F26" s="2"/>
      <c r="G26" s="2"/>
      <c r="H26" s="2"/>
      <c r="I26" s="2"/>
    </row>
    <row r="27" spans="1:10" ht="17.25" thickTop="1" thickBot="1">
      <c r="A27" s="3" t="s">
        <v>39</v>
      </c>
      <c r="B27" s="2"/>
      <c r="C27" s="12">
        <f>C25+C26</f>
        <v>2110.411434257147</v>
      </c>
      <c r="D27" s="2"/>
      <c r="E27" s="2"/>
      <c r="F27" s="2"/>
      <c r="G27" s="2"/>
      <c r="H27" s="2"/>
      <c r="I27" s="2"/>
    </row>
    <row r="28" spans="1:10" ht="13.5" thickTop="1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E3C1-9839-44E5-B732-3BB8E3BB46D6}">
  <dimension ref="A1:I28"/>
  <sheetViews>
    <sheetView workbookViewId="0">
      <selection sqref="A1:A65536"/>
    </sheetView>
  </sheetViews>
  <sheetFormatPr defaultRowHeight="12.75"/>
  <cols>
    <col min="1" max="256" width="11.42578125" customWidth="1"/>
  </cols>
  <sheetData>
    <row r="1" spans="1:9" ht="20.100000000000001" customHeight="1">
      <c r="C1" s="1" t="s">
        <v>0</v>
      </c>
    </row>
    <row r="2" spans="1:9" s="2" customFormat="1" ht="20.100000000000001" customHeight="1">
      <c r="A2" s="6" t="s">
        <v>1</v>
      </c>
    </row>
    <row r="3" spans="1:9" s="2" customFormat="1" ht="20.100000000000001" customHeight="1">
      <c r="A3" s="4" t="s">
        <v>2</v>
      </c>
    </row>
    <row r="4" spans="1:9" s="2" customFormat="1" ht="20.100000000000001" customHeight="1">
      <c r="A4" s="2" t="s">
        <v>3</v>
      </c>
      <c r="C4" s="21">
        <f>0.04*C8</f>
        <v>521.84</v>
      </c>
      <c r="D4" s="7" t="s">
        <v>4</v>
      </c>
      <c r="E4" s="25" t="s">
        <v>5</v>
      </c>
      <c r="F4" s="22">
        <f>C4*(1-C5)/(743+263+3545)</f>
        <v>7.3385541639200191E-2</v>
      </c>
    </row>
    <row r="5" spans="1:9" s="2" customFormat="1" ht="20.100000000000001" customHeight="1">
      <c r="A5" s="2" t="s">
        <v>6</v>
      </c>
      <c r="C5" s="23">
        <v>0.36</v>
      </c>
      <c r="D5" s="7" t="s">
        <v>7</v>
      </c>
      <c r="E5" s="25" t="s">
        <v>8</v>
      </c>
      <c r="F5" s="24">
        <v>0.5</v>
      </c>
    </row>
    <row r="6" spans="1:9" s="2" customFormat="1" ht="20.100000000000001" customHeight="1">
      <c r="A6" s="2" t="s">
        <v>9</v>
      </c>
      <c r="C6" s="21">
        <v>461</v>
      </c>
      <c r="D6" s="7" t="s">
        <v>4</v>
      </c>
    </row>
    <row r="7" spans="1:9" s="2" customFormat="1" ht="20.100000000000001" customHeight="1">
      <c r="A7" s="2" t="s">
        <v>11</v>
      </c>
      <c r="C7" s="21">
        <v>475</v>
      </c>
      <c r="D7" s="7" t="s">
        <v>4</v>
      </c>
    </row>
    <row r="8" spans="1:9" s="2" customFormat="1" ht="20.100000000000001" customHeight="1">
      <c r="A8" s="2" t="s">
        <v>12</v>
      </c>
      <c r="C8" s="21">
        <v>13046</v>
      </c>
      <c r="D8" s="7" t="s">
        <v>4</v>
      </c>
    </row>
    <row r="9" spans="1:9" s="2" customFormat="1" ht="20.100000000000001" customHeight="1">
      <c r="A9" s="2" t="s">
        <v>13</v>
      </c>
      <c r="C9" s="23">
        <v>0.15</v>
      </c>
      <c r="D9" s="7" t="s">
        <v>7</v>
      </c>
    </row>
    <row r="10" spans="1:9" s="2" customFormat="1" ht="20.100000000000001" customHeight="1">
      <c r="A10" s="4" t="s">
        <v>14</v>
      </c>
      <c r="C10" s="33"/>
      <c r="D10" s="7"/>
      <c r="F10" s="25" t="s">
        <v>15</v>
      </c>
      <c r="G10" s="25"/>
      <c r="H10" s="22">
        <f>C13*(1-C15)+C14*C15</f>
        <v>0.1135</v>
      </c>
    </row>
    <row r="11" spans="1:9" s="2" customFormat="1" ht="20.100000000000001" customHeight="1">
      <c r="A11" s="2" t="s">
        <v>16</v>
      </c>
      <c r="C11" s="27">
        <v>5</v>
      </c>
      <c r="D11" s="7" t="s">
        <v>17</v>
      </c>
      <c r="E11" s="7"/>
      <c r="F11" s="25" t="s">
        <v>18</v>
      </c>
      <c r="G11" s="25" t="s">
        <v>19</v>
      </c>
      <c r="H11" s="25" t="s">
        <v>20</v>
      </c>
      <c r="I11" s="25" t="s">
        <v>21</v>
      </c>
    </row>
    <row r="12" spans="1:9" s="2" customFormat="1" ht="20.100000000000001" customHeight="1">
      <c r="A12" s="2" t="s">
        <v>22</v>
      </c>
      <c r="C12" s="28">
        <v>0.1</v>
      </c>
      <c r="D12" s="7" t="s">
        <v>23</v>
      </c>
      <c r="E12" s="2" t="s">
        <v>40</v>
      </c>
      <c r="F12" s="25">
        <v>1</v>
      </c>
      <c r="G12" s="29">
        <f>(C4*(1-C5)-C7+C6)*(1+C12)^F12-C8*C12*C9</f>
        <v>156.28536000000005</v>
      </c>
      <c r="H12" s="25"/>
      <c r="I12" s="30">
        <f>(G12+H12)/(1+$H$10)^F12</f>
        <v>140.35506061966777</v>
      </c>
    </row>
    <row r="13" spans="1:9" s="2" customFormat="1" ht="20.100000000000001" customHeight="1">
      <c r="A13" s="2" t="s">
        <v>24</v>
      </c>
      <c r="C13" s="31">
        <f>0.06+1.25*0.055</f>
        <v>0.12875</v>
      </c>
      <c r="D13" s="7" t="s">
        <v>23</v>
      </c>
      <c r="F13" s="25">
        <v>2</v>
      </c>
      <c r="G13" s="30">
        <f>($C$4*(1-$C$5)-$C$7+$C$6)*((1+$C$12)^F13)-($C$8*$C$12*$C$9)*(1+$C$12)^(F13-1)</f>
        <v>171.91389600000011</v>
      </c>
      <c r="H13" s="25"/>
      <c r="I13" s="30">
        <f>(G13+H13)/(1+$H$10)^F13</f>
        <v>138.65340519230767</v>
      </c>
    </row>
    <row r="14" spans="1:9" s="2" customFormat="1" ht="20.100000000000001" customHeight="1">
      <c r="A14" s="2" t="s">
        <v>25</v>
      </c>
      <c r="C14" s="31">
        <v>5.2499999999999998E-2</v>
      </c>
      <c r="D14" s="7" t="s">
        <v>23</v>
      </c>
      <c r="F14" s="25">
        <v>3</v>
      </c>
      <c r="G14" s="30">
        <f>($C$4*(1-$C$5)-$C$7+$C$6)*((1+$C$12)^F14)-($C$8*$C$12*$C$9)*(1+$C$12)^(F14-1)</f>
        <v>189.10528560000014</v>
      </c>
      <c r="H14" s="25"/>
      <c r="I14" s="30">
        <f>(G14+H14)/(1+$H$10)^F14</f>
        <v>136.97238052226177</v>
      </c>
    </row>
    <row r="15" spans="1:9" s="2" customFormat="1" ht="20.100000000000001" customHeight="1">
      <c r="A15" s="2" t="s">
        <v>26</v>
      </c>
      <c r="C15" s="31">
        <v>0.2</v>
      </c>
      <c r="D15" s="7" t="s">
        <v>23</v>
      </c>
      <c r="F15" s="25">
        <v>4</v>
      </c>
      <c r="G15" s="30">
        <f>($C$4*(1-$C$5)-$C$7+$C$6)*((1+$C$12)^F15)-($C$8*$C$12*$C$9)*(1+$C$12)^(F15-1)</f>
        <v>208.0158141600001</v>
      </c>
      <c r="H15" s="25"/>
      <c r="I15" s="30">
        <f>(G15+H15)/(1+$H$10)^F15</f>
        <v>135.31173648359936</v>
      </c>
    </row>
    <row r="16" spans="1:9" s="2" customFormat="1" ht="20.100000000000001" customHeight="1">
      <c r="A16" s="4" t="s">
        <v>27</v>
      </c>
      <c r="C16" s="34"/>
      <c r="D16" s="7"/>
      <c r="F16" s="25">
        <v>5</v>
      </c>
      <c r="G16" s="30">
        <f>($C$4*(1-$C$5)-$C$7+$C$6)*((1+$C$12)^F16)-($C$8*$C$12*$C$9)*(1+$C$12)^(F16-1)</f>
        <v>228.81739557600019</v>
      </c>
      <c r="H16" s="30">
        <f>G17/((C18*(1-C20)+C19*C20)-C17)</f>
        <v>6584.6178060960046</v>
      </c>
      <c r="I16" s="30">
        <f>(G16+H16)/(1+$H$10)^F16</f>
        <v>3980.2928193894359</v>
      </c>
    </row>
    <row r="17" spans="1:9" s="2" customFormat="1" ht="20.100000000000001" customHeight="1">
      <c r="A17" s="2" t="s">
        <v>28</v>
      </c>
      <c r="C17" s="31">
        <v>0.05</v>
      </c>
      <c r="D17" s="7" t="s">
        <v>23</v>
      </c>
      <c r="F17" s="25" t="s">
        <v>29</v>
      </c>
      <c r="G17" s="29">
        <f>C4*(1-C5)*(1+C12)^5*(1+C17)-(C6*(1+C12)^5*(1+C17)*(E22-1))-C8*(1+C12)^5*C17*C9</f>
        <v>329.23089030480025</v>
      </c>
      <c r="H17" s="25"/>
      <c r="I17" s="29">
        <f>SUM(I12:I16)</f>
        <v>4531.5854022072726</v>
      </c>
    </row>
    <row r="18" spans="1:9" s="2" customFormat="1" ht="20.100000000000001" customHeight="1">
      <c r="A18" s="2" t="s">
        <v>30</v>
      </c>
      <c r="C18" s="31">
        <v>0.115</v>
      </c>
      <c r="D18" s="7" t="s">
        <v>23</v>
      </c>
    </row>
    <row r="19" spans="1:9" s="2" customFormat="1" ht="20.100000000000001" customHeight="1">
      <c r="A19" s="2" t="s">
        <v>25</v>
      </c>
      <c r="C19" s="31">
        <v>0.04</v>
      </c>
      <c r="D19" s="7" t="s">
        <v>23</v>
      </c>
    </row>
    <row r="20" spans="1:9" s="2" customFormat="1" ht="20.100000000000001" customHeight="1">
      <c r="A20" s="2" t="s">
        <v>26</v>
      </c>
      <c r="C20" s="31">
        <v>0.2</v>
      </c>
      <c r="D20" s="7" t="s">
        <v>23</v>
      </c>
    </row>
    <row r="21" spans="1:9" s="2" customFormat="1" ht="20.100000000000001" customHeight="1">
      <c r="A21" s="2" t="s">
        <v>32</v>
      </c>
      <c r="C21" s="13"/>
      <c r="D21" s="13"/>
      <c r="E21" s="27" t="s">
        <v>33</v>
      </c>
      <c r="F21" s="2" t="s">
        <v>34</v>
      </c>
    </row>
    <row r="22" spans="1:9" s="2" customFormat="1" ht="20.100000000000001" customHeight="1">
      <c r="A22" s="2" t="s">
        <v>35</v>
      </c>
      <c r="C22" s="13"/>
      <c r="D22" s="13"/>
      <c r="E22" s="32">
        <v>1.1000000000000001</v>
      </c>
      <c r="F22" s="2" t="s">
        <v>23</v>
      </c>
    </row>
    <row r="23" spans="1:9" s="2" customFormat="1" ht="20.100000000000001" customHeight="1">
      <c r="C23" s="13"/>
      <c r="D23" s="10"/>
    </row>
    <row r="24" spans="1:9" s="2" customFormat="1" ht="20.100000000000001" customHeight="1" thickBot="1">
      <c r="A24" s="6" t="s">
        <v>36</v>
      </c>
      <c r="D24" s="7"/>
    </row>
    <row r="25" spans="1:9" s="2" customFormat="1" ht="20.100000000000001" customHeight="1" thickTop="1" thickBot="1">
      <c r="A25" s="3" t="s">
        <v>37</v>
      </c>
      <c r="C25" s="12">
        <f>((C4*(1-C5)-(C7-C6))*(1+C12)-(C8*C12*C9))*(1-(1+C12)^C11/(1+(C13*(1-C15)+C14*C15))^C11)/((C13*(1-C15)+C14*C15)-C12)</f>
        <v>684.96380880073275</v>
      </c>
      <c r="D25" s="7"/>
    </row>
    <row r="26" spans="1:9" s="2" customFormat="1" ht="20.100000000000001" customHeight="1" thickTop="1" thickBot="1">
      <c r="A26" s="3" t="s">
        <v>38</v>
      </c>
      <c r="C26" s="12">
        <f>IF(E21="Yes",(C4*((1+C12)^C11)*(1+C17)*(1-C5)-C8*((1+C12)^C11)*C17*C9)/((C18*(1-C20)+C19*C20)-C17),((C4*(1-C5)-((E22-1)*C6))*((1+C12)^C11)*(1+C17)-C8*((1+C12)^C11)*C17*C9)/((C18*(1-C20)+C19*C20)-C17))/((1+C13*(1-C15)+C14*C15)^C11)</f>
        <v>3846.6215934065344</v>
      </c>
    </row>
    <row r="27" spans="1:9" s="2" customFormat="1" ht="20.100000000000001" customHeight="1" thickTop="1" thickBot="1">
      <c r="A27" s="3" t="s">
        <v>39</v>
      </c>
      <c r="C27" s="12">
        <f>C25+C26</f>
        <v>4531.5854022072672</v>
      </c>
    </row>
    <row r="28" spans="1:9" ht="13.5" thickTop="1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5EBD-0040-46A4-BE0C-BB317B33BB0B}">
  <dimension ref="A1:H28"/>
  <sheetViews>
    <sheetView workbookViewId="0">
      <selection activeCell="A6" sqref="A6"/>
    </sheetView>
  </sheetViews>
  <sheetFormatPr defaultRowHeight="12.75"/>
  <cols>
    <col min="1" max="1" width="24.85546875" bestFit="1" customWidth="1"/>
    <col min="2" max="256" width="11.42578125" customWidth="1"/>
  </cols>
  <sheetData>
    <row r="1" spans="1:8" ht="20.100000000000001" customHeight="1">
      <c r="C1" s="1" t="s">
        <v>0</v>
      </c>
    </row>
    <row r="2" spans="1:8" s="2" customFormat="1" ht="20.100000000000001" customHeight="1">
      <c r="A2" s="6" t="s">
        <v>1</v>
      </c>
    </row>
    <row r="3" spans="1:8" s="2" customFormat="1" ht="20.100000000000001" customHeight="1">
      <c r="A3" s="4" t="s">
        <v>2</v>
      </c>
      <c r="E3" s="2">
        <f>B4*(1-B5)</f>
        <v>1911.68</v>
      </c>
    </row>
    <row r="4" spans="1:8" s="2" customFormat="1" ht="20.100000000000001" customHeight="1">
      <c r="A4" s="2" t="s">
        <v>3</v>
      </c>
      <c r="B4" s="21">
        <v>2987</v>
      </c>
      <c r="C4" s="7" t="s">
        <v>4</v>
      </c>
      <c r="D4" s="2" t="s">
        <v>5</v>
      </c>
      <c r="E4" s="16">
        <f>B4*(1-B5)/14631</f>
        <v>0.1306595584717381</v>
      </c>
    </row>
    <row r="5" spans="1:8" s="2" customFormat="1" ht="20.100000000000001" customHeight="1">
      <c r="A5" s="2" t="s">
        <v>6</v>
      </c>
      <c r="B5" s="23">
        <v>0.36</v>
      </c>
      <c r="C5" s="7" t="s">
        <v>7</v>
      </c>
      <c r="D5" s="2" t="s">
        <v>8</v>
      </c>
      <c r="E5" s="17">
        <v>0.5</v>
      </c>
    </row>
    <row r="6" spans="1:8" s="2" customFormat="1" ht="20.100000000000001" customHeight="1">
      <c r="A6" s="2" t="s">
        <v>9</v>
      </c>
      <c r="B6" s="21">
        <v>545</v>
      </c>
      <c r="C6" s="7" t="s">
        <v>4</v>
      </c>
      <c r="D6" s="2" t="s">
        <v>41</v>
      </c>
      <c r="E6" s="16">
        <f>B4/B8</f>
        <v>0.11721079893266363</v>
      </c>
    </row>
    <row r="7" spans="1:8" s="2" customFormat="1" ht="20.100000000000001" customHeight="1">
      <c r="A7" s="2" t="s">
        <v>11</v>
      </c>
      <c r="B7" s="21">
        <v>729</v>
      </c>
      <c r="C7" s="7" t="s">
        <v>4</v>
      </c>
    </row>
    <row r="8" spans="1:8" s="2" customFormat="1" ht="20.100000000000001" customHeight="1">
      <c r="A8" s="2" t="s">
        <v>12</v>
      </c>
      <c r="B8" s="21">
        <v>25484</v>
      </c>
      <c r="C8" s="7" t="s">
        <v>4</v>
      </c>
    </row>
    <row r="9" spans="1:8" s="2" customFormat="1" ht="20.100000000000001" customHeight="1">
      <c r="A9" s="2" t="s">
        <v>13</v>
      </c>
      <c r="B9" s="23">
        <v>0.15</v>
      </c>
      <c r="C9" s="7" t="s">
        <v>7</v>
      </c>
    </row>
    <row r="10" spans="1:8" s="2" customFormat="1" ht="20.100000000000001" customHeight="1">
      <c r="A10" s="4" t="s">
        <v>14</v>
      </c>
      <c r="B10" s="5"/>
      <c r="C10" s="7"/>
      <c r="E10" s="2" t="s">
        <v>15</v>
      </c>
      <c r="G10" s="35">
        <f>B13*(1-B15)+B14*B15</f>
        <v>0.12087500000000001</v>
      </c>
    </row>
    <row r="11" spans="1:8" s="2" customFormat="1" ht="20.100000000000001" customHeight="1">
      <c r="A11" s="2" t="s">
        <v>16</v>
      </c>
      <c r="B11" s="27">
        <v>5</v>
      </c>
      <c r="C11" s="7" t="s">
        <v>17</v>
      </c>
      <c r="D11" s="7"/>
      <c r="E11" s="2" t="s">
        <v>18</v>
      </c>
      <c r="F11" s="2" t="s">
        <v>19</v>
      </c>
      <c r="G11" s="2" t="s">
        <v>20</v>
      </c>
      <c r="H11" s="2" t="s">
        <v>21</v>
      </c>
    </row>
    <row r="12" spans="1:8" s="2" customFormat="1" ht="20.100000000000001" customHeight="1">
      <c r="A12" s="2" t="s">
        <v>22</v>
      </c>
      <c r="B12" s="28">
        <v>0.1</v>
      </c>
      <c r="C12" s="7" t="s">
        <v>23</v>
      </c>
      <c r="E12" s="2">
        <v>1</v>
      </c>
      <c r="F12" s="19">
        <f>(B4*(1-B5)-B7+B6)*(1+B12)^E12-B8*B12*B9</f>
        <v>1518.1880000000003</v>
      </c>
      <c r="H12" s="20">
        <f>(F12+G12)/(1+$G$10)^E12</f>
        <v>1354.4668227946918</v>
      </c>
    </row>
    <row r="13" spans="1:8" s="2" customFormat="1" ht="20.100000000000001" customHeight="1">
      <c r="A13" s="2" t="s">
        <v>24</v>
      </c>
      <c r="B13" s="31">
        <f>0.06+1.25*0.055</f>
        <v>0.12875</v>
      </c>
      <c r="C13" s="7" t="s">
        <v>23</v>
      </c>
      <c r="D13" s="2" t="s">
        <v>42</v>
      </c>
      <c r="E13" s="2">
        <v>2</v>
      </c>
      <c r="F13" s="20">
        <f>($B$4*(1-$B$5)-$B$7+$B$6)*((1+$B$12)^E13)-($B$8*$B$12*$B$9)*(1+$B$12)^(E13-1)</f>
        <v>1670.0068000000003</v>
      </c>
      <c r="H13" s="20">
        <f>(F13+G13)/(1+$G$10)^E13</f>
        <v>1329.2414453655947</v>
      </c>
    </row>
    <row r="14" spans="1:8" s="2" customFormat="1" ht="20.100000000000001" customHeight="1">
      <c r="A14" s="2" t="s">
        <v>25</v>
      </c>
      <c r="B14" s="31">
        <v>0.05</v>
      </c>
      <c r="C14" s="7" t="s">
        <v>23</v>
      </c>
      <c r="E14" s="2">
        <v>3</v>
      </c>
      <c r="F14" s="20">
        <f>($B$4*(1-$B$5)-$B$7+$B$6)*((1+$B$12)^E14)-($B$8*$B$12*$B$9)*(1+$B$12)^(E14-1)</f>
        <v>1837.0074800000007</v>
      </c>
      <c r="H14" s="20">
        <f>(F14+G14)/(1+$G$10)^E14</f>
        <v>1304.4858614048437</v>
      </c>
    </row>
    <row r="15" spans="1:8" s="2" customFormat="1" ht="20.100000000000001" customHeight="1">
      <c r="A15" s="2" t="s">
        <v>26</v>
      </c>
      <c r="B15" s="31">
        <v>0.1</v>
      </c>
      <c r="C15" s="7" t="s">
        <v>23</v>
      </c>
      <c r="D15" s="2">
        <f>1.25/(1+0.64*(1/9))</f>
        <v>1.1670124481327802</v>
      </c>
      <c r="E15" s="2">
        <v>4</v>
      </c>
      <c r="F15" s="20">
        <f>($B$4*(1-$B$5)-$B$7+$B$6)*((1+$B$12)^E15)-($B$8*$B$12*$B$9)*(1+$B$12)^(E15-1)</f>
        <v>2020.7082280000006</v>
      </c>
      <c r="H15" s="20">
        <f>(F15+G15)/(1+$G$10)^E15</f>
        <v>1280.1913215526513</v>
      </c>
    </row>
    <row r="16" spans="1:8" s="2" customFormat="1" ht="20.100000000000001" customHeight="1">
      <c r="A16" s="4" t="s">
        <v>27</v>
      </c>
      <c r="B16" s="10"/>
      <c r="C16" s="7"/>
      <c r="D16" s="2">
        <f>1.15/(1+0.64*(1/9))</f>
        <v>1.0736514522821576</v>
      </c>
      <c r="E16" s="2">
        <v>5</v>
      </c>
      <c r="F16" s="20">
        <f>($B$4*(1-$B$5)-$B$7+$B$6)*((1+$B$12)^E16)-($B$8*$B$12*$B$9)*(1+$B$12)^(E16-1)</f>
        <v>2222.7790508000012</v>
      </c>
      <c r="G16" s="20">
        <f>F17/((B18*(1-B20)+B19*B20)-B17)</f>
        <v>56654.81067180002</v>
      </c>
      <c r="H16" s="20">
        <f>(F16+G16)/(1+$G$10)^E16</f>
        <v>33278.528083495963</v>
      </c>
    </row>
    <row r="17" spans="1:8" s="2" customFormat="1" ht="20.100000000000001" customHeight="1">
      <c r="A17" s="2" t="s">
        <v>28</v>
      </c>
      <c r="B17" s="31">
        <v>0.05</v>
      </c>
      <c r="C17" s="7" t="s">
        <v>23</v>
      </c>
      <c r="D17" s="2">
        <f>D15*(38.6/43.2)+D16*(4.6/43.2)</f>
        <v>1.1570712309820192</v>
      </c>
      <c r="E17" s="2" t="s">
        <v>29</v>
      </c>
      <c r="F17" s="19">
        <f>B4*(1-B5)*(1+B12)^5*(1+B17)-(B6*(1+B12)^5*(1+B17)*(D22-1))-B8*(1+B12)^5*B17*B9</f>
        <v>2832.7405335900012</v>
      </c>
      <c r="H17" s="19">
        <f>SUM(H12:H16)</f>
        <v>38546.913534613748</v>
      </c>
    </row>
    <row r="18" spans="1:8" s="2" customFormat="1" ht="20.100000000000001" customHeight="1">
      <c r="A18" s="2" t="s">
        <v>30</v>
      </c>
      <c r="B18" s="31">
        <v>0.115</v>
      </c>
      <c r="C18" s="7" t="s">
        <v>23</v>
      </c>
    </row>
    <row r="19" spans="1:8" s="2" customFormat="1" ht="20.100000000000001" customHeight="1">
      <c r="A19" s="2" t="s">
        <v>25</v>
      </c>
      <c r="B19" s="31">
        <v>0.04</v>
      </c>
      <c r="C19" s="7" t="s">
        <v>23</v>
      </c>
    </row>
    <row r="20" spans="1:8" s="2" customFormat="1" ht="20.100000000000001" customHeight="1">
      <c r="A20" s="2" t="s">
        <v>26</v>
      </c>
      <c r="B20" s="31">
        <v>0.2</v>
      </c>
      <c r="C20" s="7" t="s">
        <v>23</v>
      </c>
    </row>
    <row r="21" spans="1:8" s="2" customFormat="1" ht="20.100000000000001" customHeight="1">
      <c r="A21" s="2" t="s">
        <v>32</v>
      </c>
      <c r="C21" s="13"/>
      <c r="D21" s="27" t="s">
        <v>33</v>
      </c>
      <c r="E21" s="2" t="s">
        <v>34</v>
      </c>
    </row>
    <row r="22" spans="1:8" s="2" customFormat="1" ht="20.100000000000001" customHeight="1">
      <c r="A22" s="2" t="s">
        <v>35</v>
      </c>
      <c r="C22" s="13"/>
      <c r="D22" s="32">
        <v>1.1000000000000001</v>
      </c>
      <c r="E22" s="2" t="s">
        <v>23</v>
      </c>
    </row>
    <row r="23" spans="1:8" s="2" customFormat="1" ht="20.100000000000001" customHeight="1">
      <c r="C23" s="13"/>
      <c r="D23" s="10"/>
    </row>
    <row r="24" spans="1:8" s="2" customFormat="1" ht="20.100000000000001" customHeight="1" thickBot="1">
      <c r="A24" s="6" t="s">
        <v>36</v>
      </c>
      <c r="D24" s="7"/>
    </row>
    <row r="25" spans="1:8" s="2" customFormat="1" ht="20.100000000000001" customHeight="1" thickTop="1" thickBot="1">
      <c r="A25" s="3" t="s">
        <v>37</v>
      </c>
      <c r="C25" s="12">
        <f>((B4*(1-B5)-(B7-B6))*(1+B12)-(B8*B12*B9))*(1-(1+B12)^B11/(1+(B13*(1-B15)+B14*B15))^B11)/((B13*(1-B15)+B14*B15)-B12)</f>
        <v>6524.7346905137165</v>
      </c>
      <c r="D25" s="7"/>
    </row>
    <row r="26" spans="1:8" s="2" customFormat="1" ht="20.100000000000001" customHeight="1" thickTop="1" thickBot="1">
      <c r="A26" s="3" t="s">
        <v>38</v>
      </c>
      <c r="C26" s="12">
        <f>IF(D21="Yes",(B4*((1+B12)^B11)*(1+B17)*(1-B5)-B8*((1+B12)^B11)*B17*B9)/((B18*(1-B20)+B19*B20)-B17),((B4*(1-B5)-((D22-1)*B6))*((1+B12)^B11)*(1+B17)-B8*((1+B12)^B11)*B17*B9)/((B18*(1-B20)+B19*B20)-B17))/((1+B13*(1-B15)+B14*B15)^B11)</f>
        <v>32022.178844100072</v>
      </c>
    </row>
    <row r="27" spans="1:8" s="2" customFormat="1" ht="20.100000000000001" customHeight="1" thickTop="1" thickBot="1">
      <c r="A27" s="3" t="s">
        <v>39</v>
      </c>
      <c r="C27" s="12">
        <f>C25+C26</f>
        <v>38546.913534613792</v>
      </c>
    </row>
    <row r="28" spans="1:8" ht="13.5" thickTop="1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351-4009-4F43-A519-34331B07029A}">
  <dimension ref="B1:K39"/>
  <sheetViews>
    <sheetView topLeftCell="A2" workbookViewId="0">
      <selection activeCell="B22" sqref="B22"/>
    </sheetView>
  </sheetViews>
  <sheetFormatPr defaultRowHeight="12.75"/>
  <cols>
    <col min="1" max="1" width="4.7109375" customWidth="1"/>
    <col min="2" max="6" width="13.28515625" customWidth="1"/>
    <col min="7" max="256" width="11.42578125" customWidth="1"/>
  </cols>
  <sheetData>
    <row r="1" spans="2:11" ht="20.100000000000001" customHeight="1">
      <c r="D1" s="1" t="s">
        <v>0</v>
      </c>
    </row>
    <row r="2" spans="2:11" s="2" customFormat="1" ht="20.100000000000001" customHeight="1">
      <c r="B2" s="6" t="s">
        <v>1</v>
      </c>
    </row>
    <row r="3" spans="2:11" s="2" customFormat="1" ht="20.100000000000001" customHeight="1">
      <c r="B3" s="4" t="s">
        <v>2</v>
      </c>
    </row>
    <row r="4" spans="2:11" s="2" customFormat="1" ht="20.100000000000001" customHeight="1">
      <c r="B4" s="2" t="s">
        <v>3</v>
      </c>
      <c r="D4" s="8">
        <v>3609</v>
      </c>
      <c r="E4" s="7" t="s">
        <v>4</v>
      </c>
      <c r="F4" s="2" t="s">
        <v>5</v>
      </c>
      <c r="G4" s="16">
        <f>D4*(1-D5)/14631</f>
        <v>0.15786754152142712</v>
      </c>
      <c r="H4" s="16">
        <f>(2987+522)/D8</f>
        <v>9.1071892032182716E-2</v>
      </c>
    </row>
    <row r="5" spans="2:11" s="2" customFormat="1" ht="20.100000000000001" customHeight="1">
      <c r="B5" s="2" t="s">
        <v>6</v>
      </c>
      <c r="D5" s="14">
        <v>0.36</v>
      </c>
      <c r="E5" s="7" t="s">
        <v>7</v>
      </c>
      <c r="F5" s="2" t="s">
        <v>8</v>
      </c>
      <c r="G5" s="17">
        <v>0.5</v>
      </c>
      <c r="H5" s="2">
        <f>2987+522</f>
        <v>3509</v>
      </c>
    </row>
    <row r="6" spans="2:11" s="2" customFormat="1" ht="20.100000000000001" customHeight="1">
      <c r="B6" s="2" t="s">
        <v>9</v>
      </c>
      <c r="D6" s="8">
        <f>545+461</f>
        <v>1006</v>
      </c>
      <c r="E6" s="7" t="s">
        <v>4</v>
      </c>
      <c r="F6" s="2" t="s">
        <v>41</v>
      </c>
      <c r="G6" s="16">
        <f>D4/D8</f>
        <v>9.3667272255385417E-2</v>
      </c>
      <c r="K6" s="2">
        <f>30*146.789</f>
        <v>4403.67</v>
      </c>
    </row>
    <row r="7" spans="2:11" s="2" customFormat="1" ht="20.100000000000001" customHeight="1">
      <c r="B7" s="2" t="s">
        <v>11</v>
      </c>
      <c r="D7" s="8">
        <f>729+475</f>
        <v>1204</v>
      </c>
      <c r="E7" s="7" t="s">
        <v>4</v>
      </c>
    </row>
    <row r="8" spans="2:11" s="2" customFormat="1" ht="20.100000000000001" customHeight="1">
      <c r="B8" s="2" t="s">
        <v>12</v>
      </c>
      <c r="D8" s="8">
        <f>25484+13046</f>
        <v>38530</v>
      </c>
      <c r="E8" s="7" t="s">
        <v>4</v>
      </c>
    </row>
    <row r="9" spans="2:11" s="2" customFormat="1" ht="20.100000000000001" customHeight="1">
      <c r="B9" s="2" t="s">
        <v>13</v>
      </c>
      <c r="D9" s="14">
        <v>0.15</v>
      </c>
      <c r="E9" s="7" t="s">
        <v>7</v>
      </c>
      <c r="K9" s="2">
        <f>12/88</f>
        <v>0.13636363636363635</v>
      </c>
    </row>
    <row r="10" spans="2:11" s="2" customFormat="1" ht="20.100000000000001" customHeight="1">
      <c r="B10" s="4" t="s">
        <v>14</v>
      </c>
      <c r="D10" s="5"/>
      <c r="E10" s="7"/>
      <c r="G10" s="2" t="s">
        <v>15</v>
      </c>
      <c r="I10" s="16">
        <f>D13*(1-D15)+D14*D15</f>
        <v>0.119784</v>
      </c>
      <c r="K10" s="2">
        <f>554/146.789</f>
        <v>3.7741247641172024</v>
      </c>
    </row>
    <row r="11" spans="2:11" s="2" customFormat="1" ht="20.100000000000001" customHeight="1">
      <c r="B11" s="2" t="s">
        <v>16</v>
      </c>
      <c r="D11" s="9">
        <v>5</v>
      </c>
      <c r="E11" s="7" t="s">
        <v>17</v>
      </c>
      <c r="F11" s="7"/>
      <c r="G11" s="2" t="s">
        <v>18</v>
      </c>
      <c r="H11" s="2" t="s">
        <v>19</v>
      </c>
      <c r="I11" s="2" t="s">
        <v>20</v>
      </c>
      <c r="J11" s="2" t="s">
        <v>21</v>
      </c>
      <c r="K11" s="2">
        <f>K10/27</f>
        <v>0.1397823986710075</v>
      </c>
    </row>
    <row r="12" spans="2:11" s="2" customFormat="1" ht="20.100000000000001" customHeight="1">
      <c r="B12" s="2" t="s">
        <v>22</v>
      </c>
      <c r="D12" s="18">
        <v>0.105</v>
      </c>
      <c r="E12" s="7" t="s">
        <v>23</v>
      </c>
      <c r="F12"/>
      <c r="G12" s="2">
        <v>1</v>
      </c>
      <c r="H12" s="19">
        <f>(D4*(1-D5)-D7+D6)*(1+D12)^G12-D8*D12*D9</f>
        <v>1726.6473000000005</v>
      </c>
      <c r="J12" s="20">
        <f>(H12+I12)/(1+$I$10)^G12</f>
        <v>1541.9467504447289</v>
      </c>
    </row>
    <row r="13" spans="2:11" s="2" customFormat="1" ht="20.100000000000001" customHeight="1">
      <c r="B13" s="2" t="s">
        <v>24</v>
      </c>
      <c r="D13" s="11">
        <f>0.06+1.26*0.055</f>
        <v>0.1293</v>
      </c>
      <c r="E13" s="7" t="s">
        <v>23</v>
      </c>
      <c r="F13"/>
      <c r="G13" s="2">
        <v>2</v>
      </c>
      <c r="H13" s="20">
        <f>($D$4*(1-$D$5)-$D$7+$D$6)*((1+$D$12)^G13)-($D$8*$D$12*$D$9)*(1+$D$12)^(G13-1)</f>
        <v>1907.9452665000001</v>
      </c>
      <c r="J13" s="20">
        <f>(H13+I13)/(1+$I$10)^G13</f>
        <v>1521.5891272258086</v>
      </c>
    </row>
    <row r="14" spans="2:11" s="2" customFormat="1" ht="20.100000000000001" customHeight="1">
      <c r="B14" s="2" t="s">
        <v>25</v>
      </c>
      <c r="D14" s="11">
        <v>0.05</v>
      </c>
      <c r="E14" s="7" t="s">
        <v>23</v>
      </c>
      <c r="G14" s="2">
        <v>3</v>
      </c>
      <c r="H14" s="20">
        <f>($D$4*(1-$D$5)-$D$7+$D$6)*((1+$D$12)^G14)-($D$8*$D$12*$D$9)*(1+$D$12)^(G14-1)</f>
        <v>2108.2795194825003</v>
      </c>
      <c r="J14" s="20">
        <f>(H14+I14)/(1+$I$10)^G14</f>
        <v>1501.5002764680673</v>
      </c>
    </row>
    <row r="15" spans="2:11" s="2" customFormat="1" ht="20.100000000000001" customHeight="1">
      <c r="B15" s="2" t="s">
        <v>26</v>
      </c>
      <c r="D15" s="11">
        <v>0.12</v>
      </c>
      <c r="E15" s="7" t="s">
        <v>23</v>
      </c>
      <c r="F15" s="2">
        <f>1.16*(1+0.64*K9)</f>
        <v>1.2612363636363635</v>
      </c>
      <c r="G15" s="2">
        <v>4</v>
      </c>
      <c r="H15" s="20">
        <f>($D$4*(1-$D$5)-$D$7+$D$6)*((1+$D$12)^G15)-($D$8*$D$12*$D$9)*(1+$D$12)^(G15-1)</f>
        <v>2329.6488690281631</v>
      </c>
      <c r="J15" s="20">
        <f>(H15+I15)/(1+$I$10)^G15</f>
        <v>1481.6766496906675</v>
      </c>
    </row>
    <row r="16" spans="2:11" s="2" customFormat="1" ht="20.100000000000001" customHeight="1">
      <c r="B16" s="4" t="s">
        <v>27</v>
      </c>
      <c r="D16" s="10"/>
      <c r="E16" s="7"/>
      <c r="G16" s="2">
        <v>5</v>
      </c>
      <c r="H16" s="20">
        <f>($D$4*(1-$D$5)-$D$7+$D$6)*((1+$D$12)^G16)-($D$8*$D$12*$D$9)*(1+$D$12)^(G16-1)</f>
        <v>2574.26200027612</v>
      </c>
      <c r="I16" s="20">
        <f>H17/((D18*(1-D20)+D19*D20)-D17)</f>
        <v>66907.524862599385</v>
      </c>
      <c r="J16" s="20">
        <f>(H16+I16)/(1+$I$10)^G16</f>
        <v>39463.871621632883</v>
      </c>
    </row>
    <row r="17" spans="2:10" s="2" customFormat="1" ht="20.100000000000001" customHeight="1">
      <c r="B17" s="2" t="s">
        <v>28</v>
      </c>
      <c r="D17" s="11">
        <v>0.05</v>
      </c>
      <c r="E17" s="7" t="s">
        <v>23</v>
      </c>
      <c r="G17" s="2" t="s">
        <v>29</v>
      </c>
      <c r="H17" s="19">
        <f>D4*(1-D5)*(1+D12)^5*(1+D17)-(D6*(1+D12)^5*(1+D17)*(E22-1))-D8*(1+D12)^5*D17*D9</f>
        <v>3345.3762431299692</v>
      </c>
      <c r="J17" s="19">
        <f>SUM(J12:J16)</f>
        <v>45510.584425462155</v>
      </c>
    </row>
    <row r="18" spans="2:10" s="2" customFormat="1" ht="20.100000000000001" customHeight="1">
      <c r="B18" s="2" t="s">
        <v>30</v>
      </c>
      <c r="D18" s="11">
        <v>0.115</v>
      </c>
      <c r="E18" s="7" t="s">
        <v>23</v>
      </c>
    </row>
    <row r="19" spans="2:10" s="2" customFormat="1" ht="20.100000000000001" customHeight="1">
      <c r="B19" s="2" t="s">
        <v>25</v>
      </c>
      <c r="D19" s="11">
        <v>0.04</v>
      </c>
      <c r="E19" s="7" t="s">
        <v>23</v>
      </c>
    </row>
    <row r="20" spans="2:10" s="2" customFormat="1" ht="20.100000000000001" customHeight="1">
      <c r="B20" s="2" t="s">
        <v>26</v>
      </c>
      <c r="D20" s="11">
        <v>0.2</v>
      </c>
      <c r="E20" s="7" t="s">
        <v>23</v>
      </c>
    </row>
    <row r="21" spans="2:10" s="2" customFormat="1" ht="20.100000000000001" customHeight="1">
      <c r="B21" s="2" t="s">
        <v>32</v>
      </c>
      <c r="D21" s="13"/>
      <c r="E21" s="9" t="s">
        <v>33</v>
      </c>
      <c r="F21" s="2" t="s">
        <v>34</v>
      </c>
    </row>
    <row r="22" spans="2:10" s="2" customFormat="1" ht="20.100000000000001" customHeight="1">
      <c r="B22" s="2" t="s">
        <v>35</v>
      </c>
      <c r="D22" s="13"/>
      <c r="E22" s="15">
        <v>1.1000000000000001</v>
      </c>
      <c r="F22" s="2" t="s">
        <v>23</v>
      </c>
      <c r="I22" s="2">
        <f xml:space="preserve"> (6693 - 1006)/146.789</f>
        <v>38.742685078582184</v>
      </c>
    </row>
    <row r="23" spans="2:10" s="2" customFormat="1" ht="20.100000000000001" customHeight="1">
      <c r="D23" s="13"/>
      <c r="E23" s="10"/>
    </row>
    <row r="24" spans="2:10" s="2" customFormat="1" ht="20.100000000000001" customHeight="1" thickBot="1">
      <c r="B24" s="6" t="s">
        <v>36</v>
      </c>
      <c r="E24" s="7"/>
    </row>
    <row r="25" spans="2:10" s="2" customFormat="1" ht="20.100000000000001" customHeight="1" thickTop="1" thickBot="1">
      <c r="B25" s="3" t="s">
        <v>37</v>
      </c>
      <c r="D25" s="12">
        <f>((D4*(1-D5)-(D7-D6))*(1+D12)-(D8*D12*D9))*(1-(1+D12)^D11/(1+(D13*(1-D15)+D14*D15))^D11)/((D13*(1-D15)+D14*D15)-D12)</f>
        <v>7508.8275490910946</v>
      </c>
      <c r="E25" s="7"/>
    </row>
    <row r="26" spans="2:10" s="2" customFormat="1" ht="20.100000000000001" customHeight="1" thickTop="1" thickBot="1">
      <c r="B26" s="3" t="s">
        <v>38</v>
      </c>
      <c r="D26" s="12">
        <f>IF(E21="Yes",(D4*((1+D12)^D11)*(1+D17)*(1-D5)-D8*((1+D12)^D11)*D17*D9)/((D18*(1-D20)+D19*D20)-D17),((D4*(1-D5)-((E22-1)*D6))*((1+D12)^D11)*(1+D17)-D8*((1+D12)^D11)*D17*D9)/((D18*(1-D20)+D19*D20)-D17))/((1+D13*(1-D15)+D14*D15)^D11)</f>
        <v>38001.756876371175</v>
      </c>
    </row>
    <row r="27" spans="2:10" s="2" customFormat="1" ht="20.100000000000001" customHeight="1" thickTop="1" thickBot="1">
      <c r="B27" s="3" t="s">
        <v>39</v>
      </c>
      <c r="D27" s="12">
        <f>D25+D26</f>
        <v>45510.584425462272</v>
      </c>
    </row>
    <row r="28" spans="2:10" s="2" customFormat="1" ht="20.100000000000001" customHeight="1" thickTop="1"/>
    <row r="29" spans="2:10" s="2" customFormat="1" ht="20.100000000000001" customHeight="1"/>
    <row r="30" spans="2:10" s="2" customFormat="1" ht="20.100000000000001" customHeight="1"/>
    <row r="31" spans="2:10" s="2" customFormat="1" ht="20.100000000000001" customHeight="1"/>
    <row r="32" spans="2:10" s="2" customFormat="1" ht="20.100000000000001" customHeight="1"/>
    <row r="33" s="2" customFormat="1" ht="20.100000000000001" customHeight="1"/>
    <row r="34" s="2" customFormat="1" ht="20.100000000000001" customHeight="1"/>
    <row r="35" s="2" customFormat="1" ht="20.100000000000001" customHeight="1"/>
    <row r="36" s="2" customFormat="1" ht="20.100000000000001" customHeight="1"/>
    <row r="37" s="2" customFormat="1" ht="20.100000000000001" customHeight="1"/>
    <row r="38" s="2" customFormat="1" ht="20.100000000000001" customHeight="1"/>
    <row r="39" s="2" customFormat="1" ht="20.100000000000001" customHeight="1"/>
  </sheetData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E85E-CDBB-4ED4-A62E-7DA19574DF6F}">
  <dimension ref="A1:B5"/>
  <sheetViews>
    <sheetView workbookViewId="0">
      <selection activeCell="B23" sqref="B23"/>
    </sheetView>
  </sheetViews>
  <sheetFormatPr defaultRowHeight="12.75"/>
  <cols>
    <col min="1" max="1" width="30.140625" bestFit="1" customWidth="1"/>
    <col min="2" max="2" width="10.85546875" bestFit="1" customWidth="1"/>
    <col min="3" max="256" width="11.42578125" customWidth="1"/>
  </cols>
  <sheetData>
    <row r="1" spans="1:2" s="38" customFormat="1">
      <c r="A1" s="38" t="s">
        <v>43</v>
      </c>
    </row>
    <row r="2" spans="1:2" s="36" customFormat="1">
      <c r="A2" s="36" t="s">
        <v>44</v>
      </c>
      <c r="B2" s="37">
        <f>'Combined w.synergy ip25.3'!D27</f>
        <v>45510.584425462272</v>
      </c>
    </row>
    <row r="3" spans="1:2" s="36" customFormat="1">
      <c r="A3" s="36" t="s">
        <v>45</v>
      </c>
      <c r="B3" s="37">
        <f>'Compaq Alone ip 25.3'!C27</f>
        <v>38546.913534613792</v>
      </c>
    </row>
    <row r="4" spans="1:2" s="36" customFormat="1" ht="13.5" thickBot="1">
      <c r="A4" s="36" t="s">
        <v>46</v>
      </c>
      <c r="B4" s="37">
        <f>'Digital Opt Mg ip25.2'!C27</f>
        <v>4531.5854022072672</v>
      </c>
    </row>
    <row r="5" spans="1:2" s="36" customFormat="1" ht="13.5" thickBot="1">
      <c r="A5" s="36" t="s">
        <v>47</v>
      </c>
      <c r="B5" s="39">
        <f>B2-B3-B4</f>
        <v>2432.0854886412126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C507-9C8B-4302-B4C9-A02D9492DCD0}">
  <dimension ref="A1:C11"/>
  <sheetViews>
    <sheetView tabSelected="1" workbookViewId="0">
      <selection activeCell="A24" sqref="A24"/>
    </sheetView>
  </sheetViews>
  <sheetFormatPr defaultRowHeight="12.75"/>
  <cols>
    <col min="1" max="1" width="22.28515625" bestFit="1" customWidth="1"/>
    <col min="2" max="2" width="11.42578125" customWidth="1"/>
    <col min="3" max="3" width="10.85546875" bestFit="1" customWidth="1"/>
    <col min="4" max="256" width="11.42578125" customWidth="1"/>
  </cols>
  <sheetData>
    <row r="1" spans="1:3">
      <c r="B1" t="s">
        <v>48</v>
      </c>
      <c r="C1" t="s">
        <v>49</v>
      </c>
    </row>
    <row r="2" spans="1:3">
      <c r="A2" t="s">
        <v>50</v>
      </c>
      <c r="B2" s="43">
        <f>'Digital Status Quo IP 25.1'!C27</f>
        <v>2110.411434257147</v>
      </c>
      <c r="C2" s="42"/>
    </row>
    <row r="3" spans="1:3">
      <c r="A3" t="s">
        <v>51</v>
      </c>
      <c r="B3" s="43">
        <f>'Digital Opt Mg ip25.2'!C27-'Digital Status Quo IP 25.1'!C27</f>
        <v>2421.1739679501202</v>
      </c>
      <c r="C3" s="42"/>
    </row>
    <row r="4" spans="1:3">
      <c r="A4" t="s">
        <v>52</v>
      </c>
      <c r="B4" s="43">
        <f>'Value of Synergy ip25.3'!B5</f>
        <v>2432.0854886412126</v>
      </c>
      <c r="C4" s="42"/>
    </row>
    <row r="5" spans="1:3">
      <c r="A5" t="s">
        <v>53</v>
      </c>
      <c r="B5" s="43">
        <f>SUM(B2:B4)</f>
        <v>6963.6708908484798</v>
      </c>
      <c r="C5" s="43">
        <f>'Compaq Alone ip 25.3'!C27</f>
        <v>38546.913534613792</v>
      </c>
    </row>
    <row r="6" spans="1:3">
      <c r="A6" t="s">
        <v>54</v>
      </c>
      <c r="B6" s="40">
        <v>1006</v>
      </c>
      <c r="C6" s="41">
        <v>3200</v>
      </c>
    </row>
    <row r="7" spans="1:3">
      <c r="A7" t="s">
        <v>55</v>
      </c>
      <c r="B7" s="43">
        <f>B5-B6</f>
        <v>5957.6708908484798</v>
      </c>
      <c r="C7" s="43">
        <f>C5-C6</f>
        <v>35346.913534613792</v>
      </c>
    </row>
    <row r="8" spans="1:3">
      <c r="A8" t="s">
        <v>56</v>
      </c>
      <c r="B8" s="41">
        <v>146.78899999999999</v>
      </c>
      <c r="C8" s="41">
        <v>1305.76</v>
      </c>
    </row>
    <row r="9" spans="1:3">
      <c r="A9" t="s">
        <v>57</v>
      </c>
      <c r="B9" s="43">
        <f>B7/B8</f>
        <v>40.586630407240868</v>
      </c>
      <c r="C9" s="43">
        <f>C7/C8</f>
        <v>27.069992597884596</v>
      </c>
    </row>
    <row r="10" spans="1:3" ht="13.5" thickBot="1"/>
    <row r="11" spans="1:3" ht="13.5" thickBot="1">
      <c r="A11" t="s">
        <v>58</v>
      </c>
      <c r="B11" s="44">
        <f>B9/C9</f>
        <v>1.4993218140152924</v>
      </c>
      <c r="C11" t="s">
        <v>59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X</cp:lastModifiedBy>
  <cp:revision/>
  <dcterms:created xsi:type="dcterms:W3CDTF">1998-04-03T22:47:32Z</dcterms:created>
  <dcterms:modified xsi:type="dcterms:W3CDTF">2025-04-25T01:00:19Z</dcterms:modified>
  <cp:category/>
  <cp:contentStatus/>
</cp:coreProperties>
</file>