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wchae23\Desktop\"/>
    </mc:Choice>
  </mc:AlternateContent>
  <xr:revisionPtr revIDLastSave="0" documentId="13_ncr:1_{EF1E968E-5C21-4ABF-978E-9F0EDC1F557A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A&amp;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2" i="1" l="1"/>
  <c r="O87" i="1" l="1"/>
  <c r="O71" i="1" l="1"/>
  <c r="O72" i="1"/>
  <c r="M63" i="1"/>
  <c r="M64" i="1"/>
  <c r="M65" i="1" s="1"/>
  <c r="M66" i="1" s="1"/>
  <c r="M67" i="1" s="1"/>
  <c r="M68" i="1" s="1"/>
  <c r="M69" i="1" s="1"/>
  <c r="O55" i="1"/>
  <c r="O56" i="1"/>
  <c r="R90" i="1"/>
  <c r="R89" i="1"/>
  <c r="R88" i="1"/>
  <c r="R87" i="1"/>
  <c r="Q78" i="1"/>
  <c r="R78" i="1" s="1"/>
  <c r="S78" i="1" s="1"/>
  <c r="T78" i="1" s="1"/>
  <c r="R105" i="1"/>
  <c r="R104" i="1"/>
  <c r="R103" i="1"/>
  <c r="R102" i="1"/>
  <c r="N93" i="1"/>
  <c r="O93" i="1" s="1"/>
  <c r="P93" i="1" s="1"/>
  <c r="Q93" i="1" s="1"/>
  <c r="R93" i="1" s="1"/>
  <c r="S93" i="1" s="1"/>
  <c r="T93" i="1" s="1"/>
  <c r="Q173" i="1"/>
  <c r="N23" i="1"/>
  <c r="O23" i="1" s="1"/>
  <c r="P23" i="1" s="1"/>
  <c r="Q23" i="1" s="1"/>
  <c r="R23" i="1" s="1"/>
  <c r="P78" i="1" l="1"/>
  <c r="O78" i="1" s="1"/>
  <c r="N78" i="1" s="1"/>
  <c r="R58" i="1" l="1"/>
  <c r="R57" i="1"/>
  <c r="R56" i="1"/>
  <c r="R55" i="1"/>
  <c r="R74" i="1"/>
  <c r="R73" i="1"/>
  <c r="R72" i="1"/>
  <c r="R71" i="1"/>
  <c r="N62" i="1"/>
  <c r="O62" i="1" s="1"/>
  <c r="P62" i="1" s="1"/>
  <c r="Q62" i="1" s="1"/>
  <c r="R62" i="1" s="1"/>
  <c r="S62" i="1" s="1"/>
  <c r="T62" i="1" s="1"/>
  <c r="Q46" i="1"/>
  <c r="P46" i="1" s="1"/>
  <c r="M50" i="1"/>
  <c r="M49" i="1" s="1"/>
  <c r="M48" i="1" s="1"/>
  <c r="M47" i="1" s="1"/>
  <c r="M51" i="1" l="1"/>
  <c r="M52" i="1" s="1"/>
  <c r="M53" i="1" s="1"/>
  <c r="R46" i="1"/>
  <c r="S46" i="1" s="1"/>
  <c r="T46" i="1" s="1"/>
  <c r="O46" i="1"/>
  <c r="N46" i="1" s="1"/>
  <c r="E32" i="1" l="1"/>
  <c r="M34" i="1" l="1"/>
  <c r="M103" i="1"/>
  <c r="M88" i="1"/>
  <c r="AG163" i="1"/>
  <c r="O124" i="1"/>
  <c r="N124" i="1"/>
  <c r="M124" i="1"/>
  <c r="L124" i="1"/>
  <c r="K124" i="1"/>
  <c r="J124" i="1"/>
  <c r="I124" i="1"/>
  <c r="H124" i="1"/>
  <c r="G124" i="1"/>
  <c r="F124" i="1"/>
  <c r="E124" i="1"/>
  <c r="E122" i="1"/>
  <c r="O135" i="1"/>
  <c r="N135" i="1"/>
  <c r="M135" i="1"/>
  <c r="L135" i="1"/>
  <c r="K135" i="1"/>
  <c r="J135" i="1"/>
  <c r="I135" i="1"/>
  <c r="H135" i="1"/>
  <c r="G135" i="1"/>
  <c r="F135" i="1"/>
  <c r="O134" i="1"/>
  <c r="N134" i="1"/>
  <c r="M134" i="1"/>
  <c r="L134" i="1"/>
  <c r="K134" i="1"/>
  <c r="J134" i="1"/>
  <c r="I134" i="1"/>
  <c r="H134" i="1"/>
  <c r="G134" i="1"/>
  <c r="F134" i="1"/>
  <c r="E135" i="1"/>
  <c r="E134" i="1"/>
  <c r="O88" i="1" l="1"/>
  <c r="M82" i="1"/>
  <c r="O103" i="1"/>
  <c r="M94" i="1"/>
  <c r="M95" i="1" s="1"/>
  <c r="M96" i="1" s="1"/>
  <c r="M97" i="1" s="1"/>
  <c r="M98" i="1" s="1"/>
  <c r="M99" i="1" s="1"/>
  <c r="M100" i="1" s="1"/>
  <c r="O129" i="1"/>
  <c r="O136" i="1" s="1"/>
  <c r="O137" i="1" s="1"/>
  <c r="N129" i="1"/>
  <c r="N136" i="1" s="1"/>
  <c r="N137" i="1" s="1"/>
  <c r="M129" i="1"/>
  <c r="M136" i="1" s="1"/>
  <c r="M137" i="1" s="1"/>
  <c r="L129" i="1"/>
  <c r="L136" i="1" s="1"/>
  <c r="L137" i="1" s="1"/>
  <c r="K129" i="1"/>
  <c r="K136" i="1" s="1"/>
  <c r="K137" i="1" s="1"/>
  <c r="J129" i="1"/>
  <c r="J136" i="1" s="1"/>
  <c r="J137" i="1" s="1"/>
  <c r="I129" i="1"/>
  <c r="I136" i="1" s="1"/>
  <c r="I137" i="1" s="1"/>
  <c r="H129" i="1"/>
  <c r="H136" i="1" s="1"/>
  <c r="H137" i="1" s="1"/>
  <c r="G129" i="1"/>
  <c r="G136" i="1" s="1"/>
  <c r="G137" i="1" s="1"/>
  <c r="F129" i="1"/>
  <c r="F136" i="1" s="1"/>
  <c r="F137" i="1" s="1"/>
  <c r="E129" i="1"/>
  <c r="E136" i="1" s="1"/>
  <c r="E137" i="1" s="1"/>
  <c r="O126" i="1"/>
  <c r="N126" i="1"/>
  <c r="M126" i="1"/>
  <c r="L126" i="1"/>
  <c r="K126" i="1"/>
  <c r="J126" i="1"/>
  <c r="I126" i="1"/>
  <c r="H126" i="1"/>
  <c r="G126" i="1"/>
  <c r="F126" i="1"/>
  <c r="E126" i="1"/>
  <c r="O125" i="1"/>
  <c r="N125" i="1"/>
  <c r="M125" i="1"/>
  <c r="L125" i="1"/>
  <c r="K125" i="1"/>
  <c r="J125" i="1"/>
  <c r="I125" i="1"/>
  <c r="H125" i="1"/>
  <c r="G125" i="1"/>
  <c r="F125" i="1"/>
  <c r="E125" i="1"/>
  <c r="O122" i="1"/>
  <c r="N122" i="1"/>
  <c r="M122" i="1"/>
  <c r="L122" i="1"/>
  <c r="K122" i="1"/>
  <c r="J122" i="1"/>
  <c r="I122" i="1"/>
  <c r="H122" i="1"/>
  <c r="G122" i="1"/>
  <c r="F122" i="1"/>
  <c r="O121" i="1"/>
  <c r="N121" i="1"/>
  <c r="M121" i="1"/>
  <c r="L121" i="1"/>
  <c r="K121" i="1"/>
  <c r="J121" i="1"/>
  <c r="I121" i="1"/>
  <c r="H121" i="1"/>
  <c r="G121" i="1"/>
  <c r="F121" i="1"/>
  <c r="E121" i="1"/>
  <c r="O120" i="1"/>
  <c r="N120" i="1"/>
  <c r="M120" i="1"/>
  <c r="L120" i="1"/>
  <c r="K120" i="1"/>
  <c r="J120" i="1"/>
  <c r="I120" i="1"/>
  <c r="H120" i="1"/>
  <c r="G120" i="1"/>
  <c r="F120" i="1"/>
  <c r="E120" i="1"/>
  <c r="O272" i="1"/>
  <c r="N272" i="1"/>
  <c r="M272" i="1"/>
  <c r="L272" i="1"/>
  <c r="K272" i="1"/>
  <c r="J272" i="1"/>
  <c r="I272" i="1"/>
  <c r="H272" i="1"/>
  <c r="G272" i="1"/>
  <c r="F272" i="1"/>
  <c r="E26" i="1"/>
  <c r="E25" i="1"/>
  <c r="M36" i="1"/>
  <c r="M83" i="1" l="1"/>
  <c r="M84" i="1" s="1"/>
  <c r="M85" i="1" s="1"/>
  <c r="M81" i="1"/>
  <c r="M80" i="1" s="1"/>
  <c r="M79" i="1" s="1"/>
  <c r="L130" i="1"/>
  <c r="M130" i="1"/>
  <c r="N130" i="1"/>
  <c r="F130" i="1"/>
  <c r="G130" i="1"/>
  <c r="H130" i="1"/>
  <c r="I130" i="1"/>
  <c r="J130" i="1"/>
  <c r="K130" i="1"/>
  <c r="F123" i="1"/>
  <c r="F131" i="1" s="1"/>
  <c r="F133" i="1" s="1"/>
  <c r="O130" i="1"/>
  <c r="G123" i="1"/>
  <c r="G131" i="1" s="1"/>
  <c r="G132" i="1" s="1"/>
  <c r="I123" i="1"/>
  <c r="I131" i="1" s="1"/>
  <c r="L123" i="1"/>
  <c r="L131" i="1" s="1"/>
  <c r="I133" i="1"/>
  <c r="N123" i="1"/>
  <c r="N131" i="1" s="1"/>
  <c r="H123" i="1"/>
  <c r="H131" i="1" s="1"/>
  <c r="J123" i="1"/>
  <c r="J131" i="1" s="1"/>
  <c r="K123" i="1"/>
  <c r="K131" i="1" s="1"/>
  <c r="K132" i="1" s="1"/>
  <c r="G133" i="1"/>
  <c r="O123" i="1"/>
  <c r="O131" i="1" s="1"/>
  <c r="K133" i="1"/>
  <c r="E123" i="1"/>
  <c r="E127" i="1"/>
  <c r="E128" i="1" s="1"/>
  <c r="F127" i="1"/>
  <c r="F128" i="1" s="1"/>
  <c r="G127" i="1"/>
  <c r="G128" i="1" s="1"/>
  <c r="H127" i="1"/>
  <c r="H128" i="1" s="1"/>
  <c r="I127" i="1"/>
  <c r="I128" i="1" s="1"/>
  <c r="M123" i="1"/>
  <c r="M131" i="1" s="1"/>
  <c r="J127" i="1"/>
  <c r="J128" i="1" s="1"/>
  <c r="K127" i="1"/>
  <c r="K128" i="1" s="1"/>
  <c r="L127" i="1"/>
  <c r="L128" i="1" s="1"/>
  <c r="M127" i="1"/>
  <c r="M128" i="1" s="1"/>
  <c r="N127" i="1"/>
  <c r="N128" i="1" s="1"/>
  <c r="O127" i="1"/>
  <c r="O128" i="1" s="1"/>
  <c r="O133" i="1" l="1"/>
  <c r="O132" i="1"/>
  <c r="J133" i="1"/>
  <c r="J132" i="1"/>
  <c r="H133" i="1"/>
  <c r="H132" i="1"/>
  <c r="N133" i="1"/>
  <c r="N132" i="1"/>
  <c r="L133" i="1"/>
  <c r="L132" i="1"/>
  <c r="I132" i="1"/>
  <c r="M133" i="1"/>
  <c r="M132" i="1"/>
  <c r="M41" i="1" l="1"/>
  <c r="M27" i="1"/>
  <c r="Q178" i="1"/>
  <c r="J26" i="1" l="1"/>
  <c r="I26" i="1"/>
  <c r="J25" i="1"/>
  <c r="I25" i="1"/>
  <c r="J24" i="1"/>
  <c r="I24" i="1"/>
  <c r="O197" i="1"/>
  <c r="N197" i="1"/>
  <c r="M197" i="1"/>
  <c r="L197" i="1"/>
  <c r="K197" i="1"/>
  <c r="J197" i="1"/>
  <c r="I197" i="1"/>
  <c r="H197" i="1"/>
  <c r="G197" i="1"/>
  <c r="F197" i="1"/>
  <c r="R25" i="1"/>
  <c r="N26" i="1"/>
  <c r="O26" i="1" s="1"/>
  <c r="P26" i="1" s="1"/>
  <c r="Q26" i="1" s="1"/>
  <c r="R26" i="1" s="1"/>
  <c r="E30" i="1"/>
  <c r="E28" i="1"/>
  <c r="E27" i="1"/>
  <c r="E33" i="1" l="1"/>
  <c r="M35" i="1" s="1"/>
  <c r="F30" i="1"/>
  <c r="I27" i="1"/>
  <c r="J27" i="1"/>
  <c r="N38" i="1"/>
  <c r="O38" i="1" s="1"/>
  <c r="P38" i="1" s="1"/>
  <c r="Q38" i="1" s="1"/>
  <c r="R38" i="1" s="1"/>
  <c r="M25" i="1"/>
  <c r="S25" i="1" s="1"/>
  <c r="N25" i="1" s="1"/>
  <c r="N27" i="1" s="1"/>
  <c r="N34" i="1" s="1"/>
  <c r="L32" i="1"/>
  <c r="M31" i="1"/>
  <c r="L31" i="1"/>
  <c r="M28" i="1"/>
  <c r="M26" i="1"/>
  <c r="M39" i="1" s="1"/>
  <c r="O39" i="1"/>
  <c r="L29" i="1"/>
  <c r="L28" i="1"/>
  <c r="Q242" i="1"/>
  <c r="S28" i="1" s="1"/>
  <c r="Q142" i="1"/>
  <c r="E29" i="1"/>
  <c r="E31" i="1"/>
  <c r="M32" i="1" s="1"/>
  <c r="F31" i="1" l="1"/>
  <c r="O104" i="1"/>
  <c r="O73" i="1"/>
  <c r="O89" i="1"/>
  <c r="S26" i="1"/>
  <c r="O57" i="1"/>
  <c r="M29" i="1"/>
  <c r="M30" i="1"/>
  <c r="M33" i="1" s="1"/>
  <c r="S31" i="1"/>
  <c r="N28" i="1"/>
  <c r="N39" i="1"/>
  <c r="O25" i="1"/>
  <c r="O27" i="1" s="1"/>
  <c r="O34" i="1" s="1"/>
  <c r="O105" i="1" l="1"/>
  <c r="O90" i="1"/>
  <c r="O74" i="1"/>
  <c r="M93" i="1"/>
  <c r="M78" i="1"/>
  <c r="N31" i="1"/>
  <c r="N30" i="1" s="1"/>
  <c r="N33" i="1" s="1"/>
  <c r="O31" i="1"/>
  <c r="O32" i="1" s="1"/>
  <c r="N32" i="1"/>
  <c r="O28" i="1"/>
  <c r="N29" i="1"/>
  <c r="P39" i="1"/>
  <c r="P25" i="1"/>
  <c r="P27" i="1" s="1"/>
  <c r="P34" i="1" s="1"/>
  <c r="P31" i="1" l="1"/>
  <c r="P30" i="1" s="1"/>
  <c r="P33" i="1" s="1"/>
  <c r="O30" i="1"/>
  <c r="O33" i="1" s="1"/>
  <c r="P28" i="1"/>
  <c r="O29" i="1"/>
  <c r="Q39" i="1"/>
  <c r="Q25" i="1"/>
  <c r="Q27" i="1" s="1"/>
  <c r="Q34" i="1" s="1"/>
  <c r="P32" i="1" l="1"/>
  <c r="Q31" i="1"/>
  <c r="R31" i="1" s="1"/>
  <c r="R32" i="1" s="1"/>
  <c r="Q28" i="1"/>
  <c r="P29" i="1"/>
  <c r="N35" i="1"/>
  <c r="M37" i="1"/>
  <c r="M40" i="1" s="1"/>
  <c r="R39" i="1"/>
  <c r="R27" i="1"/>
  <c r="R34" i="1" s="1"/>
  <c r="Q30" i="1" l="1"/>
  <c r="Q33" i="1" s="1"/>
  <c r="Q32" i="1"/>
  <c r="M62" i="1"/>
  <c r="O58" i="1"/>
  <c r="M46" i="1" s="1"/>
  <c r="O35" i="1"/>
  <c r="R28" i="1"/>
  <c r="R29" i="1" s="1"/>
  <c r="Q29" i="1"/>
  <c r="R30" i="1"/>
  <c r="R33" i="1" s="1"/>
  <c r="N37" i="1"/>
  <c r="N40" i="1" s="1"/>
  <c r="N42" i="1" l="1"/>
  <c r="P35" i="1"/>
  <c r="O37" i="1"/>
  <c r="S35" i="1"/>
  <c r="O40" i="1" l="1"/>
  <c r="O42" i="1" s="1"/>
  <c r="Q35" i="1"/>
  <c r="P37" i="1"/>
  <c r="P40" i="1" l="1"/>
  <c r="P42" i="1" s="1"/>
  <c r="R35" i="1"/>
  <c r="Q37" i="1"/>
  <c r="Q40" i="1" l="1"/>
  <c r="Q42" i="1" s="1"/>
  <c r="R37" i="1"/>
  <c r="R40" i="1" l="1"/>
  <c r="R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다.채동우</author>
  </authors>
  <commentList>
    <comment ref="F25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채동우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NI Margin%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성장폭이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증가폭보다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턴오버율을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유지하거나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달라짐</t>
        </r>
      </text>
    </comment>
    <comment ref="O122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채동우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ROE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턴오버율을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야금야금</t>
        </r>
        <r>
          <rPr>
            <sz val="9"/>
            <color indexed="81"/>
            <rFont val="Tahoma"/>
            <family val="2"/>
          </rPr>
          <t xml:space="preserve"> NI </t>
        </r>
        <r>
          <rPr>
            <sz val="9"/>
            <color indexed="81"/>
            <rFont val="돋움"/>
            <family val="3"/>
            <charset val="129"/>
          </rPr>
          <t>마진을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덕분임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말하면</t>
        </r>
        <r>
          <rPr>
            <sz val="9"/>
            <color indexed="81"/>
            <rFont val="Tahoma"/>
            <family val="2"/>
          </rPr>
          <t xml:space="preserve"> NI </t>
        </r>
        <r>
          <rPr>
            <sz val="9"/>
            <color indexed="81"/>
            <rFont val="돋움"/>
            <family val="3"/>
            <charset val="129"/>
          </rPr>
          <t>마진율을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턴오버율을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유지하였다는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O126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채동우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Equity </t>
        </r>
        <r>
          <rPr>
            <sz val="9"/>
            <color indexed="81"/>
            <rFont val="돋움"/>
            <family val="3"/>
            <charset val="129"/>
          </rPr>
          <t>규모</t>
        </r>
        <r>
          <rPr>
            <sz val="9"/>
            <color indexed="81"/>
            <rFont val="Tahoma"/>
            <family val="2"/>
          </rPr>
          <t xml:space="preserve">, Capital </t>
        </r>
        <r>
          <rPr>
            <sz val="9"/>
            <color indexed="81"/>
            <rFont val="돋움"/>
            <family val="3"/>
            <charset val="129"/>
          </rPr>
          <t>큐모</t>
        </r>
        <r>
          <rPr>
            <sz val="9"/>
            <color indexed="81"/>
            <rFont val="Tahoma"/>
            <family val="2"/>
          </rPr>
          <t xml:space="preserve">, Sales </t>
        </r>
        <r>
          <rPr>
            <sz val="9"/>
            <color indexed="81"/>
            <rFont val="돋움"/>
            <family val="3"/>
            <charset val="129"/>
          </rPr>
          <t>규모를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종합적으로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턴오버율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
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자본규모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철저히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</text>
    </comment>
    <comment ref="O135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채동우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이자부부채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늘었으나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순부채</t>
        </r>
        <r>
          <rPr>
            <sz val="9"/>
            <color indexed="81"/>
            <rFont val="Tahoma"/>
            <family val="2"/>
          </rPr>
          <t xml:space="preserve"> (-), 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D301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채동우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현금전환주기가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길어진다면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<sst xmlns="http://schemas.openxmlformats.org/spreadsheetml/2006/main" count="414" uniqueCount="348">
  <si>
    <t>Net Margin</t>
    <phoneticPr fontId="2" type="noConversion"/>
  </si>
  <si>
    <t>추정치</t>
    <phoneticPr fontId="2" type="noConversion"/>
  </si>
  <si>
    <t>배당성향</t>
    <phoneticPr fontId="2" type="noConversion"/>
  </si>
  <si>
    <t>유보율</t>
    <phoneticPr fontId="2" type="noConversion"/>
  </si>
  <si>
    <t>PSR</t>
    <phoneticPr fontId="2" type="noConversion"/>
  </si>
  <si>
    <t>Sales</t>
    <phoneticPr fontId="2" type="noConversion"/>
  </si>
  <si>
    <t>매출성장률</t>
    <phoneticPr fontId="2" type="noConversion"/>
  </si>
  <si>
    <t>14. 8. 31.</t>
  </si>
  <si>
    <t>15. 8. 30.</t>
  </si>
  <si>
    <t>16. 8. 28.</t>
  </si>
  <si>
    <t>17. 9. 3.</t>
  </si>
  <si>
    <t>18. 9. 2.</t>
  </si>
  <si>
    <t>19. 9. 1.</t>
  </si>
  <si>
    <t>20. 8. 30.</t>
  </si>
  <si>
    <t>21. 8. 29.</t>
  </si>
  <si>
    <t>22. 8. 28.</t>
  </si>
  <si>
    <t>23. 9. 3.</t>
  </si>
  <si>
    <t>24. 9. 1.</t>
  </si>
  <si>
    <t>LTM</t>
  </si>
  <si>
    <t>Revenues </t>
  </si>
  <si>
    <t>Total Revenues</t>
  </si>
  <si>
    <t>   % Change YoY </t>
  </si>
  <si>
    <t>Cost of Goods Sold </t>
  </si>
  <si>
    <t>Gross Profit </t>
  </si>
  <si>
    <t>   % Gross Margins </t>
  </si>
  <si>
    <t>Selling General &amp; Admin Expenses </t>
  </si>
  <si>
    <t>Pre-Opening Costs </t>
  </si>
  <si>
    <t>Other Operating Expenses</t>
  </si>
  <si>
    <t>Total Operating Expenses</t>
  </si>
  <si>
    <t>Operating Income </t>
  </si>
  <si>
    <t>   % Operating Margins </t>
  </si>
  <si>
    <t>Interest Expense </t>
  </si>
  <si>
    <t>Interest And Investment Income</t>
  </si>
  <si>
    <t>Income (Loss) On Equity Invest. </t>
  </si>
  <si>
    <t>Currency Exchange Gains (Loss) </t>
  </si>
  <si>
    <t>Other Non Operating Income (Expenses)</t>
  </si>
  <si>
    <t>EBT Excl. Unusual Items</t>
  </si>
  <si>
    <t>Gain (Loss) On Sale Of Investments</t>
  </si>
  <si>
    <t>Asset Writedown </t>
  </si>
  <si>
    <t>Legal Settlements </t>
  </si>
  <si>
    <t>Other Unusual Items</t>
  </si>
  <si>
    <t>EBT Incl. Unusual Items</t>
  </si>
  <si>
    <t>Income Tax Expense </t>
  </si>
  <si>
    <t>Earnings From Continuing Operations</t>
  </si>
  <si>
    <t>Net Income to Company</t>
  </si>
  <si>
    <t>Minority Interest</t>
  </si>
  <si>
    <t>Net Income</t>
  </si>
  <si>
    <t>Net Income to Common Incl Extra Items </t>
  </si>
  <si>
    <t>   % Net Income to Common Incl Extra Items Margins</t>
  </si>
  <si>
    <t>Net Income to Common Excl. Extra Items </t>
  </si>
  <si>
    <t>   % Net Income to Common Excl. Extra Items Margins</t>
  </si>
  <si>
    <t>Supplementary Data:</t>
  </si>
  <si>
    <t>Diluted EPS Excl Extra Items </t>
  </si>
  <si>
    <t>Weighted Average Diluted Shares Outstanding</t>
  </si>
  <si>
    <t>Weighted Average Basic Shares Outstanding</t>
  </si>
  <si>
    <t>Dividends Per Share</t>
  </si>
  <si>
    <t>Special Dividends Per Share </t>
  </si>
  <si>
    <t>Payout Ratio %</t>
  </si>
  <si>
    <t>Basic EPS</t>
  </si>
  <si>
    <t>EBITDA </t>
  </si>
  <si>
    <t>EBITDAR </t>
  </si>
  <si>
    <t>Effective Tax Rate % </t>
  </si>
  <si>
    <t>Same Store Sales Growth %</t>
  </si>
  <si>
    <t>Price Factors:</t>
  </si>
  <si>
    <t>Market Cap</t>
  </si>
  <si>
    <t>Price Close</t>
  </si>
  <si>
    <t>TEV</t>
  </si>
  <si>
    <t>Cash And Equivalents </t>
  </si>
  <si>
    <t>Short Term Investments</t>
  </si>
  <si>
    <t>Trading Asset Securities</t>
  </si>
  <si>
    <t>Total Cash And Short Term Investments</t>
  </si>
  <si>
    <t>Accounts Receivable </t>
  </si>
  <si>
    <t>Other Receivables</t>
  </si>
  <si>
    <t>Total Receivables </t>
  </si>
  <si>
    <t>Inventory</t>
  </si>
  <si>
    <t>Deferred Tax Assets Current </t>
  </si>
  <si>
    <t>Other Current Assets</t>
  </si>
  <si>
    <t>Total Current Assets</t>
  </si>
  <si>
    <t>Gross Property Plant And Equipment </t>
  </si>
  <si>
    <t>Accumulated Depreciation </t>
  </si>
  <si>
    <t>Net Property Plant And Equipment</t>
  </si>
  <si>
    <t>Long-term Investments</t>
  </si>
  <si>
    <t>Goodwill </t>
  </si>
  <si>
    <t>Loans Receivable Long-Term</t>
  </si>
  <si>
    <t>Deferred Tax Assets Long-Term</t>
  </si>
  <si>
    <t>Other Long-Term Assets</t>
  </si>
  <si>
    <t>Total Assets</t>
  </si>
  <si>
    <t>Accounts Payable </t>
  </si>
  <si>
    <t>Accrued Expenses </t>
  </si>
  <si>
    <t>Short-term Borrowings</t>
  </si>
  <si>
    <t>Current Portion of Long-Term Debt </t>
  </si>
  <si>
    <t>Current Portion of Capital Lease Obligations</t>
  </si>
  <si>
    <t>Current Income Taxes Payable</t>
  </si>
  <si>
    <t>Unearned Revenue Current</t>
  </si>
  <si>
    <t>Deferred Tax Liability Current </t>
  </si>
  <si>
    <t>Other Current Liabilities</t>
  </si>
  <si>
    <t>Total Current Liabilities</t>
  </si>
  <si>
    <t>Long-Term Debt</t>
  </si>
  <si>
    <t>Capital Leases</t>
  </si>
  <si>
    <t>Deferred Tax Liability Non Current</t>
  </si>
  <si>
    <t>Other Non Current Liabilities</t>
  </si>
  <si>
    <t>Total Liabilities</t>
  </si>
  <si>
    <t>Common Stock </t>
  </si>
  <si>
    <t>Additional Paid In Capital </t>
  </si>
  <si>
    <t>Retained Earnings 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</si>
  <si>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</si>
  <si>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</si>
  <si>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</si>
  <si>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</si>
  <si>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</si>
  <si>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</si>
  <si>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 </t>
  </si>
  <si>
    <t>Tangible Book Value / Share</t>
  </si>
  <si>
    <t>Total Debt</t>
  </si>
  <si>
    <t>Net Debt </t>
  </si>
  <si>
    <t>Total Minority Interest</t>
  </si>
  <si>
    <t>Equity Method Investments</t>
  </si>
  <si>
    <t>Land</t>
  </si>
  <si>
    <t>Buildings</t>
  </si>
  <si>
    <t>Construction In Progress</t>
  </si>
  <si>
    <t>Full Time Employees</t>
  </si>
  <si>
    <t>Balance Sheet</t>
    <phoneticPr fontId="2" type="noConversion"/>
  </si>
  <si>
    <t>Income Statement</t>
    <phoneticPr fontId="2" type="noConversion"/>
  </si>
  <si>
    <t>10년 CAGR</t>
    <phoneticPr fontId="2" type="noConversion"/>
  </si>
  <si>
    <t>마진율</t>
    <phoneticPr fontId="2" type="noConversion"/>
  </si>
  <si>
    <t>Total Shares Out. On Filing Date</t>
    <phoneticPr fontId="2" type="noConversion"/>
  </si>
  <si>
    <t>추정 주가</t>
    <phoneticPr fontId="2" type="noConversion"/>
  </si>
  <si>
    <t>SPS</t>
    <phoneticPr fontId="2" type="noConversion"/>
  </si>
  <si>
    <t>배당금</t>
    <phoneticPr fontId="2" type="noConversion"/>
  </si>
  <si>
    <t>NI</t>
    <phoneticPr fontId="2" type="noConversion"/>
  </si>
  <si>
    <t>Multiples | TIKR.com</t>
  </si>
  <si>
    <t>Forward Multiples</t>
  </si>
  <si>
    <t>NTM Price / Sales (P/S)</t>
  </si>
  <si>
    <t>1.16x</t>
  </si>
  <si>
    <t>NTM Price / Normalized Earnings (P/E)</t>
  </si>
  <si>
    <t>NTM Dividend Yield</t>
  </si>
  <si>
    <t>Trailing Multiples</t>
  </si>
  <si>
    <t>LTM Price / Sales (P/S)</t>
  </si>
  <si>
    <t>1.22x</t>
  </si>
  <si>
    <t>LTM Price / Diluted EPS (P/E) </t>
  </si>
  <si>
    <t>LTM Price / Book Value per Share </t>
  </si>
  <si>
    <t>0.80x</t>
  </si>
  <si>
    <t>LTM Price / Tangible Book Value per Share </t>
  </si>
  <si>
    <t>1.06x</t>
  </si>
  <si>
    <t>0.95x</t>
  </si>
  <si>
    <t>0.78x</t>
  </si>
  <si>
    <t>LTM Price / Net Current Asset Value </t>
  </si>
  <si>
    <t>(0.09x)</t>
  </si>
  <si>
    <t>(0.14x)</t>
  </si>
  <si>
    <t>(0.12x)</t>
  </si>
  <si>
    <t>LTM Dividend Yield</t>
  </si>
  <si>
    <t>주가</t>
    <phoneticPr fontId="2" type="noConversion"/>
  </si>
  <si>
    <t>주당배당금</t>
    <phoneticPr fontId="2" type="noConversion"/>
  </si>
  <si>
    <t>배당금성장률</t>
    <phoneticPr fontId="2" type="noConversion"/>
  </si>
  <si>
    <t>할인율</t>
    <phoneticPr fontId="2" type="noConversion"/>
  </si>
  <si>
    <t>유보금</t>
    <phoneticPr fontId="2" type="noConversion"/>
  </si>
  <si>
    <t>실제 주가</t>
    <phoneticPr fontId="2" type="noConversion"/>
  </si>
  <si>
    <t>Revenue Multiple 주요 수식</t>
    <phoneticPr fontId="2" type="noConversion"/>
  </si>
  <si>
    <t>주요 변수 정리</t>
    <phoneticPr fontId="2" type="noConversion"/>
  </si>
  <si>
    <t>변수</t>
    <phoneticPr fontId="2" type="noConversion"/>
  </si>
  <si>
    <t>내용</t>
    <phoneticPr fontId="2" type="noConversion"/>
  </si>
  <si>
    <t>Value of Equity</t>
    <phoneticPr fontId="2" type="noConversion"/>
  </si>
  <si>
    <t>Expected dividends per share next year</t>
    <phoneticPr fontId="2" type="noConversion"/>
  </si>
  <si>
    <t>Cost of Equity</t>
    <phoneticPr fontId="2" type="noConversion"/>
  </si>
  <si>
    <t>Growth Rate in Dividends(forever)</t>
    <phoneticPr fontId="2" type="noConversion"/>
  </si>
  <si>
    <t>평가기준일 현재 최신 주요 실적치</t>
    <phoneticPr fontId="2" type="noConversion"/>
  </si>
  <si>
    <t>구분</t>
    <phoneticPr fontId="2" type="noConversion"/>
  </si>
  <si>
    <t>Return Ratios:</t>
  </si>
  <si>
    <t>Return on Assets % </t>
  </si>
  <si>
    <t>Return on Capital % </t>
  </si>
  <si>
    <t>Return On Equity % </t>
  </si>
  <si>
    <t>Return on Common Equity % </t>
  </si>
  <si>
    <t>Margin Analysis:</t>
  </si>
  <si>
    <t>Gross Profit Margin % </t>
  </si>
  <si>
    <t>SG&amp;A Margin % </t>
  </si>
  <si>
    <t>EBITDA Margin % </t>
  </si>
  <si>
    <t>EBITA Margin % </t>
  </si>
  <si>
    <t>EBIT Margin % </t>
  </si>
  <si>
    <t>Income From Continuing Operations Margin % </t>
  </si>
  <si>
    <t>Net Income Margin % </t>
  </si>
  <si>
    <t>Normalized Net Income Margin % </t>
  </si>
  <si>
    <t>Net Avail. For Common Margin % </t>
  </si>
  <si>
    <t>Levered Free Cash Flow Margin % </t>
  </si>
  <si>
    <t>Unlevered Free Cash Flow Margin % </t>
  </si>
  <si>
    <t>Asset Turnover:</t>
  </si>
  <si>
    <t>Asset Turnover </t>
  </si>
  <si>
    <t>Fixed Assets Turnover </t>
  </si>
  <si>
    <t>Receivables Turnover </t>
  </si>
  <si>
    <t>Inventory Turnover </t>
  </si>
  <si>
    <t>Working Capital Turnover</t>
  </si>
  <si>
    <t>Short Term Liquidity:</t>
  </si>
  <si>
    <t>Current Ratio </t>
  </si>
  <si>
    <t>1.14x</t>
  </si>
  <si>
    <t>1.01x</t>
  </si>
  <si>
    <t>Quick Ratio </t>
  </si>
  <si>
    <t>Op Cash Flow to Current Liab </t>
  </si>
  <si>
    <t>0.30x</t>
  </si>
  <si>
    <t>Avg. Cash Conversion Cycle </t>
  </si>
  <si>
    <t>Avg. Days Sales Outstanding </t>
  </si>
  <si>
    <t>Avg. Days Outstanding Inventory </t>
  </si>
  <si>
    <t>Avg. Days Payable Outstanding </t>
  </si>
  <si>
    <t>Long-Term Solvency:</t>
  </si>
  <si>
    <t>Total Debt / Equity</t>
  </si>
  <si>
    <t>Total Debt / Capital </t>
  </si>
  <si>
    <t>Total Liabilities / Total Assets </t>
  </si>
  <si>
    <t>EBIT / Interest Expense</t>
  </si>
  <si>
    <t>28.50x</t>
  </si>
  <si>
    <t>29.23x</t>
  </si>
  <si>
    <t>27.61x</t>
  </si>
  <si>
    <t>30.68x</t>
  </si>
  <si>
    <t>28.18x</t>
  </si>
  <si>
    <t>31.58x</t>
  </si>
  <si>
    <t>33.97x</t>
  </si>
  <si>
    <t>39.72x</t>
  </si>
  <si>
    <t>50.07x</t>
  </si>
  <si>
    <t>53.16x</t>
  </si>
  <si>
    <t>54.94x</t>
  </si>
  <si>
    <t>56.53x</t>
  </si>
  <si>
    <t>EBITDA / Interest Expense</t>
  </si>
  <si>
    <t>37.60x</t>
  </si>
  <si>
    <t>38.31x</t>
  </si>
  <si>
    <t>37.05x</t>
  </si>
  <si>
    <t>40.90x</t>
  </si>
  <si>
    <t>37.21x</t>
  </si>
  <si>
    <t>41.53x</t>
  </si>
  <si>
    <t>46.37x</t>
  </si>
  <si>
    <t>52.75x</t>
  </si>
  <si>
    <t>64.97x</t>
  </si>
  <si>
    <t>69.07x</t>
  </si>
  <si>
    <t>70.82x</t>
  </si>
  <si>
    <t>72.75x</t>
  </si>
  <si>
    <t>(EBITDA - Capex) / Interest Expense</t>
  </si>
  <si>
    <t>19.96x</t>
  </si>
  <si>
    <t>19.02x</t>
  </si>
  <si>
    <t>17.13x</t>
  </si>
  <si>
    <t>22.23x</t>
  </si>
  <si>
    <t>18.54x</t>
  </si>
  <si>
    <t>21.54x</t>
  </si>
  <si>
    <t>28.81x</t>
  </si>
  <si>
    <t>31.77x</t>
  </si>
  <si>
    <t>40.34x</t>
  </si>
  <si>
    <t>42.05x</t>
  </si>
  <si>
    <t>42.95x</t>
  </si>
  <si>
    <t>43.38x</t>
  </si>
  <si>
    <t>FFO Interest Coverage </t>
  </si>
  <si>
    <t>35.26x</t>
  </si>
  <si>
    <t>34.56x</t>
  </si>
  <si>
    <t>24.75x</t>
  </si>
  <si>
    <t>50.19x</t>
  </si>
  <si>
    <t>36.31x</t>
  </si>
  <si>
    <t>42.37x</t>
  </si>
  <si>
    <t>55.38x</t>
  </si>
  <si>
    <t>52.39x</t>
  </si>
  <si>
    <t>46.78x</t>
  </si>
  <si>
    <t>69.18x</t>
  </si>
  <si>
    <t>67.09x</t>
  </si>
  <si>
    <t>59.21x</t>
  </si>
  <si>
    <t>FFO to Total Debt (x) </t>
  </si>
  <si>
    <t>1.49x</t>
  </si>
  <si>
    <t>0.70x</t>
  </si>
  <si>
    <t>0.64x</t>
  </si>
  <si>
    <t>0.88x</t>
  </si>
  <si>
    <t>0.79x</t>
  </si>
  <si>
    <t>0.68x</t>
  </si>
  <si>
    <t>1.05x</t>
  </si>
  <si>
    <t>Total Debt / EBITDA</t>
  </si>
  <si>
    <t>1.20x</t>
  </si>
  <si>
    <t>1.29x</t>
  </si>
  <si>
    <t>1.21x</t>
  </si>
  <si>
    <t>1.11x</t>
  </si>
  <si>
    <t>1.26x</t>
  </si>
  <si>
    <t>0.83x</t>
  </si>
  <si>
    <t>0.67x</t>
  </si>
  <si>
    <t>Net Debt / EBITDA</t>
  </si>
  <si>
    <t>(0.52x)</t>
  </si>
  <si>
    <t>(0.06x)</t>
  </si>
  <si>
    <t>0.09x</t>
  </si>
  <si>
    <t>0.16x</t>
  </si>
  <si>
    <t>(0.35x)</t>
  </si>
  <si>
    <t>(0.30x)</t>
  </si>
  <si>
    <t>(0.01x)</t>
  </si>
  <si>
    <t>(0.43x)</t>
  </si>
  <si>
    <t>(0.10x)</t>
  </si>
  <si>
    <t>Net Debt / (EBITDA - Capex)</t>
  </si>
  <si>
    <t>(0.98x)</t>
  </si>
  <si>
    <t>0.19x</t>
  </si>
  <si>
    <t>(0.23x)</t>
  </si>
  <si>
    <t>(0.68x)</t>
  </si>
  <si>
    <t>(0.48x)</t>
  </si>
  <si>
    <t>(0.02x)</t>
  </si>
  <si>
    <t>(0.70x)</t>
  </si>
  <si>
    <t>(0.16x)</t>
  </si>
  <si>
    <t>(0.51x)</t>
  </si>
  <si>
    <t>Ratios</t>
    <phoneticPr fontId="2" type="noConversion"/>
  </si>
  <si>
    <r>
      <t>P</t>
    </r>
    <r>
      <rPr>
        <sz val="6"/>
        <color theme="1"/>
        <rFont val="나눔스퀘어 네오 Regular"/>
        <family val="3"/>
        <charset val="129"/>
      </rPr>
      <t>0</t>
    </r>
    <phoneticPr fontId="2" type="noConversion"/>
  </si>
  <si>
    <r>
      <t>DPS</t>
    </r>
    <r>
      <rPr>
        <sz val="6"/>
        <color theme="1"/>
        <rFont val="나눔스퀘어 네오 Regular"/>
        <family val="3"/>
        <charset val="129"/>
      </rPr>
      <t>1</t>
    </r>
    <phoneticPr fontId="2" type="noConversion"/>
  </si>
  <si>
    <r>
      <t>K</t>
    </r>
    <r>
      <rPr>
        <sz val="6"/>
        <color theme="1"/>
        <rFont val="나눔스퀘어 네오 Regular"/>
        <family val="3"/>
        <charset val="129"/>
      </rPr>
      <t>e</t>
    </r>
    <phoneticPr fontId="2" type="noConversion"/>
  </si>
  <si>
    <r>
      <t>g</t>
    </r>
    <r>
      <rPr>
        <sz val="6"/>
        <color theme="1"/>
        <rFont val="나눔스퀘어 네오 Regular"/>
        <family val="3"/>
        <charset val="129"/>
      </rPr>
      <t>n</t>
    </r>
    <phoneticPr fontId="2" type="noConversion"/>
  </si>
  <si>
    <t>Expected growth of equity</t>
    <phoneticPr fontId="2" type="noConversion"/>
  </si>
  <si>
    <t>Retention Ratio</t>
    <phoneticPr fontId="2" type="noConversion"/>
  </si>
  <si>
    <t>NI Margin %</t>
    <phoneticPr fontId="2" type="noConversion"/>
  </si>
  <si>
    <t>재계산 ROE</t>
    <phoneticPr fontId="2" type="noConversion"/>
  </si>
  <si>
    <t>ROE 차이</t>
    <phoneticPr fontId="2" type="noConversion"/>
  </si>
  <si>
    <t>Growth Rate %</t>
    <phoneticPr fontId="2" type="noConversion"/>
  </si>
  <si>
    <t>주요 검증 데이터</t>
    <phoneticPr fontId="2" type="noConversion"/>
  </si>
  <si>
    <t>구분</t>
    <phoneticPr fontId="2" type="noConversion"/>
  </si>
  <si>
    <t>예상 성장률을 적용한 Equity</t>
    <phoneticPr fontId="2" type="noConversion"/>
  </si>
  <si>
    <t>실제 Equity - 예상 Equity</t>
    <phoneticPr fontId="2" type="noConversion"/>
  </si>
  <si>
    <t>주가변동</t>
    <phoneticPr fontId="2" type="noConversion"/>
  </si>
  <si>
    <t>Total Debt</t>
    <phoneticPr fontId="2" type="noConversion"/>
  </si>
  <si>
    <t>Net Debt</t>
    <phoneticPr fontId="2" type="noConversion"/>
  </si>
  <si>
    <t>Capital</t>
    <phoneticPr fontId="2" type="noConversion"/>
  </si>
  <si>
    <t>Capital Turnover</t>
    <phoneticPr fontId="2" type="noConversion"/>
  </si>
  <si>
    <t>Equity</t>
    <phoneticPr fontId="2" type="noConversion"/>
  </si>
  <si>
    <t>Equity Turnover</t>
    <phoneticPr fontId="2" type="noConversion"/>
  </si>
  <si>
    <t>Revenue Multiple 주요 지표 분석</t>
    <phoneticPr fontId="2" type="noConversion"/>
  </si>
  <si>
    <t>ROE</t>
    <phoneticPr fontId="2" type="noConversion"/>
  </si>
  <si>
    <t>ROC</t>
    <phoneticPr fontId="2" type="noConversion"/>
  </si>
  <si>
    <t>마진율향상 시나리오 분석</t>
    <phoneticPr fontId="2" type="noConversion"/>
  </si>
  <si>
    <t>Expected growth rate in earnings</t>
  </si>
  <si>
    <t>추정 할인율</t>
  </si>
  <si>
    <t>Year</t>
    <phoneticPr fontId="2" type="noConversion"/>
  </si>
  <si>
    <t>마진, 배당, PSR을 통해 산출한 할인율</t>
    <phoneticPr fontId="2" type="noConversion"/>
  </si>
  <si>
    <t>참고</t>
    <phoneticPr fontId="2" type="noConversion"/>
  </si>
  <si>
    <t>EPS 10년 평균 성장률 12.5%</t>
    <phoneticPr fontId="2" type="noConversion"/>
  </si>
  <si>
    <t>BV of Equity</t>
    <phoneticPr fontId="2" type="noConversion"/>
  </si>
  <si>
    <t>Equity Turnover(Sales/BV of Equity)</t>
    <phoneticPr fontId="2" type="noConversion"/>
  </si>
  <si>
    <t>검증</t>
    <phoneticPr fontId="2" type="noConversion"/>
  </si>
  <si>
    <t>Equity Turnover / NI Margin%</t>
    <phoneticPr fontId="2" type="noConversion"/>
  </si>
  <si>
    <t>NI Margin %</t>
    <phoneticPr fontId="2" type="noConversion"/>
  </si>
  <si>
    <t>Equity Turnover</t>
    <phoneticPr fontId="2" type="noConversion"/>
  </si>
  <si>
    <t>NI Margin</t>
    <phoneticPr fontId="2" type="noConversion"/>
  </si>
  <si>
    <t>Equity Turnover</t>
    <phoneticPr fontId="2" type="noConversion"/>
  </si>
  <si>
    <t>Base Price</t>
    <phoneticPr fontId="2" type="noConversion"/>
  </si>
  <si>
    <t>PSR</t>
    <phoneticPr fontId="2" type="noConversion"/>
  </si>
  <si>
    <t>Max</t>
    <phoneticPr fontId="2" type="noConversion"/>
  </si>
  <si>
    <t>Mean</t>
    <phoneticPr fontId="2" type="noConversion"/>
  </si>
  <si>
    <t>Mid</t>
    <phoneticPr fontId="2" type="noConversion"/>
  </si>
  <si>
    <t>Min</t>
    <phoneticPr fontId="2" type="noConversion"/>
  </si>
  <si>
    <t>PSR(Actual)</t>
    <phoneticPr fontId="2" type="noConversion"/>
  </si>
  <si>
    <t>PSR(Calculated)</t>
    <phoneticPr fontId="2" type="noConversion"/>
  </si>
  <si>
    <t>목표값</t>
    <phoneticPr fontId="2" type="noConversion"/>
  </si>
  <si>
    <t>Actual</t>
    <phoneticPr fontId="2" type="noConversion"/>
  </si>
  <si>
    <t>Estimate</t>
    <phoneticPr fontId="2" type="noConversion"/>
  </si>
  <si>
    <t>Growth rate in earnings / NI Margin%</t>
    <phoneticPr fontId="2" type="noConversion"/>
  </si>
  <si>
    <t>Growth rate in earnings</t>
    <phoneticPr fontId="2" type="noConversion"/>
  </si>
  <si>
    <t>(*)0.05%</t>
    <phoneticPr fontId="2" type="noConversion"/>
  </si>
  <si>
    <t>NI Margin % (*)0.5%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</si>
</sst>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;[Red]_)\(#,##0\);\-_)"/>
    <numFmt numFmtId="177" formatCode="0.0%"/>
    <numFmt numFmtId="178" formatCode="#,##0.00;[Red]_)\(#,##0.00\);\-_)"/>
    <numFmt numFmtId="179" formatCode="#,##0.0;[Red]_)\(#,##0.0\);\-_)"/>
    <numFmt numFmtId="180" formatCode="0_);[Red]\(0\)"/>
  </numFmts>
  <fonts count="28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9"/>
      <color theme="1"/>
      <name val="나눔스퀘어 네오 Regular"/>
      <family val="3"/>
      <charset val="129"/>
    </font>
    <font>
      <b/>
      <sz val="8"/>
      <color rgb="FFFFFFFF"/>
      <name val="나눔스퀘어 네오 Regular"/>
      <family val="3"/>
      <charset val="129"/>
    </font>
    <font>
      <sz val="10"/>
      <color theme="1"/>
      <name val="나눔스퀘어 네오 Regular"/>
      <family val="3"/>
      <charset val="129"/>
    </font>
    <font>
      <sz val="10"/>
      <name val="나눔스퀘어 네오 Regular"/>
      <family val="3"/>
      <charset val="129"/>
    </font>
    <font>
      <sz val="10"/>
      <color theme="0" tint="-0.14999847407452621"/>
      <name val="나눔스퀘어 네오 Regular"/>
      <family val="3"/>
      <charset val="129"/>
    </font>
    <font>
      <sz val="10"/>
      <color rgb="FFFFFFFF"/>
      <name val="나눔스퀘어 네오 Regular"/>
      <family val="3"/>
      <charset val="129"/>
    </font>
    <font>
      <i/>
      <sz val="10"/>
      <color rgb="FF000000"/>
      <name val="나눔스퀘어 네오 Regular"/>
      <family val="3"/>
      <charset val="129"/>
    </font>
    <font>
      <sz val="10"/>
      <color rgb="FF000000"/>
      <name val="나눔스퀘어 네오 Regular"/>
      <family val="3"/>
      <charset val="129"/>
    </font>
    <font>
      <i/>
      <sz val="10"/>
      <color theme="1"/>
      <name val="나눔스퀘어 네오 Regular"/>
      <family val="3"/>
      <charset val="129"/>
    </font>
    <font>
      <i/>
      <sz val="10"/>
      <color rgb="FFF44336"/>
      <name val="나눔스퀘어 네오 Regular"/>
      <family val="3"/>
      <charset val="129"/>
    </font>
    <font>
      <sz val="10"/>
      <color rgb="FFF44336"/>
      <name val="나눔스퀘어 네오 Regular"/>
      <family val="3"/>
      <charset val="129"/>
    </font>
    <font>
      <sz val="10"/>
      <color theme="0"/>
      <name val="나눔스퀘어 네오 Regular"/>
      <family val="3"/>
      <charset val="129"/>
    </font>
    <font>
      <sz val="11"/>
      <color theme="1"/>
      <name val="나눔스퀘어 네오 Regular"/>
      <family val="3"/>
      <charset val="129"/>
    </font>
    <font>
      <sz val="6"/>
      <color theme="1"/>
      <name val="나눔스퀘어 네오 Regular"/>
      <family val="3"/>
      <charset val="129"/>
    </font>
    <font>
      <sz val="11"/>
      <color theme="0"/>
      <name val="나눔스퀘어 네오 Regular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FFFF"/>
      <name val="나눔스퀘어 네오 Regular"/>
      <family val="3"/>
      <charset val="129"/>
    </font>
    <font>
      <b/>
      <sz val="10"/>
      <color theme="1"/>
      <name val="나눔스퀘어 네오 Regular"/>
      <family val="3"/>
      <charset val="129"/>
    </font>
    <font>
      <sz val="9"/>
      <color indexed="81"/>
      <name val="돋움"/>
      <family val="3"/>
      <charset val="129"/>
    </font>
    <font>
      <i/>
      <sz val="10"/>
      <color theme="0" tint="-0.249977111117893"/>
      <name val="나눔스퀘어 네오 Regular"/>
      <family val="3"/>
      <charset val="129"/>
    </font>
    <font>
      <sz val="10"/>
      <color theme="0" tint="-0.249977111117893"/>
      <name val="나눔스퀘어 네오 Regular"/>
      <family val="3"/>
      <charset val="129"/>
    </font>
    <font>
      <i/>
      <sz val="10"/>
      <color theme="0"/>
      <name val="나눔스퀘어 네오 Regular"/>
      <family val="3"/>
      <charset val="129"/>
    </font>
    <font>
      <i/>
      <sz val="10"/>
      <color theme="0" tint="-0.499984740745262"/>
      <name val="나눔스퀘어 네오 Regular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82828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Dashed">
        <color rgb="FFFF0000"/>
      </top>
      <bottom style="mediumDashed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Dashed">
        <color rgb="FFFF0000"/>
      </top>
      <bottom style="mediumDashed">
        <color rgb="FFFF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rgb="FF828282"/>
      </top>
      <bottom/>
      <diagonal/>
    </border>
    <border>
      <left/>
      <right style="thin">
        <color indexed="64"/>
      </right>
      <top style="medium">
        <color rgb="FF828282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Dashed">
        <color rgb="FFFF0000"/>
      </top>
      <bottom style="mediumDashed">
        <color rgb="FFFF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4" fontId="10" fillId="2" borderId="7" xfId="0" applyNumberFormat="1" applyFont="1" applyFill="1" applyBorder="1" applyAlignment="1">
      <alignment horizontal="right" vertical="center"/>
    </xf>
    <xf numFmtId="4" fontId="13" fillId="2" borderId="7" xfId="0" applyNumberFormat="1" applyFont="1" applyFill="1" applyBorder="1" applyAlignment="1">
      <alignment horizontal="right" vertical="center"/>
    </xf>
    <xf numFmtId="4" fontId="10" fillId="6" borderId="7" xfId="0" applyNumberFormat="1" applyFont="1" applyFill="1" applyBorder="1" applyAlignment="1">
      <alignment horizontal="right" vertical="center"/>
    </xf>
    <xf numFmtId="176" fontId="15" fillId="0" borderId="0" xfId="0" applyNumberFormat="1" applyFont="1" applyAlignment="1">
      <alignment horizontal="center" vertical="center"/>
    </xf>
    <xf numFmtId="176" fontId="17" fillId="8" borderId="2" xfId="0" applyNumberFormat="1" applyFont="1" applyFill="1" applyBorder="1">
      <alignment vertical="center"/>
    </xf>
    <xf numFmtId="176" fontId="14" fillId="8" borderId="3" xfId="0" applyNumberFormat="1" applyFont="1" applyFill="1" applyBorder="1">
      <alignment vertical="center"/>
    </xf>
    <xf numFmtId="176" fontId="14" fillId="8" borderId="4" xfId="0" applyNumberFormat="1" applyFont="1" applyFill="1" applyBorder="1">
      <alignment vertical="center"/>
    </xf>
    <xf numFmtId="176" fontId="5" fillId="0" borderId="0" xfId="0" applyNumberFormat="1" applyFont="1">
      <alignment vertical="center"/>
    </xf>
    <xf numFmtId="176" fontId="15" fillId="0" borderId="18" xfId="0" applyNumberFormat="1" applyFont="1" applyBorder="1">
      <alignment vertical="center"/>
    </xf>
    <xf numFmtId="176" fontId="5" fillId="0" borderId="8" xfId="0" applyNumberFormat="1" applyFont="1" applyBorder="1">
      <alignment vertical="center"/>
    </xf>
    <xf numFmtId="176" fontId="15" fillId="0" borderId="5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176" fontId="5" fillId="0" borderId="6" xfId="0" applyNumberFormat="1" applyFont="1" applyBorder="1">
      <alignment vertical="center"/>
    </xf>
    <xf numFmtId="176" fontId="15" fillId="0" borderId="0" xfId="0" applyNumberFormat="1" applyFont="1">
      <alignment vertical="center"/>
    </xf>
    <xf numFmtId="176" fontId="17" fillId="0" borderId="18" xfId="0" applyNumberFormat="1" applyFont="1" applyBorder="1">
      <alignment vertical="center"/>
    </xf>
    <xf numFmtId="176" fontId="14" fillId="0" borderId="0" xfId="0" applyNumberFormat="1" applyFont="1">
      <alignment vertical="center"/>
    </xf>
    <xf numFmtId="176" fontId="14" fillId="0" borderId="8" xfId="0" applyNumberFormat="1" applyFont="1" applyBorder="1">
      <alignment vertical="center"/>
    </xf>
    <xf numFmtId="176" fontId="5" fillId="0" borderId="10" xfId="0" applyNumberFormat="1" applyFont="1" applyBorder="1">
      <alignment vertical="center"/>
    </xf>
    <xf numFmtId="176" fontId="5" fillId="0" borderId="11" xfId="0" quotePrefix="1" applyNumberFormat="1" applyFont="1" applyBorder="1">
      <alignment vertical="center"/>
    </xf>
    <xf numFmtId="178" fontId="5" fillId="0" borderId="0" xfId="0" applyNumberFormat="1" applyFont="1">
      <alignment vertical="center"/>
    </xf>
    <xf numFmtId="177" fontId="5" fillId="0" borderId="0" xfId="1" applyNumberFormat="1" applyFont="1" applyAlignment="1">
      <alignment vertical="center"/>
    </xf>
    <xf numFmtId="177" fontId="5" fillId="6" borderId="0" xfId="1" applyNumberFormat="1" applyFont="1" applyFill="1" applyAlignment="1">
      <alignment vertical="center"/>
    </xf>
    <xf numFmtId="176" fontId="5" fillId="0" borderId="5" xfId="0" applyNumberFormat="1" applyFont="1" applyBorder="1">
      <alignment vertical="center"/>
    </xf>
    <xf numFmtId="0" fontId="5" fillId="0" borderId="0" xfId="0" applyFont="1">
      <alignment vertical="center"/>
    </xf>
    <xf numFmtId="177" fontId="5" fillId="0" borderId="0" xfId="1" applyNumberFormat="1" applyFont="1" applyAlignment="1">
      <alignment horizontal="right" vertical="center"/>
    </xf>
    <xf numFmtId="178" fontId="5" fillId="0" borderId="12" xfId="0" applyNumberFormat="1" applyFont="1" applyBorder="1" applyAlignment="1">
      <alignment horizontal="right" vertical="center"/>
    </xf>
    <xf numFmtId="176" fontId="14" fillId="9" borderId="9" xfId="0" applyNumberFormat="1" applyFont="1" applyFill="1" applyBorder="1">
      <alignment vertical="center"/>
    </xf>
    <xf numFmtId="176" fontId="14" fillId="9" borderId="4" xfId="0" applyNumberFormat="1" applyFont="1" applyFill="1" applyBorder="1">
      <alignment vertical="center"/>
    </xf>
    <xf numFmtId="176" fontId="14" fillId="9" borderId="16" xfId="0" applyNumberFormat="1" applyFont="1" applyFill="1" applyBorder="1" applyAlignment="1">
      <alignment horizontal="center" vertical="center"/>
    </xf>
    <xf numFmtId="14" fontId="14" fillId="9" borderId="17" xfId="0" applyNumberFormat="1" applyFont="1" applyFill="1" applyBorder="1" applyAlignment="1">
      <alignment horizontal="center" vertical="center"/>
    </xf>
    <xf numFmtId="176" fontId="14" fillId="9" borderId="15" xfId="0" applyNumberFormat="1" applyFont="1" applyFill="1" applyBorder="1" applyAlignment="1">
      <alignment horizontal="center" vertical="center"/>
    </xf>
    <xf numFmtId="178" fontId="5" fillId="0" borderId="0" xfId="1" applyNumberFormat="1" applyFont="1" applyBorder="1" applyAlignment="1">
      <alignment horizontal="right" vertical="center"/>
    </xf>
    <xf numFmtId="176" fontId="5" fillId="0" borderId="8" xfId="1" applyNumberFormat="1" applyFont="1" applyBorder="1" applyAlignment="1">
      <alignment horizontal="right" vertical="center"/>
    </xf>
    <xf numFmtId="177" fontId="5" fillId="0" borderId="0" xfId="1" applyNumberFormat="1" applyFont="1" applyBorder="1" applyAlignment="1">
      <alignment horizontal="right" vertical="center"/>
    </xf>
    <xf numFmtId="177" fontId="5" fillId="6" borderId="8" xfId="1" applyNumberFormat="1" applyFont="1" applyFill="1" applyBorder="1" applyAlignment="1">
      <alignment horizontal="right" vertical="center"/>
    </xf>
    <xf numFmtId="176" fontId="5" fillId="0" borderId="0" xfId="1" applyNumberFormat="1" applyFont="1" applyBorder="1" applyAlignment="1">
      <alignment horizontal="right" vertical="center"/>
    </xf>
    <xf numFmtId="178" fontId="5" fillId="0" borderId="14" xfId="0" applyNumberFormat="1" applyFont="1" applyBorder="1" applyAlignment="1">
      <alignment horizontal="right" vertical="center"/>
    </xf>
    <xf numFmtId="176" fontId="15" fillId="0" borderId="18" xfId="0" applyNumberFormat="1" applyFont="1" applyBorder="1" applyAlignment="1">
      <alignment horizontal="center" vertical="center"/>
    </xf>
    <xf numFmtId="176" fontId="14" fillId="9" borderId="13" xfId="0" applyNumberFormat="1" applyFont="1" applyFill="1" applyBorder="1" applyAlignment="1">
      <alignment horizontal="center" vertical="center"/>
    </xf>
    <xf numFmtId="176" fontId="5" fillId="0" borderId="19" xfId="0" applyNumberFormat="1" applyFont="1" applyBorder="1">
      <alignment vertical="center"/>
    </xf>
    <xf numFmtId="176" fontId="5" fillId="0" borderId="11" xfId="0" applyNumberFormat="1" applyFont="1" applyBorder="1">
      <alignment vertical="center"/>
    </xf>
    <xf numFmtId="0" fontId="3" fillId="0" borderId="0" xfId="0" applyFont="1">
      <alignment vertical="center"/>
    </xf>
    <xf numFmtId="0" fontId="5" fillId="2" borderId="20" xfId="0" applyFont="1" applyFill="1" applyBorder="1">
      <alignment vertical="center"/>
    </xf>
    <xf numFmtId="2" fontId="10" fillId="2" borderId="0" xfId="0" applyNumberFormat="1" applyFont="1" applyFill="1" applyAlignment="1">
      <alignment horizontal="right" vertical="center"/>
    </xf>
    <xf numFmtId="2" fontId="10" fillId="2" borderId="21" xfId="0" applyNumberFormat="1" applyFont="1" applyFill="1" applyBorder="1" applyAlignment="1">
      <alignment horizontal="right" vertical="center"/>
    </xf>
    <xf numFmtId="2" fontId="13" fillId="2" borderId="21" xfId="0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right" vertical="center"/>
    </xf>
    <xf numFmtId="0" fontId="10" fillId="2" borderId="21" xfId="0" applyFont="1" applyFill="1" applyBorder="1" applyAlignment="1">
      <alignment horizontal="right" vertical="center"/>
    </xf>
    <xf numFmtId="0" fontId="10" fillId="6" borderId="0" xfId="0" applyFont="1" applyFill="1" applyAlignment="1">
      <alignment horizontal="right" vertical="center"/>
    </xf>
    <xf numFmtId="10" fontId="10" fillId="2" borderId="21" xfId="0" applyNumberFormat="1" applyFont="1" applyFill="1" applyBorder="1" applyAlignment="1">
      <alignment horizontal="right" vertical="center"/>
    </xf>
    <xf numFmtId="10" fontId="10" fillId="2" borderId="0" xfId="0" applyNumberFormat="1" applyFont="1" applyFill="1" applyAlignment="1">
      <alignment horizontal="right" vertical="center"/>
    </xf>
    <xf numFmtId="10" fontId="10" fillId="6" borderId="0" xfId="0" applyNumberFormat="1" applyFont="1" applyFill="1" applyAlignment="1">
      <alignment horizontal="right" vertical="center"/>
    </xf>
    <xf numFmtId="0" fontId="10" fillId="6" borderId="12" xfId="0" applyFont="1" applyFill="1" applyBorder="1" applyAlignment="1">
      <alignment horizontal="right" vertical="center"/>
    </xf>
    <xf numFmtId="0" fontId="13" fillId="6" borderId="12" xfId="0" applyFont="1" applyFill="1" applyBorder="1" applyAlignment="1">
      <alignment horizontal="right" vertical="center"/>
    </xf>
    <xf numFmtId="180" fontId="14" fillId="9" borderId="17" xfId="0" applyNumberFormat="1" applyFont="1" applyFill="1" applyBorder="1" applyAlignment="1">
      <alignment horizontal="center" vertical="center"/>
    </xf>
    <xf numFmtId="180" fontId="14" fillId="9" borderId="15" xfId="0" applyNumberFormat="1" applyFont="1" applyFill="1" applyBorder="1" applyAlignment="1">
      <alignment horizontal="center" vertical="center"/>
    </xf>
    <xf numFmtId="177" fontId="5" fillId="0" borderId="0" xfId="1" applyNumberFormat="1" applyFont="1" applyBorder="1" applyAlignment="1">
      <alignment vertical="center"/>
    </xf>
    <xf numFmtId="176" fontId="14" fillId="9" borderId="0" xfId="0" applyNumberFormat="1" applyFont="1" applyFill="1">
      <alignment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5" fillId="2" borderId="8" xfId="0" applyFont="1" applyFill="1" applyBorder="1">
      <alignment vertical="center"/>
    </xf>
    <xf numFmtId="0" fontId="5" fillId="2" borderId="18" xfId="0" applyFont="1" applyFill="1" applyBorder="1" applyAlignment="1">
      <alignment horizontal="left" vertical="center"/>
    </xf>
    <xf numFmtId="4" fontId="10" fillId="2" borderId="0" xfId="0" applyNumberFormat="1" applyFont="1" applyFill="1" applyAlignment="1">
      <alignment horizontal="right" vertical="center"/>
    </xf>
    <xf numFmtId="4" fontId="10" fillId="2" borderId="8" xfId="0" applyNumberFormat="1" applyFont="1" applyFill="1" applyBorder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4" fontId="13" fillId="2" borderId="0" xfId="0" applyNumberFormat="1" applyFont="1" applyFill="1" applyAlignment="1">
      <alignment horizontal="right" vertical="center"/>
    </xf>
    <xf numFmtId="0" fontId="5" fillId="2" borderId="22" xfId="0" applyFont="1" applyFill="1" applyBorder="1" applyAlignment="1">
      <alignment horizontal="left" vertical="center"/>
    </xf>
    <xf numFmtId="4" fontId="10" fillId="2" borderId="23" xfId="0" applyNumberFormat="1" applyFont="1" applyFill="1" applyBorder="1" applyAlignment="1">
      <alignment horizontal="right" vertical="center"/>
    </xf>
    <xf numFmtId="4" fontId="13" fillId="2" borderId="8" xfId="0" applyNumberFormat="1" applyFont="1" applyFill="1" applyBorder="1" applyAlignment="1">
      <alignment horizontal="right" vertical="center"/>
    </xf>
    <xf numFmtId="0" fontId="5" fillId="6" borderId="22" xfId="0" applyFont="1" applyFill="1" applyBorder="1" applyAlignment="1">
      <alignment horizontal="left" vertical="center"/>
    </xf>
    <xf numFmtId="4" fontId="10" fillId="6" borderId="23" xfId="0" applyNumberFormat="1" applyFont="1" applyFill="1" applyBorder="1" applyAlignment="1">
      <alignment horizontal="right" vertical="center"/>
    </xf>
    <xf numFmtId="0" fontId="11" fillId="2" borderId="18" xfId="0" applyFont="1" applyFill="1" applyBorder="1" applyAlignment="1">
      <alignment horizontal="left" vertical="center"/>
    </xf>
    <xf numFmtId="0" fontId="5" fillId="6" borderId="18" xfId="0" applyFont="1" applyFill="1" applyBorder="1" applyAlignment="1">
      <alignment horizontal="left" vertical="center"/>
    </xf>
    <xf numFmtId="4" fontId="10" fillId="6" borderId="0" xfId="0" applyNumberFormat="1" applyFont="1" applyFill="1" applyAlignment="1">
      <alignment horizontal="right" vertical="center"/>
    </xf>
    <xf numFmtId="4" fontId="10" fillId="6" borderId="8" xfId="0" applyNumberFormat="1" applyFont="1" applyFill="1" applyBorder="1" applyAlignment="1">
      <alignment horizontal="right" vertical="center"/>
    </xf>
    <xf numFmtId="4" fontId="13" fillId="6" borderId="0" xfId="0" applyNumberFormat="1" applyFont="1" applyFill="1" applyAlignment="1">
      <alignment horizontal="right" vertical="center"/>
    </xf>
    <xf numFmtId="0" fontId="13" fillId="6" borderId="0" xfId="0" applyFont="1" applyFill="1" applyAlignment="1">
      <alignment horizontal="right" vertical="center"/>
    </xf>
    <xf numFmtId="4" fontId="13" fillId="6" borderId="8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4" fontId="10" fillId="2" borderId="1" xfId="0" applyNumberFormat="1" applyFont="1" applyFill="1" applyBorder="1" applyAlignment="1">
      <alignment horizontal="right" vertical="center"/>
    </xf>
    <xf numFmtId="0" fontId="5" fillId="2" borderId="6" xfId="0" applyFont="1" applyFill="1" applyBorder="1">
      <alignment vertical="center"/>
    </xf>
    <xf numFmtId="14" fontId="8" fillId="3" borderId="3" xfId="0" applyNumberFormat="1" applyFont="1" applyFill="1" applyBorder="1" applyAlignment="1">
      <alignment horizontal="right" vertical="center"/>
    </xf>
    <xf numFmtId="14" fontId="8" fillId="3" borderId="4" xfId="0" applyNumberFormat="1" applyFont="1" applyFill="1" applyBorder="1" applyAlignment="1">
      <alignment horizontal="right" vertical="center"/>
    </xf>
    <xf numFmtId="10" fontId="10" fillId="2" borderId="8" xfId="0" applyNumberFormat="1" applyFont="1" applyFill="1" applyBorder="1" applyAlignment="1">
      <alignment horizontal="right" vertical="center"/>
    </xf>
    <xf numFmtId="0" fontId="11" fillId="2" borderId="24" xfId="0" applyFont="1" applyFill="1" applyBorder="1" applyAlignment="1">
      <alignment horizontal="left" vertical="center"/>
    </xf>
    <xf numFmtId="0" fontId="5" fillId="2" borderId="25" xfId="0" applyFont="1" applyFill="1" applyBorder="1">
      <alignment vertical="center"/>
    </xf>
    <xf numFmtId="0" fontId="10" fillId="6" borderId="8" xfId="0" applyFont="1" applyFill="1" applyBorder="1" applyAlignment="1">
      <alignment horizontal="right" vertical="center"/>
    </xf>
    <xf numFmtId="0" fontId="13" fillId="2" borderId="8" xfId="0" applyFont="1" applyFill="1" applyBorder="1" applyAlignment="1">
      <alignment horizontal="right" vertical="center"/>
    </xf>
    <xf numFmtId="10" fontId="10" fillId="2" borderId="1" xfId="0" applyNumberFormat="1" applyFont="1" applyFill="1" applyBorder="1" applyAlignment="1">
      <alignment horizontal="right" vertical="center"/>
    </xf>
    <xf numFmtId="10" fontId="10" fillId="2" borderId="6" xfId="0" applyNumberFormat="1" applyFont="1" applyFill="1" applyBorder="1" applyAlignment="1">
      <alignment horizontal="right" vertical="center"/>
    </xf>
    <xf numFmtId="0" fontId="21" fillId="3" borderId="2" xfId="0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22" fillId="2" borderId="24" xfId="0" applyFont="1" applyFill="1" applyBorder="1" applyAlignment="1">
      <alignment horizontal="left" vertical="center"/>
    </xf>
    <xf numFmtId="10" fontId="10" fillId="6" borderId="8" xfId="0" applyNumberFormat="1" applyFont="1" applyFill="1" applyBorder="1" applyAlignment="1">
      <alignment horizontal="right" vertical="center"/>
    </xf>
    <xf numFmtId="0" fontId="5" fillId="2" borderId="26" xfId="0" applyFont="1" applyFill="1" applyBorder="1" applyAlignment="1">
      <alignment horizontal="left" vertical="center"/>
    </xf>
    <xf numFmtId="10" fontId="10" fillId="2" borderId="27" xfId="0" applyNumberFormat="1" applyFont="1" applyFill="1" applyBorder="1" applyAlignment="1">
      <alignment horizontal="right" vertical="center"/>
    </xf>
    <xf numFmtId="2" fontId="10" fillId="2" borderId="8" xfId="0" applyNumberFormat="1" applyFont="1" applyFill="1" applyBorder="1" applyAlignment="1">
      <alignment horizontal="right" vertical="center"/>
    </xf>
    <xf numFmtId="2" fontId="13" fillId="2" borderId="27" xfId="0" applyNumberFormat="1" applyFont="1" applyFill="1" applyBorder="1" applyAlignment="1">
      <alignment horizontal="right" vertical="center"/>
    </xf>
    <xf numFmtId="0" fontId="5" fillId="6" borderId="28" xfId="0" applyFont="1" applyFill="1" applyBorder="1" applyAlignment="1">
      <alignment horizontal="left" vertical="center"/>
    </xf>
    <xf numFmtId="0" fontId="10" fillId="6" borderId="14" xfId="0" applyFont="1" applyFill="1" applyBorder="1" applyAlignment="1">
      <alignment horizontal="right" vertical="center"/>
    </xf>
    <xf numFmtId="0" fontId="10" fillId="2" borderId="27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3" fillId="2" borderId="6" xfId="0" applyFont="1" applyFill="1" applyBorder="1" applyAlignment="1">
      <alignment horizontal="right" vertical="center"/>
    </xf>
    <xf numFmtId="0" fontId="11" fillId="4" borderId="18" xfId="0" applyFont="1" applyFill="1" applyBorder="1" applyAlignment="1">
      <alignment horizontal="left" vertical="center"/>
    </xf>
    <xf numFmtId="10" fontId="9" fillId="4" borderId="0" xfId="0" applyNumberFormat="1" applyFont="1" applyFill="1" applyAlignment="1">
      <alignment horizontal="right" vertical="center"/>
    </xf>
    <xf numFmtId="0" fontId="9" fillId="4" borderId="8" xfId="0" applyFont="1" applyFill="1" applyBorder="1" applyAlignment="1">
      <alignment horizontal="right" vertical="center"/>
    </xf>
    <xf numFmtId="10" fontId="9" fillId="2" borderId="0" xfId="0" applyNumberFormat="1" applyFont="1" applyFill="1" applyAlignment="1">
      <alignment horizontal="right" vertical="center"/>
    </xf>
    <xf numFmtId="0" fontId="9" fillId="2" borderId="8" xfId="0" applyFont="1" applyFill="1" applyBorder="1" applyAlignment="1">
      <alignment horizontal="right" vertical="center"/>
    </xf>
    <xf numFmtId="10" fontId="9" fillId="2" borderId="8" xfId="0" applyNumberFormat="1" applyFont="1" applyFill="1" applyBorder="1" applyAlignment="1">
      <alignment horizontal="right" vertical="center"/>
    </xf>
    <xf numFmtId="4" fontId="13" fillId="2" borderId="23" xfId="0" applyNumberFormat="1" applyFont="1" applyFill="1" applyBorder="1" applyAlignment="1">
      <alignment horizontal="right" vertical="center"/>
    </xf>
    <xf numFmtId="0" fontId="11" fillId="6" borderId="18" xfId="0" applyFont="1" applyFill="1" applyBorder="1" applyAlignment="1">
      <alignment horizontal="left" vertical="center"/>
    </xf>
    <xf numFmtId="10" fontId="9" fillId="6" borderId="0" xfId="0" applyNumberFormat="1" applyFont="1" applyFill="1" applyAlignment="1">
      <alignment horizontal="right" vertical="center"/>
    </xf>
    <xf numFmtId="10" fontId="9" fillId="6" borderId="8" xfId="0" applyNumberFormat="1" applyFont="1" applyFill="1" applyBorder="1" applyAlignment="1">
      <alignment horizontal="right" vertical="center"/>
    </xf>
    <xf numFmtId="10" fontId="12" fillId="6" borderId="0" xfId="0" applyNumberFormat="1" applyFont="1" applyFill="1" applyAlignment="1">
      <alignment horizontal="right" vertical="center"/>
    </xf>
    <xf numFmtId="0" fontId="9" fillId="6" borderId="8" xfId="0" applyFont="1" applyFill="1" applyBorder="1" applyAlignment="1">
      <alignment horizontal="right" vertical="center"/>
    </xf>
    <xf numFmtId="10" fontId="12" fillId="2" borderId="0" xfId="0" applyNumberFormat="1" applyFont="1" applyFill="1" applyAlignment="1">
      <alignment horizontal="right" vertical="center"/>
    </xf>
    <xf numFmtId="0" fontId="5" fillId="5" borderId="18" xfId="0" applyFont="1" applyFill="1" applyBorder="1" applyAlignment="1">
      <alignment horizontal="left" vertical="center"/>
    </xf>
    <xf numFmtId="4" fontId="10" fillId="5" borderId="0" xfId="0" applyNumberFormat="1" applyFont="1" applyFill="1" applyAlignment="1">
      <alignment horizontal="right" vertical="center"/>
    </xf>
    <xf numFmtId="0" fontId="10" fillId="5" borderId="0" xfId="0" applyFont="1" applyFill="1" applyAlignment="1">
      <alignment horizontal="right" vertical="center"/>
    </xf>
    <xf numFmtId="0" fontId="10" fillId="5" borderId="8" xfId="0" applyFont="1" applyFill="1" applyBorder="1" applyAlignment="1">
      <alignment horizontal="right" vertical="center"/>
    </xf>
    <xf numFmtId="0" fontId="5" fillId="7" borderId="18" xfId="0" applyFont="1" applyFill="1" applyBorder="1" applyAlignment="1">
      <alignment horizontal="left" vertical="center"/>
    </xf>
    <xf numFmtId="178" fontId="10" fillId="7" borderId="0" xfId="0" applyNumberFormat="1" applyFont="1" applyFill="1" applyAlignment="1">
      <alignment horizontal="right" vertical="center"/>
    </xf>
    <xf numFmtId="178" fontId="10" fillId="7" borderId="8" xfId="0" applyNumberFormat="1" applyFont="1" applyFill="1" applyBorder="1" applyAlignment="1">
      <alignment horizontal="right" vertical="center"/>
    </xf>
    <xf numFmtId="177" fontId="11" fillId="0" borderId="1" xfId="1" applyNumberFormat="1" applyFont="1" applyBorder="1" applyAlignment="1">
      <alignment vertical="center"/>
    </xf>
    <xf numFmtId="177" fontId="5" fillId="0" borderId="8" xfId="1" applyNumberFormat="1" applyFont="1" applyBorder="1" applyAlignment="1">
      <alignment horizontal="right" vertical="center"/>
    </xf>
    <xf numFmtId="176" fontId="5" fillId="0" borderId="18" xfId="0" applyNumberFormat="1" applyFont="1" applyBorder="1" applyAlignment="1">
      <alignment horizontal="left" vertical="center"/>
    </xf>
    <xf numFmtId="176" fontId="24" fillId="0" borderId="18" xfId="0" applyNumberFormat="1" applyFont="1" applyBorder="1" applyAlignment="1">
      <alignment horizontal="left" vertical="center"/>
    </xf>
    <xf numFmtId="176" fontId="25" fillId="0" borderId="0" xfId="0" applyNumberFormat="1" applyFont="1" applyAlignment="1">
      <alignment horizontal="right" vertical="center"/>
    </xf>
    <xf numFmtId="177" fontId="24" fillId="0" borderId="0" xfId="1" applyNumberFormat="1" applyFont="1" applyBorder="1" applyAlignment="1">
      <alignment horizontal="right" vertical="center"/>
    </xf>
    <xf numFmtId="177" fontId="24" fillId="0" borderId="8" xfId="1" applyNumberFormat="1" applyFont="1" applyBorder="1" applyAlignment="1">
      <alignment horizontal="right" vertical="center"/>
    </xf>
    <xf numFmtId="176" fontId="5" fillId="0" borderId="0" xfId="0" applyNumberFormat="1" applyFont="1" applyAlignment="1">
      <alignment horizontal="right" vertical="center"/>
    </xf>
    <xf numFmtId="176" fontId="5" fillId="0" borderId="8" xfId="0" applyNumberFormat="1" applyFont="1" applyBorder="1" applyAlignment="1">
      <alignment horizontal="right" vertical="center"/>
    </xf>
    <xf numFmtId="176" fontId="5" fillId="0" borderId="18" xfId="0" applyNumberFormat="1" applyFont="1" applyBorder="1">
      <alignment vertical="center"/>
    </xf>
    <xf numFmtId="176" fontId="5" fillId="6" borderId="18" xfId="0" applyNumberFormat="1" applyFont="1" applyFill="1" applyBorder="1" applyAlignment="1">
      <alignment horizontal="left" vertical="center"/>
    </xf>
    <xf numFmtId="177" fontId="5" fillId="6" borderId="0" xfId="1" applyNumberFormat="1" applyFont="1" applyFill="1" applyBorder="1" applyAlignment="1">
      <alignment horizontal="right" vertical="center"/>
    </xf>
    <xf numFmtId="176" fontId="5" fillId="10" borderId="18" xfId="0" applyNumberFormat="1" applyFont="1" applyFill="1" applyBorder="1" applyAlignment="1">
      <alignment horizontal="left" vertical="center"/>
    </xf>
    <xf numFmtId="179" fontId="5" fillId="10" borderId="0" xfId="1" applyNumberFormat="1" applyFont="1" applyFill="1" applyBorder="1" applyAlignment="1">
      <alignment horizontal="right" vertical="center"/>
    </xf>
    <xf numFmtId="179" fontId="5" fillId="10" borderId="8" xfId="1" applyNumberFormat="1" applyFont="1" applyFill="1" applyBorder="1" applyAlignment="1">
      <alignment horizontal="right" vertical="center"/>
    </xf>
    <xf numFmtId="176" fontId="5" fillId="10" borderId="5" xfId="0" applyNumberFormat="1" applyFont="1" applyFill="1" applyBorder="1">
      <alignment vertical="center"/>
    </xf>
    <xf numFmtId="178" fontId="5" fillId="10" borderId="1" xfId="0" applyNumberFormat="1" applyFont="1" applyFill="1" applyBorder="1">
      <alignment vertical="center"/>
    </xf>
    <xf numFmtId="178" fontId="5" fillId="10" borderId="6" xfId="0" applyNumberFormat="1" applyFont="1" applyFill="1" applyBorder="1">
      <alignment vertical="center"/>
    </xf>
    <xf numFmtId="176" fontId="14" fillId="9" borderId="13" xfId="0" applyNumberFormat="1" applyFont="1" applyFill="1" applyBorder="1" applyAlignment="1">
      <alignment horizontal="left" vertical="center"/>
    </xf>
    <xf numFmtId="176" fontId="5" fillId="0" borderId="10" xfId="0" applyNumberFormat="1" applyFont="1" applyBorder="1" applyAlignment="1">
      <alignment horizontal="left" vertical="center"/>
    </xf>
    <xf numFmtId="176" fontId="5" fillId="0" borderId="9" xfId="0" applyNumberFormat="1" applyFont="1" applyBorder="1" applyAlignment="1">
      <alignment horizontal="left" vertical="center"/>
    </xf>
    <xf numFmtId="176" fontId="5" fillId="0" borderId="11" xfId="0" applyNumberFormat="1" applyFont="1" applyBorder="1" applyAlignment="1">
      <alignment horizontal="left" vertical="center"/>
    </xf>
    <xf numFmtId="176" fontId="5" fillId="0" borderId="4" xfId="0" applyNumberFormat="1" applyFont="1" applyBorder="1" applyAlignment="1">
      <alignment horizontal="right" vertical="center"/>
    </xf>
    <xf numFmtId="176" fontId="5" fillId="0" borderId="3" xfId="0" applyNumberFormat="1" applyFont="1" applyBorder="1" applyAlignment="1">
      <alignment horizontal="right" vertical="center"/>
    </xf>
    <xf numFmtId="178" fontId="5" fillId="0" borderId="6" xfId="0" applyNumberFormat="1" applyFont="1" applyBorder="1" applyAlignment="1">
      <alignment horizontal="right" vertical="center"/>
    </xf>
    <xf numFmtId="178" fontId="5" fillId="0" borderId="1" xfId="0" applyNumberFormat="1" applyFont="1" applyBorder="1" applyAlignment="1">
      <alignment horizontal="right" vertical="center"/>
    </xf>
    <xf numFmtId="10" fontId="5" fillId="0" borderId="8" xfId="1" applyNumberFormat="1" applyFont="1" applyBorder="1" applyAlignment="1">
      <alignment horizontal="right" vertical="center"/>
    </xf>
    <xf numFmtId="10" fontId="5" fillId="0" borderId="0" xfId="1" applyNumberFormat="1" applyFont="1" applyBorder="1" applyAlignment="1">
      <alignment horizontal="right" vertical="center"/>
    </xf>
    <xf numFmtId="10" fontId="5" fillId="0" borderId="12" xfId="1" applyNumberFormat="1" applyFont="1" applyBorder="1" applyAlignment="1">
      <alignment horizontal="right" vertical="center"/>
    </xf>
    <xf numFmtId="178" fontId="5" fillId="0" borderId="8" xfId="0" applyNumberFormat="1" applyFont="1" applyBorder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176" fontId="5" fillId="0" borderId="6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176" fontId="5" fillId="11" borderId="10" xfId="0" applyNumberFormat="1" applyFont="1" applyFill="1" applyBorder="1" applyAlignment="1">
      <alignment horizontal="left" vertical="center"/>
    </xf>
    <xf numFmtId="10" fontId="5" fillId="0" borderId="1" xfId="1" applyNumberFormat="1" applyFont="1" applyBorder="1" applyAlignment="1">
      <alignment horizontal="right" vertical="center"/>
    </xf>
    <xf numFmtId="10" fontId="5" fillId="0" borderId="6" xfId="1" applyNumberFormat="1" applyFont="1" applyBorder="1" applyAlignment="1">
      <alignment horizontal="right" vertical="center"/>
    </xf>
    <xf numFmtId="10" fontId="5" fillId="6" borderId="8" xfId="1" applyNumberFormat="1" applyFont="1" applyFill="1" applyBorder="1" applyAlignment="1">
      <alignment horizontal="right" vertical="center"/>
    </xf>
    <xf numFmtId="10" fontId="5" fillId="6" borderId="14" xfId="1" applyNumberFormat="1" applyFont="1" applyFill="1" applyBorder="1" applyAlignment="1">
      <alignment horizontal="right" vertical="center"/>
    </xf>
    <xf numFmtId="10" fontId="5" fillId="6" borderId="0" xfId="1" applyNumberFormat="1" applyFont="1" applyFill="1" applyBorder="1" applyAlignment="1">
      <alignment vertical="center"/>
    </xf>
    <xf numFmtId="10" fontId="5" fillId="6" borderId="1" xfId="1" applyNumberFormat="1" applyFont="1" applyFill="1" applyBorder="1" applyAlignment="1">
      <alignment vertical="center"/>
    </xf>
    <xf numFmtId="176" fontId="5" fillId="0" borderId="9" xfId="0" applyNumberFormat="1" applyFont="1" applyBorder="1">
      <alignment vertical="center"/>
    </xf>
    <xf numFmtId="176" fontId="5" fillId="0" borderId="15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left" vertical="center"/>
    </xf>
    <xf numFmtId="176" fontId="5" fillId="0" borderId="13" xfId="0" applyNumberFormat="1" applyFont="1" applyBorder="1">
      <alignment vertical="center"/>
    </xf>
    <xf numFmtId="10" fontId="5" fillId="6" borderId="6" xfId="1" applyNumberFormat="1" applyFont="1" applyFill="1" applyBorder="1" applyAlignment="1">
      <alignment horizontal="right" vertical="center"/>
    </xf>
    <xf numFmtId="176" fontId="5" fillId="6" borderId="10" xfId="0" applyNumberFormat="1" applyFont="1" applyFill="1" applyBorder="1" applyAlignment="1">
      <alignment horizontal="left" vertical="center"/>
    </xf>
    <xf numFmtId="176" fontId="11" fillId="0" borderId="0" xfId="0" applyNumberFormat="1" applyFont="1">
      <alignment vertical="center"/>
    </xf>
    <xf numFmtId="176" fontId="14" fillId="9" borderId="17" xfId="0" applyNumberFormat="1" applyFont="1" applyFill="1" applyBorder="1">
      <alignment vertical="center"/>
    </xf>
    <xf numFmtId="176" fontId="26" fillId="9" borderId="16" xfId="0" applyNumberFormat="1" applyFont="1" applyFill="1" applyBorder="1">
      <alignment vertical="center"/>
    </xf>
    <xf numFmtId="176" fontId="14" fillId="9" borderId="18" xfId="0" applyNumberFormat="1" applyFont="1" applyFill="1" applyBorder="1">
      <alignment vertical="center"/>
    </xf>
    <xf numFmtId="176" fontId="14" fillId="9" borderId="18" xfId="0" applyNumberFormat="1" applyFont="1" applyFill="1" applyBorder="1" applyAlignment="1">
      <alignment horizontal="center" vertical="center"/>
    </xf>
    <xf numFmtId="176" fontId="14" fillId="9" borderId="5" xfId="0" applyNumberFormat="1" applyFont="1" applyFill="1" applyBorder="1">
      <alignment vertical="center"/>
    </xf>
    <xf numFmtId="178" fontId="5" fillId="0" borderId="29" xfId="0" applyNumberFormat="1" applyFont="1" applyBorder="1" applyAlignment="1">
      <alignment horizontal="center" vertical="center"/>
    </xf>
    <xf numFmtId="178" fontId="5" fillId="0" borderId="30" xfId="0" applyNumberFormat="1" applyFont="1" applyBorder="1" applyAlignment="1">
      <alignment horizontal="center" vertical="center"/>
    </xf>
    <xf numFmtId="10" fontId="5" fillId="0" borderId="33" xfId="1" applyNumberFormat="1" applyFont="1" applyBorder="1" applyAlignment="1">
      <alignment vertical="center"/>
    </xf>
    <xf numFmtId="10" fontId="5" fillId="0" borderId="31" xfId="1" applyNumberFormat="1" applyFont="1" applyBorder="1" applyAlignment="1">
      <alignment vertical="center"/>
    </xf>
    <xf numFmtId="176" fontId="14" fillId="9" borderId="2" xfId="0" applyNumberFormat="1" applyFont="1" applyFill="1" applyBorder="1">
      <alignment vertical="center"/>
    </xf>
    <xf numFmtId="176" fontId="5" fillId="13" borderId="13" xfId="0" applyNumberFormat="1" applyFont="1" applyFill="1" applyBorder="1">
      <alignment vertical="center"/>
    </xf>
    <xf numFmtId="176" fontId="5" fillId="14" borderId="11" xfId="0" applyNumberFormat="1" applyFont="1" applyFill="1" applyBorder="1">
      <alignment vertical="center"/>
    </xf>
    <xf numFmtId="176" fontId="5" fillId="14" borderId="13" xfId="0" applyNumberFormat="1" applyFont="1" applyFill="1" applyBorder="1">
      <alignment vertical="center"/>
    </xf>
    <xf numFmtId="176" fontId="5" fillId="14" borderId="15" xfId="0" applyNumberFormat="1" applyFont="1" applyFill="1" applyBorder="1">
      <alignment vertical="center"/>
    </xf>
    <xf numFmtId="176" fontId="5" fillId="12" borderId="11" xfId="0" applyNumberFormat="1" applyFont="1" applyFill="1" applyBorder="1">
      <alignment vertical="center"/>
    </xf>
    <xf numFmtId="176" fontId="5" fillId="12" borderId="13" xfId="0" applyNumberFormat="1" applyFont="1" applyFill="1" applyBorder="1">
      <alignment vertical="center"/>
    </xf>
    <xf numFmtId="176" fontId="5" fillId="13" borderId="6" xfId="0" applyNumberFormat="1" applyFont="1" applyFill="1" applyBorder="1">
      <alignment vertical="center"/>
    </xf>
    <xf numFmtId="176" fontId="26" fillId="9" borderId="2" xfId="0" applyNumberFormat="1" applyFont="1" applyFill="1" applyBorder="1" applyAlignment="1">
      <alignment horizontal="left" vertical="center"/>
    </xf>
    <xf numFmtId="10" fontId="5" fillId="0" borderId="3" xfId="1" applyNumberFormat="1" applyFont="1" applyBorder="1" applyAlignment="1">
      <alignment vertical="center"/>
    </xf>
    <xf numFmtId="10" fontId="5" fillId="0" borderId="3" xfId="0" applyNumberFormat="1" applyFont="1" applyBorder="1">
      <alignment vertical="center"/>
    </xf>
    <xf numFmtId="10" fontId="5" fillId="0" borderId="4" xfId="1" applyNumberFormat="1" applyFont="1" applyBorder="1" applyAlignment="1">
      <alignment vertical="center"/>
    </xf>
    <xf numFmtId="176" fontId="26" fillId="9" borderId="18" xfId="0" applyNumberFormat="1" applyFont="1" applyFill="1" applyBorder="1" applyAlignment="1">
      <alignment horizontal="left" vertical="center"/>
    </xf>
    <xf numFmtId="176" fontId="26" fillId="9" borderId="18" xfId="0" applyNumberFormat="1" applyFont="1" applyFill="1" applyBorder="1">
      <alignment vertical="center"/>
    </xf>
    <xf numFmtId="178" fontId="5" fillId="0" borderId="8" xfId="0" applyNumberFormat="1" applyFont="1" applyBorder="1">
      <alignment vertical="center"/>
    </xf>
    <xf numFmtId="176" fontId="26" fillId="9" borderId="5" xfId="0" applyNumberFormat="1" applyFont="1" applyFill="1" applyBorder="1">
      <alignment vertical="center"/>
    </xf>
    <xf numFmtId="176" fontId="11" fillId="6" borderId="32" xfId="0" applyNumberFormat="1" applyFont="1" applyFill="1" applyBorder="1" applyAlignment="1">
      <alignment horizontal="center" vertical="center"/>
    </xf>
    <xf numFmtId="176" fontId="14" fillId="15" borderId="9" xfId="0" applyNumberFormat="1" applyFont="1" applyFill="1" applyBorder="1" applyAlignment="1">
      <alignment horizontal="left" vertical="center"/>
    </xf>
    <xf numFmtId="176" fontId="14" fillId="15" borderId="4" xfId="0" applyNumberFormat="1" applyFont="1" applyFill="1" applyBorder="1" applyAlignment="1">
      <alignment horizontal="right" vertical="center"/>
    </xf>
    <xf numFmtId="176" fontId="14" fillId="15" borderId="16" xfId="0" applyNumberFormat="1" applyFont="1" applyFill="1" applyBorder="1" applyAlignment="1">
      <alignment horizontal="right" vertical="center"/>
    </xf>
    <xf numFmtId="176" fontId="14" fillId="15" borderId="17" xfId="0" applyNumberFormat="1" applyFont="1" applyFill="1" applyBorder="1" applyAlignment="1">
      <alignment horizontal="right" vertical="center"/>
    </xf>
    <xf numFmtId="176" fontId="14" fillId="15" borderId="15" xfId="0" applyNumberFormat="1" applyFont="1" applyFill="1" applyBorder="1" applyAlignment="1">
      <alignment horizontal="right" vertical="center"/>
    </xf>
    <xf numFmtId="180" fontId="11" fillId="11" borderId="8" xfId="0" applyNumberFormat="1" applyFont="1" applyFill="1" applyBorder="1" applyAlignment="1">
      <alignment horizontal="right" vertical="center"/>
    </xf>
    <xf numFmtId="0" fontId="11" fillId="11" borderId="0" xfId="0" applyFont="1" applyFill="1" applyAlignment="1">
      <alignment horizontal="right" vertical="center"/>
    </xf>
    <xf numFmtId="0" fontId="14" fillId="9" borderId="13" xfId="0" applyFont="1" applyFill="1" applyBorder="1" applyAlignment="1">
      <alignment horizontal="center" vertical="center"/>
    </xf>
    <xf numFmtId="177" fontId="5" fillId="0" borderId="0" xfId="1" applyNumberFormat="1" applyFont="1" applyAlignment="1">
      <alignment horizontal="center" vertical="center"/>
    </xf>
    <xf numFmtId="176" fontId="27" fillId="0" borderId="13" xfId="0" applyNumberFormat="1" applyFont="1" applyBorder="1">
      <alignment vertical="center"/>
    </xf>
    <xf numFmtId="176" fontId="27" fillId="0" borderId="17" xfId="0" applyNumberFormat="1" applyFont="1" applyBorder="1">
      <alignment vertical="center"/>
    </xf>
    <xf numFmtId="176" fontId="27" fillId="0" borderId="17" xfId="0" applyNumberFormat="1" applyFont="1" applyBorder="1" applyAlignment="1">
      <alignment horizontal="right" vertical="center"/>
    </xf>
    <xf numFmtId="176" fontId="27" fillId="0" borderId="15" xfId="0" applyNumberFormat="1" applyFont="1" applyBorder="1" applyAlignment="1">
      <alignment horizontal="right" vertical="center"/>
    </xf>
    <xf numFmtId="176" fontId="14" fillId="15" borderId="10" xfId="0" applyNumberFormat="1" applyFont="1" applyFill="1" applyBorder="1" applyAlignment="1">
      <alignment horizontal="left" vertical="center"/>
    </xf>
    <xf numFmtId="10" fontId="14" fillId="15" borderId="8" xfId="1" applyNumberFormat="1" applyFont="1" applyFill="1" applyBorder="1" applyAlignment="1">
      <alignment horizontal="right" vertical="center"/>
    </xf>
    <xf numFmtId="10" fontId="14" fillId="15" borderId="0" xfId="1" applyNumberFormat="1" applyFont="1" applyFill="1" applyBorder="1" applyAlignment="1">
      <alignment horizontal="right" vertical="center"/>
    </xf>
    <xf numFmtId="10" fontId="5" fillId="0" borderId="29" xfId="1" applyNumberFormat="1" applyFont="1" applyBorder="1" applyAlignment="1">
      <alignment horizontal="center" vertical="center"/>
    </xf>
    <xf numFmtId="10" fontId="5" fillId="0" borderId="30" xfId="1" applyNumberFormat="1" applyFont="1" applyBorder="1" applyAlignment="1">
      <alignment horizontal="center" vertical="center"/>
    </xf>
    <xf numFmtId="178" fontId="5" fillId="0" borderId="6" xfId="0" applyNumberFormat="1" applyFont="1" applyBorder="1">
      <alignment vertical="center"/>
    </xf>
    <xf numFmtId="176" fontId="11" fillId="6" borderId="32" xfId="0" applyNumberFormat="1" applyFont="1" applyFill="1" applyBorder="1" applyAlignment="1">
      <alignment horizontal="center" vertical="center" wrapText="1"/>
    </xf>
    <xf numFmtId="10" fontId="5" fillId="0" borderId="33" xfId="1" applyNumberFormat="1" applyFont="1" applyBorder="1" applyAlignment="1">
      <alignment vertical="center" wrapText="1"/>
    </xf>
    <xf numFmtId="10" fontId="5" fillId="0" borderId="31" xfId="1" applyNumberFormat="1" applyFont="1" applyBorder="1" applyAlignment="1">
      <alignment vertical="center" wrapText="1"/>
    </xf>
    <xf numFmtId="10" fontId="5" fillId="0" borderId="29" xfId="1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vertical="center" wrapText="1"/>
    </xf>
    <xf numFmtId="176" fontId="5" fillId="0" borderId="11" xfId="0" applyNumberFormat="1" applyFont="1" applyBorder="1" applyAlignment="1">
      <alignment vertical="center" wrapText="1"/>
    </xf>
    <xf numFmtId="176" fontId="5" fillId="12" borderId="11" xfId="0" applyNumberFormat="1" applyFont="1" applyFill="1" applyBorder="1" applyAlignment="1">
      <alignment vertical="center" wrapText="1"/>
    </xf>
    <xf numFmtId="176" fontId="5" fillId="0" borderId="15" xfId="0" applyNumberFormat="1" applyFont="1" applyBorder="1" applyAlignment="1">
      <alignment vertical="center" wrapText="1"/>
    </xf>
    <xf numFmtId="176" fontId="5" fillId="0" borderId="13" xfId="0" applyNumberFormat="1" applyFont="1" applyBorder="1" applyAlignment="1">
      <alignment vertical="center" wrapText="1"/>
    </xf>
    <xf numFmtId="176" fontId="5" fillId="12" borderId="13" xfId="0" applyNumberFormat="1" applyFont="1" applyFill="1" applyBorder="1" applyAlignment="1">
      <alignment vertical="center" wrapText="1"/>
    </xf>
    <xf numFmtId="176" fontId="5" fillId="14" borderId="13" xfId="0" applyNumberFormat="1" applyFont="1" applyFill="1" applyBorder="1" applyAlignment="1">
      <alignment vertical="center" wrapText="1"/>
    </xf>
    <xf numFmtId="176" fontId="5" fillId="13" borderId="13" xfId="0" applyNumberFormat="1" applyFont="1" applyFill="1" applyBorder="1" applyAlignment="1">
      <alignment vertical="center" wrapText="1"/>
    </xf>
    <xf numFmtId="10" fontId="5" fillId="0" borderId="30" xfId="1" applyNumberFormat="1" applyFont="1" applyBorder="1" applyAlignment="1">
      <alignment horizontal="center" vertical="center" wrapText="1"/>
    </xf>
    <xf numFmtId="10" fontId="5" fillId="13" borderId="29" xfId="1" applyNumberFormat="1" applyFont="1" applyFill="1" applyBorder="1" applyAlignment="1">
      <alignment horizontal="center" vertical="center" wrapText="1"/>
    </xf>
    <xf numFmtId="10" fontId="5" fillId="13" borderId="31" xfId="1" applyNumberFormat="1" applyFont="1" applyFill="1" applyBorder="1" applyAlignment="1">
      <alignment vertical="center" wrapText="1"/>
    </xf>
    <xf numFmtId="10" fontId="5" fillId="13" borderId="33" xfId="1" applyNumberFormat="1" applyFont="1" applyFill="1" applyBorder="1" applyAlignment="1">
      <alignment vertical="center"/>
    </xf>
    <xf numFmtId="178" fontId="5" fillId="13" borderId="29" xfId="0" applyNumberFormat="1" applyFont="1" applyFill="1" applyBorder="1" applyAlignment="1">
      <alignment horizontal="center" vertical="center"/>
    </xf>
    <xf numFmtId="10" fontId="5" fillId="13" borderId="31" xfId="1" applyNumberFormat="1" applyFont="1" applyFill="1" applyBorder="1" applyAlignment="1">
      <alignment vertical="center"/>
    </xf>
    <xf numFmtId="10" fontId="5" fillId="13" borderId="29" xfId="1" applyNumberFormat="1" applyFont="1" applyFill="1" applyBorder="1" applyAlignment="1">
      <alignment horizontal="center" vertical="center"/>
    </xf>
    <xf numFmtId="10" fontId="14" fillId="9" borderId="18" xfId="1" applyNumberFormat="1" applyFont="1" applyFill="1" applyBorder="1" applyAlignment="1">
      <alignment horizontal="center" vertical="center"/>
    </xf>
    <xf numFmtId="177" fontId="5" fillId="0" borderId="5" xfId="1" applyNumberFormat="1" applyFont="1" applyBorder="1" applyAlignment="1">
      <alignment horizontal="right" vertical="center"/>
    </xf>
    <xf numFmtId="176" fontId="5" fillId="12" borderId="15" xfId="0" applyNumberFormat="1" applyFont="1" applyFill="1" applyBorder="1" applyAlignment="1">
      <alignment vertical="center" wrapText="1"/>
    </xf>
    <xf numFmtId="176" fontId="14" fillId="9" borderId="5" xfId="0" applyNumberFormat="1" applyFont="1" applyFill="1" applyBorder="1" applyAlignment="1">
      <alignment horizontal="center" vertical="center"/>
    </xf>
    <xf numFmtId="176" fontId="14" fillId="9" borderId="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3">
    <dxf>
      <fill>
        <gradientFill degree="45">
          <stop position="0">
            <color theme="0"/>
          </stop>
          <stop position="1">
            <color theme="7" tint="0.59999389629810485"/>
          </stop>
        </gradientFill>
      </fill>
    </dxf>
    <dxf>
      <fill>
        <gradientFill degree="45">
          <stop position="0">
            <color theme="0"/>
          </stop>
          <stop position="1">
            <color theme="7" tint="0.59999389629810485"/>
          </stop>
        </gradientFill>
      </fill>
    </dxf>
    <dxf>
      <fill>
        <gradientFill degree="45">
          <stop position="0">
            <color theme="0"/>
          </stop>
          <stop position="1">
            <color theme="7" tint="0.59999389629810485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257175</xdr:colOff>
      <xdr:row>164</xdr:row>
      <xdr:rowOff>152400</xdr:rowOff>
    </xdr:from>
    <xdr:to>
      <xdr:col>37</xdr:col>
      <xdr:colOff>237389</xdr:colOff>
      <xdr:row>197</xdr:row>
      <xdr:rowOff>115259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26870025"/>
          <a:ext cx="15105914" cy="687801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18</xdr:col>
      <xdr:colOff>179614</xdr:colOff>
      <xdr:row>151</xdr:row>
      <xdr:rowOff>172810</xdr:rowOff>
    </xdr:from>
    <xdr:to>
      <xdr:col>22</xdr:col>
      <xdr:colOff>84161</xdr:colOff>
      <xdr:row>160</xdr:row>
      <xdr:rowOff>1598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91689" y="24166285"/>
          <a:ext cx="3676447" cy="171473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22</xdr:col>
      <xdr:colOff>346982</xdr:colOff>
      <xdr:row>153</xdr:row>
      <xdr:rowOff>106135</xdr:rowOff>
    </xdr:from>
    <xdr:to>
      <xdr:col>26</xdr:col>
      <xdr:colOff>1366640</xdr:colOff>
      <xdr:row>160</xdr:row>
      <xdr:rowOff>30127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48839" y="9059635"/>
          <a:ext cx="3474389" cy="139084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158582</xdr:colOff>
      <xdr:row>2</xdr:row>
      <xdr:rowOff>138704</xdr:rowOff>
    </xdr:from>
    <xdr:to>
      <xdr:col>16</xdr:col>
      <xdr:colOff>1076133</xdr:colOff>
      <xdr:row>5</xdr:row>
      <xdr:rowOff>110213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60182" y="662579"/>
          <a:ext cx="4180402" cy="600159"/>
        </a:xfrm>
        <a:prstGeom prst="rect">
          <a:avLst/>
        </a:prstGeom>
      </xdr:spPr>
    </xdr:pic>
    <xdr:clientData/>
  </xdr:twoCellAnchor>
  <xdr:twoCellAnchor editAs="oneCell">
    <xdr:from>
      <xdr:col>3</xdr:col>
      <xdr:colOff>73685</xdr:colOff>
      <xdr:row>2</xdr:row>
      <xdr:rowOff>138704</xdr:rowOff>
    </xdr:from>
    <xdr:to>
      <xdr:col>4</xdr:col>
      <xdr:colOff>1699923</xdr:colOff>
      <xdr:row>5</xdr:row>
      <xdr:rowOff>91160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585" y="662579"/>
          <a:ext cx="4432558" cy="581106"/>
        </a:xfrm>
        <a:prstGeom prst="rect">
          <a:avLst/>
        </a:prstGeom>
      </xdr:spPr>
    </xdr:pic>
    <xdr:clientData/>
  </xdr:twoCellAnchor>
  <xdr:twoCellAnchor editAs="oneCell">
    <xdr:from>
      <xdr:col>5</xdr:col>
      <xdr:colOff>73685</xdr:colOff>
      <xdr:row>2</xdr:row>
      <xdr:rowOff>138704</xdr:rowOff>
    </xdr:from>
    <xdr:to>
      <xdr:col>11</xdr:col>
      <xdr:colOff>1743768</xdr:colOff>
      <xdr:row>5</xdr:row>
      <xdr:rowOff>157844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45735" y="662579"/>
          <a:ext cx="7092731" cy="647790"/>
        </a:xfrm>
        <a:prstGeom prst="rect">
          <a:avLst/>
        </a:prstGeom>
      </xdr:spPr>
    </xdr:pic>
    <xdr:clientData/>
  </xdr:twoCellAnchor>
  <xdr:twoCellAnchor editAs="oneCell">
    <xdr:from>
      <xdr:col>3</xdr:col>
      <xdr:colOff>73685</xdr:colOff>
      <xdr:row>6</xdr:row>
      <xdr:rowOff>92765</xdr:rowOff>
    </xdr:from>
    <xdr:to>
      <xdr:col>3</xdr:col>
      <xdr:colOff>1150160</xdr:colOff>
      <xdr:row>9</xdr:row>
      <xdr:rowOff>45221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585" y="1454840"/>
          <a:ext cx="1076475" cy="581106"/>
        </a:xfrm>
        <a:prstGeom prst="rect">
          <a:avLst/>
        </a:prstGeom>
      </xdr:spPr>
    </xdr:pic>
    <xdr:clientData/>
  </xdr:twoCellAnchor>
  <xdr:twoCellAnchor editAs="oneCell">
    <xdr:from>
      <xdr:col>3</xdr:col>
      <xdr:colOff>1381125</xdr:colOff>
      <xdr:row>6</xdr:row>
      <xdr:rowOff>88002</xdr:rowOff>
    </xdr:from>
    <xdr:to>
      <xdr:col>4</xdr:col>
      <xdr:colOff>1689915</xdr:colOff>
      <xdr:row>9</xdr:row>
      <xdr:rowOff>49984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24025" y="1450077"/>
          <a:ext cx="3115110" cy="590632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6</xdr:row>
      <xdr:rowOff>121344</xdr:rowOff>
    </xdr:from>
    <xdr:to>
      <xdr:col>9</xdr:col>
      <xdr:colOff>805066</xdr:colOff>
      <xdr:row>9</xdr:row>
      <xdr:rowOff>16642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48250" y="1483419"/>
          <a:ext cx="4344006" cy="523948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6</xdr:row>
      <xdr:rowOff>92765</xdr:rowOff>
    </xdr:from>
    <xdr:to>
      <xdr:col>13</xdr:col>
      <xdr:colOff>488110</xdr:colOff>
      <xdr:row>9</xdr:row>
      <xdr:rowOff>45221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96450" y="1454840"/>
          <a:ext cx="4686954" cy="58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509626</xdr:colOff>
      <xdr:row>1</xdr:row>
      <xdr:rowOff>310563</xdr:rowOff>
    </xdr:from>
    <xdr:to>
      <xdr:col>25</xdr:col>
      <xdr:colOff>173608</xdr:colOff>
      <xdr:row>19</xdr:row>
      <xdr:rowOff>11396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716508" y="523475"/>
          <a:ext cx="6454747" cy="344359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916081</xdr:colOff>
      <xdr:row>17</xdr:row>
      <xdr:rowOff>203946</xdr:rowOff>
    </xdr:from>
    <xdr:to>
      <xdr:col>13</xdr:col>
      <xdr:colOff>781401</xdr:colOff>
      <xdr:row>20</xdr:row>
      <xdr:rowOff>259500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7963" y="3733799"/>
          <a:ext cx="4168379" cy="604642"/>
        </a:xfrm>
        <a:prstGeom prst="rect">
          <a:avLst/>
        </a:prstGeom>
      </xdr:spPr>
    </xdr:pic>
    <xdr:clientData/>
  </xdr:twoCellAnchor>
  <xdr:twoCellAnchor editAs="oneCell">
    <xdr:from>
      <xdr:col>33</xdr:col>
      <xdr:colOff>358588</xdr:colOff>
      <xdr:row>164</xdr:row>
      <xdr:rowOff>156882</xdr:rowOff>
    </xdr:from>
    <xdr:to>
      <xdr:col>58</xdr:col>
      <xdr:colOff>453721</xdr:colOff>
      <xdr:row>197</xdr:row>
      <xdr:rowOff>113592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415941" y="27230294"/>
          <a:ext cx="15223074" cy="698279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G316"/>
  <sheetViews>
    <sheetView showGridLines="0" tabSelected="1" zoomScale="85" zoomScaleNormal="85" workbookViewId="0">
      <selection activeCell="G15" sqref="G15"/>
    </sheetView>
  </sheetViews>
  <sheetFormatPr defaultRowHeight="17.100000000000001" customHeight="1" outlineLevelRow="1" x14ac:dyDescent="0.2"/>
  <cols>
    <col min="1" max="2" width="1.7109375" style="11" customWidth="1"/>
    <col min="3" max="3" width="1.7109375" style="17" customWidth="1"/>
    <col min="4" max="4" width="42.28515625" style="11" customWidth="1"/>
    <col min="5" max="5" width="41" style="11" bestFit="1" customWidth="1"/>
    <col min="6" max="9" width="13.5703125" style="11" customWidth="1"/>
    <col min="10" max="10" width="13.28515625" style="11" customWidth="1"/>
    <col min="11" max="11" width="14.140625" style="11" customWidth="1"/>
    <col min="12" max="12" width="36.7109375" style="11" customWidth="1"/>
    <col min="13" max="13" width="13.85546875" style="11" customWidth="1"/>
    <col min="14" max="14" width="14.140625" style="11" customWidth="1"/>
    <col min="15" max="15" width="13.5703125" style="11" customWidth="1"/>
    <col min="16" max="16" width="21.140625" style="11" customWidth="1"/>
    <col min="17" max="17" width="18.42578125" style="11" bestFit="1" customWidth="1"/>
    <col min="18" max="18" width="18.140625" style="11" bestFit="1" customWidth="1"/>
    <col min="19" max="19" width="17.85546875" style="11" bestFit="1" customWidth="1"/>
    <col min="20" max="20" width="17" style="11" bestFit="1" customWidth="1"/>
    <col min="21" max="21" width="12.140625" style="11" bestFit="1" customWidth="1"/>
    <col min="22" max="22" width="9.5703125" style="11" bestFit="1" customWidth="1"/>
    <col min="23" max="26" width="9.140625" style="11"/>
    <col min="27" max="27" width="42.28515625" style="11" customWidth="1"/>
    <col min="28" max="16384" width="9.140625" style="11"/>
  </cols>
  <sheetData>
    <row r="2" spans="3:16" ht="24.95" customHeight="1" x14ac:dyDescent="0.2">
      <c r="C2" s="8" t="s">
        <v>157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3:16" ht="17.100000000000001" customHeight="1" x14ac:dyDescent="0.2">
      <c r="C3" s="12"/>
      <c r="P3" s="13"/>
    </row>
    <row r="4" spans="3:16" ht="17.100000000000001" customHeight="1" x14ac:dyDescent="0.2">
      <c r="C4" s="12"/>
      <c r="P4" s="13"/>
    </row>
    <row r="5" spans="3:16" ht="17.100000000000001" customHeight="1" x14ac:dyDescent="0.2">
      <c r="C5" s="12"/>
      <c r="P5" s="13"/>
    </row>
    <row r="6" spans="3:16" ht="17.100000000000001" customHeight="1" x14ac:dyDescent="0.2">
      <c r="C6" s="12"/>
      <c r="P6" s="13"/>
    </row>
    <row r="7" spans="3:16" ht="17.100000000000001" customHeight="1" x14ac:dyDescent="0.2">
      <c r="C7" s="12"/>
      <c r="P7" s="13"/>
    </row>
    <row r="8" spans="3:16" ht="17.100000000000001" customHeight="1" x14ac:dyDescent="0.2">
      <c r="C8" s="12"/>
      <c r="P8" s="13"/>
    </row>
    <row r="9" spans="3:16" ht="17.100000000000001" customHeight="1" x14ac:dyDescent="0.2">
      <c r="C9" s="12"/>
      <c r="P9" s="13"/>
    </row>
    <row r="10" spans="3:16" ht="17.100000000000001" customHeight="1" x14ac:dyDescent="0.2"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 spans="3:16" ht="8.25" customHeight="1" x14ac:dyDescent="0.2"/>
    <row r="12" spans="3:16" ht="24.95" customHeight="1" x14ac:dyDescent="0.2">
      <c r="C12" s="8" t="s">
        <v>158</v>
      </c>
      <c r="D12" s="9"/>
      <c r="E12" s="10"/>
    </row>
    <row r="13" spans="3:16" ht="3" customHeight="1" x14ac:dyDescent="0.2">
      <c r="C13" s="18"/>
      <c r="D13" s="19"/>
      <c r="E13" s="20"/>
    </row>
    <row r="14" spans="3:16" ht="17.100000000000001" customHeight="1" x14ac:dyDescent="0.2">
      <c r="C14" s="12"/>
      <c r="D14" s="30" t="s">
        <v>159</v>
      </c>
      <c r="E14" s="31" t="s">
        <v>160</v>
      </c>
      <c r="H14" s="28"/>
      <c r="I14" s="28"/>
    </row>
    <row r="15" spans="3:16" ht="17.100000000000001" customHeight="1" x14ac:dyDescent="0.2">
      <c r="C15" s="12"/>
      <c r="D15" s="21" t="s">
        <v>294</v>
      </c>
      <c r="E15" s="13" t="s">
        <v>161</v>
      </c>
      <c r="I15" s="28"/>
    </row>
    <row r="16" spans="3:16" ht="17.100000000000001" customHeight="1" x14ac:dyDescent="0.2">
      <c r="C16" s="12"/>
      <c r="D16" s="21" t="s">
        <v>295</v>
      </c>
      <c r="E16" s="13" t="s">
        <v>162</v>
      </c>
    </row>
    <row r="17" spans="3:19" ht="17.100000000000001" customHeight="1" x14ac:dyDescent="0.2">
      <c r="C17" s="12"/>
      <c r="D17" s="21" t="s">
        <v>296</v>
      </c>
      <c r="E17" s="13" t="s">
        <v>163</v>
      </c>
    </row>
    <row r="18" spans="3:19" ht="17.100000000000001" customHeight="1" x14ac:dyDescent="0.2">
      <c r="C18" s="12"/>
      <c r="D18" s="22" t="s">
        <v>297</v>
      </c>
      <c r="E18" s="16" t="s">
        <v>164</v>
      </c>
    </row>
    <row r="19" spans="3:19" ht="17.100000000000001" customHeight="1" x14ac:dyDescent="0.2">
      <c r="C19" s="14"/>
      <c r="D19" s="15"/>
      <c r="E19" s="16"/>
    </row>
    <row r="20" spans="3:19" ht="9.75" customHeight="1" x14ac:dyDescent="0.2"/>
    <row r="21" spans="3:19" ht="24.95" customHeight="1" x14ac:dyDescent="0.2">
      <c r="C21" s="8" t="s">
        <v>165</v>
      </c>
      <c r="D21" s="9"/>
      <c r="E21" s="10"/>
      <c r="F21" s="10"/>
      <c r="G21" s="10"/>
      <c r="H21" s="10"/>
      <c r="I21" s="10"/>
      <c r="J21" s="10"/>
    </row>
    <row r="22" spans="3:19" ht="9" customHeight="1" x14ac:dyDescent="0.2">
      <c r="C22" s="12"/>
      <c r="J22" s="13"/>
    </row>
    <row r="23" spans="3:19" ht="17.100000000000001" customHeight="1" x14ac:dyDescent="0.2">
      <c r="C23" s="12"/>
      <c r="D23" s="42" t="s">
        <v>166</v>
      </c>
      <c r="E23" s="33">
        <v>45536</v>
      </c>
      <c r="F23" s="34" t="s">
        <v>341</v>
      </c>
      <c r="H23" s="42" t="s">
        <v>166</v>
      </c>
      <c r="I23" s="59">
        <v>2023</v>
      </c>
      <c r="J23" s="60">
        <v>2024</v>
      </c>
      <c r="L23" s="150" t="s">
        <v>318</v>
      </c>
      <c r="M23" s="212">
        <v>2024</v>
      </c>
      <c r="N23" s="212">
        <f>M23+1</f>
        <v>2025</v>
      </c>
      <c r="O23" s="212">
        <f t="shared" ref="O23:R23" si="0">N23+1</f>
        <v>2026</v>
      </c>
      <c r="P23" s="212">
        <f t="shared" si="0"/>
        <v>2027</v>
      </c>
      <c r="Q23" s="212">
        <f t="shared" si="0"/>
        <v>2028</v>
      </c>
      <c r="R23" s="212">
        <f t="shared" si="0"/>
        <v>2029</v>
      </c>
    </row>
    <row r="24" spans="3:19" ht="17.100000000000001" customHeight="1" x14ac:dyDescent="0.2">
      <c r="C24" s="12"/>
      <c r="D24" s="21" t="s">
        <v>4</v>
      </c>
      <c r="E24" s="35">
        <v>1.71</v>
      </c>
      <c r="F24" s="36"/>
      <c r="H24" s="152" t="s">
        <v>151</v>
      </c>
      <c r="I24" s="139">
        <f>N195</f>
        <v>591.36</v>
      </c>
      <c r="J24" s="140">
        <f>O195</f>
        <v>964.01</v>
      </c>
      <c r="L24" s="165" t="s">
        <v>321</v>
      </c>
      <c r="M24" s="210" t="s">
        <v>342</v>
      </c>
      <c r="N24" s="211" t="s">
        <v>343</v>
      </c>
      <c r="O24" s="211" t="s">
        <v>343</v>
      </c>
      <c r="P24" s="211" t="s">
        <v>343</v>
      </c>
      <c r="Q24" s="211" t="s">
        <v>343</v>
      </c>
      <c r="R24" s="211" t="s">
        <v>343</v>
      </c>
    </row>
    <row r="25" spans="3:19" ht="17.100000000000001" customHeight="1" thickBot="1" x14ac:dyDescent="0.25">
      <c r="C25" s="12"/>
      <c r="D25" s="21" t="s">
        <v>6</v>
      </c>
      <c r="E25" s="159">
        <f>O144</f>
        <v>0.05</v>
      </c>
      <c r="F25" s="168">
        <v>3.5999999999999997E-2</v>
      </c>
      <c r="H25" s="151" t="s">
        <v>152</v>
      </c>
      <c r="I25" s="162">
        <f>N183</f>
        <v>3.84</v>
      </c>
      <c r="J25" s="161">
        <f>O183</f>
        <v>4.3600000000000003</v>
      </c>
      <c r="L25" s="177" t="s">
        <v>124</v>
      </c>
      <c r="M25" s="38">
        <f>E26</f>
        <v>2.9000000000000001E-2</v>
      </c>
      <c r="N25" s="143">
        <f>M25*$S$25</f>
        <v>3.1663644512896681E-2</v>
      </c>
      <c r="O25" s="143">
        <f>N25*$S$25</f>
        <v>3.4571944270313522E-2</v>
      </c>
      <c r="P25" s="143">
        <f>O25*$S$25</f>
        <v>3.7747370810168365E-2</v>
      </c>
      <c r="Q25" s="143">
        <f>P25*$S$25</f>
        <v>4.121445967688496E-2</v>
      </c>
      <c r="R25" s="38">
        <f>F26</f>
        <v>4.4999999999999998E-2</v>
      </c>
      <c r="S25" s="23">
        <f>(R25/M25)^(1/5)</f>
        <v>1.0918498107895407</v>
      </c>
    </row>
    <row r="26" spans="3:19" s="1" customFormat="1" ht="17.100000000000001" customHeight="1" thickBot="1" x14ac:dyDescent="0.25">
      <c r="C26" s="41"/>
      <c r="D26" s="43" t="s">
        <v>0</v>
      </c>
      <c r="E26" s="160">
        <f>O173</f>
        <v>2.9000000000000001E-2</v>
      </c>
      <c r="F26" s="169">
        <v>4.4999999999999998E-2</v>
      </c>
      <c r="H26" s="151" t="s">
        <v>153</v>
      </c>
      <c r="I26" s="159">
        <f>N184</f>
        <v>0.13600000000000001</v>
      </c>
      <c r="J26" s="158">
        <f>O184</f>
        <v>0.13500000000000001</v>
      </c>
      <c r="L26" s="152" t="s">
        <v>5</v>
      </c>
      <c r="M26" s="154">
        <f>O142</f>
        <v>254453</v>
      </c>
      <c r="N26" s="155">
        <f>O142*(1+$F$25)</f>
        <v>263613.30800000002</v>
      </c>
      <c r="O26" s="155">
        <f>N26*(1+$F$25)</f>
        <v>273103.38708800002</v>
      </c>
      <c r="P26" s="155">
        <f>O26*(1+$F$25)</f>
        <v>282935.10902316804</v>
      </c>
      <c r="Q26" s="155">
        <f>P26*(1+$F$25)</f>
        <v>293120.77294800209</v>
      </c>
      <c r="R26" s="154">
        <f>Q26*(1+$F$25)</f>
        <v>303673.12077413016</v>
      </c>
      <c r="S26" s="213">
        <f>(R25/M25)^(1/5)-1</f>
        <v>9.1849810789540687E-2</v>
      </c>
    </row>
    <row r="27" spans="3:19" s="1" customFormat="1" ht="17.100000000000001" customHeight="1" x14ac:dyDescent="0.2">
      <c r="C27" s="41"/>
      <c r="D27" s="21" t="s">
        <v>5</v>
      </c>
      <c r="E27" s="39">
        <f>O142</f>
        <v>254453</v>
      </c>
      <c r="F27" s="36"/>
      <c r="H27" s="153" t="s">
        <v>154</v>
      </c>
      <c r="I27" s="166">
        <f>I25/I24+I26</f>
        <v>0.14249350649350651</v>
      </c>
      <c r="J27" s="176">
        <f>J25/J24+J26</f>
        <v>0.13952277466001392</v>
      </c>
      <c r="L27" s="151" t="s">
        <v>129</v>
      </c>
      <c r="M27" s="140">
        <f>O171</f>
        <v>7367</v>
      </c>
      <c r="N27" s="139">
        <f>N26*N25</f>
        <v>8346.9580733807434</v>
      </c>
      <c r="O27" s="139">
        <f>O26*O25</f>
        <v>9441.7150784401983</v>
      </c>
      <c r="P27" s="139">
        <f>P26*P25</f>
        <v>10680.056475512938</v>
      </c>
      <c r="Q27" s="139">
        <f>Q26*Q25</f>
        <v>12080.814277122783</v>
      </c>
      <c r="R27" s="140">
        <f>R26*R25</f>
        <v>13665.290434835857</v>
      </c>
      <c r="S27" s="11"/>
    </row>
    <row r="28" spans="3:19" s="1" customFormat="1" ht="17.100000000000001" customHeight="1" thickBot="1" x14ac:dyDescent="0.25">
      <c r="C28" s="41"/>
      <c r="D28" s="21" t="s">
        <v>325</v>
      </c>
      <c r="E28" s="39">
        <f>O242</f>
        <v>23622</v>
      </c>
      <c r="F28" s="36"/>
      <c r="J28" s="2"/>
      <c r="L28" s="151" t="str">
        <f>D28</f>
        <v>BV of Equity</v>
      </c>
      <c r="M28" s="140">
        <f>E28</f>
        <v>23622</v>
      </c>
      <c r="N28" s="139">
        <f>M28*(1+$S$28)</f>
        <v>25171.276847915469</v>
      </c>
      <c r="O28" s="139">
        <f>N28*(1+$S$28)</f>
        <v>26822.164852866197</v>
      </c>
      <c r="P28" s="139">
        <f>O28*(1+$S$28)</f>
        <v>28581.328302934679</v>
      </c>
      <c r="Q28" s="139">
        <f>P28*(1+$S$28)</f>
        <v>30455.868571430481</v>
      </c>
      <c r="R28" s="140">
        <f>Q28*(1+$S$28)</f>
        <v>32453.352783642556</v>
      </c>
      <c r="S28" s="24">
        <f>Q242</f>
        <v>6.5586184400790337E-2</v>
      </c>
    </row>
    <row r="29" spans="3:19" ht="17.100000000000001" customHeight="1" thickBot="1" x14ac:dyDescent="0.25">
      <c r="C29" s="12"/>
      <c r="D29" s="43" t="s">
        <v>326</v>
      </c>
      <c r="E29" s="29">
        <f>E27/E28</f>
        <v>10.771865210397088</v>
      </c>
      <c r="F29" s="40" t="s">
        <v>1</v>
      </c>
      <c r="J29" s="13"/>
      <c r="L29" s="153" t="str">
        <f>D29</f>
        <v>Equity Turnover(Sales/BV of Equity)</v>
      </c>
      <c r="M29" s="156">
        <f>M26/M28</f>
        <v>10.771865210397088</v>
      </c>
      <c r="N29" s="157">
        <f t="shared" ref="N29:R29" si="1">N26/N28</f>
        <v>10.472782512891509</v>
      </c>
      <c r="O29" s="157">
        <f t="shared" si="1"/>
        <v>10.182003898123696</v>
      </c>
      <c r="P29" s="157">
        <f t="shared" si="1"/>
        <v>9.8992988018026011</v>
      </c>
      <c r="Q29" s="157">
        <f t="shared" si="1"/>
        <v>9.6244430612945244</v>
      </c>
      <c r="R29" s="156">
        <f t="shared" si="1"/>
        <v>9.3572187378799985</v>
      </c>
      <c r="S29" s="23"/>
    </row>
    <row r="30" spans="3:19" ht="17.100000000000001" customHeight="1" x14ac:dyDescent="0.2">
      <c r="C30" s="12"/>
      <c r="D30" s="21" t="s">
        <v>2</v>
      </c>
      <c r="E30" s="159">
        <f>O186</f>
        <v>0.32400000000000001</v>
      </c>
      <c r="F30" s="168">
        <f>E30</f>
        <v>0.32400000000000001</v>
      </c>
      <c r="H30" s="42" t="s">
        <v>323</v>
      </c>
      <c r="I30" s="59"/>
      <c r="J30" s="60"/>
      <c r="L30" s="151" t="s">
        <v>128</v>
      </c>
      <c r="M30" s="140">
        <f>M27*M31</f>
        <v>2386.9079999999999</v>
      </c>
      <c r="N30" s="139">
        <f t="shared" ref="N30:R30" si="2">N27*N31</f>
        <v>2704.4144157753608</v>
      </c>
      <c r="O30" s="139">
        <f t="shared" si="2"/>
        <v>3059.1156854146243</v>
      </c>
      <c r="P30" s="139">
        <f t="shared" si="2"/>
        <v>3460.3382980661922</v>
      </c>
      <c r="Q30" s="139">
        <f t="shared" si="2"/>
        <v>3914.1838257877816</v>
      </c>
      <c r="R30" s="140">
        <f t="shared" si="2"/>
        <v>4427.5541008868177</v>
      </c>
    </row>
    <row r="31" spans="3:19" ht="17.100000000000001" customHeight="1" x14ac:dyDescent="0.2">
      <c r="C31" s="12"/>
      <c r="D31" s="44" t="s">
        <v>3</v>
      </c>
      <c r="E31" s="166">
        <f>1-E30</f>
        <v>0.67599999999999993</v>
      </c>
      <c r="F31" s="167">
        <f t="shared" ref="F31" si="3">1-F30</f>
        <v>0.67599999999999993</v>
      </c>
      <c r="H31" s="141"/>
      <c r="J31" s="13"/>
      <c r="L31" s="151" t="str">
        <f>D30</f>
        <v>배당성향</v>
      </c>
      <c r="M31" s="158">
        <f>E30</f>
        <v>0.32400000000000001</v>
      </c>
      <c r="N31" s="159">
        <f>M31*$S$31</f>
        <v>0.32400000000000001</v>
      </c>
      <c r="O31" s="159">
        <f>N31*$S$31</f>
        <v>0.32400000000000001</v>
      </c>
      <c r="P31" s="159">
        <f>O31*$S$31</f>
        <v>0.32400000000000001</v>
      </c>
      <c r="Q31" s="159">
        <f>P31*$S$31</f>
        <v>0.32400000000000001</v>
      </c>
      <c r="R31" s="158">
        <f>Q31*$S$31</f>
        <v>0.32400000000000001</v>
      </c>
      <c r="S31" s="23">
        <f>(F30/M31)^(1/5)</f>
        <v>1</v>
      </c>
    </row>
    <row r="32" spans="3:19" ht="17.100000000000001" customHeight="1" x14ac:dyDescent="0.2">
      <c r="C32" s="12"/>
      <c r="D32" s="172" t="s">
        <v>319</v>
      </c>
      <c r="E32" s="170">
        <f>AVERAGE(M178:O178)</f>
        <v>0.13766666666666669</v>
      </c>
      <c r="F32" s="13"/>
      <c r="H32" s="141" t="s">
        <v>324</v>
      </c>
      <c r="J32" s="13"/>
      <c r="L32" s="151" t="str">
        <f>D31</f>
        <v>유보율</v>
      </c>
      <c r="M32" s="158">
        <f>E31</f>
        <v>0.67599999999999993</v>
      </c>
      <c r="N32" s="159">
        <f>1-N31</f>
        <v>0.67599999999999993</v>
      </c>
      <c r="O32" s="159">
        <f t="shared" ref="O32:R32" si="4">1-O31</f>
        <v>0.67599999999999993</v>
      </c>
      <c r="P32" s="159">
        <f t="shared" si="4"/>
        <v>0.67599999999999993</v>
      </c>
      <c r="Q32" s="159">
        <f t="shared" si="4"/>
        <v>0.67599999999999993</v>
      </c>
      <c r="R32" s="158">
        <f t="shared" si="4"/>
        <v>0.67599999999999993</v>
      </c>
    </row>
    <row r="33" spans="3:20" ht="17.100000000000001" customHeight="1" x14ac:dyDescent="0.2">
      <c r="C33" s="12"/>
      <c r="D33" s="44" t="s">
        <v>322</v>
      </c>
      <c r="E33" s="171">
        <f>E30*E26*(1+E32)/M36+E32</f>
        <v>0.14391784561403512</v>
      </c>
      <c r="F33" s="16"/>
      <c r="H33" s="26"/>
      <c r="I33" s="15"/>
      <c r="J33" s="16"/>
      <c r="L33" s="151" t="s">
        <v>155</v>
      </c>
      <c r="M33" s="140">
        <f>M27-M30</f>
        <v>4980.0920000000006</v>
      </c>
      <c r="N33" s="139">
        <f t="shared" ref="N33:R33" si="5">N27-N30</f>
        <v>5642.5436576053826</v>
      </c>
      <c r="O33" s="139">
        <f t="shared" si="5"/>
        <v>6382.5993930255736</v>
      </c>
      <c r="P33" s="139">
        <f t="shared" si="5"/>
        <v>7219.7181774467463</v>
      </c>
      <c r="Q33" s="139">
        <f t="shared" si="5"/>
        <v>8166.6304513350015</v>
      </c>
      <c r="R33" s="140">
        <f t="shared" si="5"/>
        <v>9237.7363339490403</v>
      </c>
    </row>
    <row r="34" spans="3:20" ht="21" customHeight="1" x14ac:dyDescent="0.2">
      <c r="C34" s="14"/>
      <c r="D34" s="15"/>
      <c r="E34" s="15"/>
      <c r="F34" s="15"/>
      <c r="G34" s="15"/>
      <c r="H34" s="15"/>
      <c r="I34" s="15"/>
      <c r="J34" s="16"/>
      <c r="L34" s="218" t="s">
        <v>319</v>
      </c>
      <c r="M34" s="219">
        <f>E32</f>
        <v>0.13766666666666669</v>
      </c>
      <c r="N34" s="220">
        <f>N27/M27-1</f>
        <v>0.1330199638089784</v>
      </c>
      <c r="O34" s="220">
        <f t="shared" ref="O34:R34" si="6">O27/N27-1</f>
        <v>0.13115640397796424</v>
      </c>
      <c r="P34" s="220">
        <f t="shared" si="6"/>
        <v>0.13115640397796424</v>
      </c>
      <c r="Q34" s="220">
        <f t="shared" si="6"/>
        <v>0.13115640397796402</v>
      </c>
      <c r="R34" s="219">
        <f t="shared" si="6"/>
        <v>0.13115640397796424</v>
      </c>
    </row>
    <row r="35" spans="3:20" ht="21" customHeight="1" x14ac:dyDescent="0.2">
      <c r="L35" s="151" t="s">
        <v>320</v>
      </c>
      <c r="M35" s="158">
        <f>E33</f>
        <v>0.14391784561403512</v>
      </c>
      <c r="N35" s="159">
        <f>M35</f>
        <v>0.14391784561403512</v>
      </c>
      <c r="O35" s="159">
        <f t="shared" ref="O35:R35" si="7">N35</f>
        <v>0.14391784561403512</v>
      </c>
      <c r="P35" s="159">
        <f t="shared" si="7"/>
        <v>0.14391784561403512</v>
      </c>
      <c r="Q35" s="159">
        <f t="shared" si="7"/>
        <v>0.14391784561403512</v>
      </c>
      <c r="R35" s="158">
        <f t="shared" si="7"/>
        <v>0.14391784561403512</v>
      </c>
      <c r="S35" s="23">
        <f>(R34/M34)^(1/5)</f>
        <v>0.99035783273657474</v>
      </c>
    </row>
    <row r="36" spans="3:20" ht="21" customHeight="1" x14ac:dyDescent="0.2">
      <c r="C36" s="8" t="s">
        <v>304</v>
      </c>
      <c r="D36" s="9"/>
      <c r="E36" s="10"/>
      <c r="F36" s="10"/>
      <c r="G36" s="10"/>
      <c r="H36" s="10"/>
      <c r="I36" s="10"/>
      <c r="J36" s="10"/>
      <c r="L36" s="151" t="s">
        <v>339</v>
      </c>
      <c r="M36" s="161">
        <f>E24</f>
        <v>1.71</v>
      </c>
      <c r="N36" s="162"/>
      <c r="O36" s="162"/>
      <c r="P36" s="162"/>
      <c r="Q36" s="162"/>
      <c r="R36" s="161"/>
      <c r="S36" s="23"/>
    </row>
    <row r="37" spans="3:20" ht="21" customHeight="1" x14ac:dyDescent="0.2">
      <c r="C37" s="12"/>
      <c r="J37" s="13"/>
      <c r="L37" s="151" t="s">
        <v>340</v>
      </c>
      <c r="M37" s="161">
        <f t="shared" ref="M37:R37" si="8">M25*M31*(1+M34)/(M35-M34)</f>
        <v>1.7099999999999977</v>
      </c>
      <c r="N37" s="162">
        <f t="shared" si="8"/>
        <v>1.0665995106743387</v>
      </c>
      <c r="O37" s="162">
        <f t="shared" si="8"/>
        <v>0.99286850474720034</v>
      </c>
      <c r="P37" s="162">
        <f t="shared" si="8"/>
        <v>1.0840632890471249</v>
      </c>
      <c r="Q37" s="162">
        <f t="shared" si="8"/>
        <v>1.1836342970299696</v>
      </c>
      <c r="R37" s="161">
        <f t="shared" si="8"/>
        <v>1.2923508832562061</v>
      </c>
    </row>
    <row r="38" spans="3:20" ht="21" customHeight="1" x14ac:dyDescent="0.2">
      <c r="C38" s="12"/>
      <c r="D38" s="62" t="s">
        <v>305</v>
      </c>
      <c r="E38" s="62" t="s">
        <v>160</v>
      </c>
      <c r="J38" s="13"/>
      <c r="L38" s="151" t="s">
        <v>125</v>
      </c>
      <c r="M38" s="161">
        <v>443.9</v>
      </c>
      <c r="N38" s="162">
        <f>M38</f>
        <v>443.9</v>
      </c>
      <c r="O38" s="162">
        <f t="shared" ref="O38:R38" si="9">N38</f>
        <v>443.9</v>
      </c>
      <c r="P38" s="162">
        <f t="shared" si="9"/>
        <v>443.9</v>
      </c>
      <c r="Q38" s="162">
        <f t="shared" si="9"/>
        <v>443.9</v>
      </c>
      <c r="R38" s="161">
        <f t="shared" si="9"/>
        <v>443.9</v>
      </c>
    </row>
    <row r="39" spans="3:20" ht="21" customHeight="1" x14ac:dyDescent="0.2">
      <c r="C39" s="12"/>
      <c r="E39" s="61"/>
      <c r="J39" s="13"/>
      <c r="L39" s="151" t="s">
        <v>127</v>
      </c>
      <c r="M39" s="140">
        <f t="shared" ref="M39:R39" si="10">M26/M38</f>
        <v>573.22144627168279</v>
      </c>
      <c r="N39" s="139">
        <f t="shared" si="10"/>
        <v>593.85741833746351</v>
      </c>
      <c r="O39" s="139">
        <f t="shared" si="10"/>
        <v>615.23628539761216</v>
      </c>
      <c r="P39" s="139">
        <f t="shared" si="10"/>
        <v>637.38479167192622</v>
      </c>
      <c r="Q39" s="139">
        <f t="shared" si="10"/>
        <v>660.33064417211563</v>
      </c>
      <c r="R39" s="140">
        <f t="shared" si="10"/>
        <v>684.10254736231173</v>
      </c>
      <c r="S39" s="1"/>
    </row>
    <row r="40" spans="3:20" ht="21" customHeight="1" x14ac:dyDescent="0.2">
      <c r="C40" s="12"/>
      <c r="E40" s="61"/>
      <c r="J40" s="13"/>
      <c r="L40" s="205" t="s">
        <v>126</v>
      </c>
      <c r="M40" s="206">
        <f t="shared" ref="M40:R40" si="11">M37*M29*M28/M38</f>
        <v>980.20867312457653</v>
      </c>
      <c r="N40" s="207">
        <f t="shared" si="11"/>
        <v>633.4080318090646</v>
      </c>
      <c r="O40" s="208">
        <f t="shared" si="11"/>
        <v>610.84873074894892</v>
      </c>
      <c r="P40" s="208">
        <f t="shared" si="11"/>
        <v>690.96545364848487</v>
      </c>
      <c r="Q40" s="208">
        <f t="shared" si="11"/>
        <v>781.58999782200897</v>
      </c>
      <c r="R40" s="209">
        <f t="shared" si="11"/>
        <v>884.10053132150404</v>
      </c>
    </row>
    <row r="41" spans="3:20" ht="21" customHeight="1" x14ac:dyDescent="0.2">
      <c r="C41" s="41"/>
      <c r="J41" s="13"/>
      <c r="L41" s="174" t="s">
        <v>156</v>
      </c>
      <c r="M41" s="163">
        <f>O195</f>
        <v>964.01</v>
      </c>
      <c r="N41" s="244"/>
      <c r="O41" s="164"/>
      <c r="P41" s="164"/>
      <c r="Q41" s="164"/>
      <c r="R41" s="163"/>
    </row>
    <row r="42" spans="3:20" ht="21" customHeight="1" x14ac:dyDescent="0.2">
      <c r="C42" s="41"/>
      <c r="J42" s="13"/>
      <c r="L42" s="214" t="s">
        <v>327</v>
      </c>
      <c r="M42" s="215"/>
      <c r="N42" s="216" t="b">
        <f>(N39*N37)=N40</f>
        <v>1</v>
      </c>
      <c r="O42" s="216" t="b">
        <f t="shared" ref="O42:R42" si="12">(O39*O37)=O40</f>
        <v>1</v>
      </c>
      <c r="P42" s="216" t="b">
        <f t="shared" si="12"/>
        <v>1</v>
      </c>
      <c r="Q42" s="216" t="b">
        <f t="shared" si="12"/>
        <v>1</v>
      </c>
      <c r="R42" s="217" t="b">
        <f t="shared" si="12"/>
        <v>1</v>
      </c>
    </row>
    <row r="43" spans="3:20" ht="21" customHeight="1" x14ac:dyDescent="0.2">
      <c r="C43" s="41"/>
      <c r="J43" s="13"/>
    </row>
    <row r="44" spans="3:20" ht="21" customHeight="1" x14ac:dyDescent="0.2">
      <c r="C44" s="12"/>
      <c r="J44" s="13"/>
    </row>
    <row r="45" spans="3:20" ht="17.100000000000001" customHeight="1" x14ac:dyDescent="0.2">
      <c r="C45" s="12"/>
      <c r="J45" s="13"/>
      <c r="L45" s="180" t="s">
        <v>328</v>
      </c>
      <c r="M45" s="179"/>
      <c r="N45" s="246" t="s">
        <v>329</v>
      </c>
      <c r="O45" s="247"/>
      <c r="P45" s="247"/>
      <c r="Q45" s="247"/>
      <c r="R45" s="247"/>
      <c r="S45" s="247"/>
      <c r="T45" s="247"/>
    </row>
    <row r="46" spans="3:20" ht="17.100000000000001" customHeight="1" thickBot="1" x14ac:dyDescent="0.25">
      <c r="C46" s="12"/>
      <c r="J46" s="13"/>
      <c r="L46" s="30"/>
      <c r="M46" s="204">
        <f>O58</f>
        <v>1044.315959281379</v>
      </c>
      <c r="N46" s="186">
        <f>O46-0.5%</f>
        <v>1.3999999999999999E-2</v>
      </c>
      <c r="O46" s="187">
        <f>P46-0.5%</f>
        <v>1.9E-2</v>
      </c>
      <c r="P46" s="187">
        <f>Q46-0.5%</f>
        <v>2.4E-2</v>
      </c>
      <c r="Q46" s="241">
        <f>M55</f>
        <v>2.9000000000000001E-2</v>
      </c>
      <c r="R46" s="187">
        <f t="shared" ref="R46:T46" si="13">Q46+0.5%</f>
        <v>3.4000000000000002E-2</v>
      </c>
      <c r="S46" s="187">
        <f t="shared" si="13"/>
        <v>3.9E-2</v>
      </c>
      <c r="T46" s="187">
        <f t="shared" si="13"/>
        <v>4.3999999999999997E-2</v>
      </c>
    </row>
    <row r="47" spans="3:20" ht="17.100000000000001" customHeight="1" x14ac:dyDescent="0.2">
      <c r="C47" s="12"/>
      <c r="J47" s="13"/>
      <c r="L47" s="181"/>
      <c r="M47" s="184">
        <f t="shared" ref="M47:M48" si="14">M48-0.5</f>
        <v>9.27</v>
      </c>
      <c r="N47" s="16">
        <f t="dataTable" ref="N47:T53" dt2D="1" dtr="1" r1="O55" r2="O56"/>
        <v>433.93630197399347</v>
      </c>
      <c r="O47" s="44">
        <v>588.9135526789911</v>
      </c>
      <c r="P47" s="193">
        <v>743.8908033839889</v>
      </c>
      <c r="Q47" s="190">
        <v>898.86805408898658</v>
      </c>
      <c r="R47" s="44">
        <v>1053.8453047939843</v>
      </c>
      <c r="S47" s="44">
        <v>1208.8225554989817</v>
      </c>
      <c r="T47" s="44">
        <v>1363.7998062039792</v>
      </c>
    </row>
    <row r="48" spans="3:20" ht="17.100000000000001" customHeight="1" x14ac:dyDescent="0.2">
      <c r="C48" s="12"/>
      <c r="J48" s="13"/>
      <c r="L48" s="181"/>
      <c r="M48" s="184">
        <f t="shared" si="14"/>
        <v>9.77</v>
      </c>
      <c r="N48" s="173">
        <v>457.34171200495319</v>
      </c>
      <c r="O48" s="175">
        <v>620.67803772100797</v>
      </c>
      <c r="P48" s="194">
        <v>784.01436343706268</v>
      </c>
      <c r="Q48" s="191">
        <v>947.35068915311729</v>
      </c>
      <c r="R48" s="175">
        <v>1110.6870148691721</v>
      </c>
      <c r="S48" s="175">
        <v>1274.0233405852268</v>
      </c>
      <c r="T48" s="175">
        <v>1437.3596663012813</v>
      </c>
    </row>
    <row r="49" spans="3:20" ht="17.100000000000001" customHeight="1" x14ac:dyDescent="0.2">
      <c r="C49" s="14"/>
      <c r="D49" s="15"/>
      <c r="E49" s="15"/>
      <c r="F49" s="15"/>
      <c r="G49" s="15"/>
      <c r="H49" s="15"/>
      <c r="I49" s="15"/>
      <c r="J49" s="16"/>
      <c r="L49" s="182"/>
      <c r="M49" s="184">
        <f>M50-0.5</f>
        <v>10.27</v>
      </c>
      <c r="N49" s="173">
        <v>480.74712203591292</v>
      </c>
      <c r="O49" s="175">
        <v>652.44252276302473</v>
      </c>
      <c r="P49" s="194">
        <v>824.13792349013647</v>
      </c>
      <c r="Q49" s="191">
        <v>995.83332421724833</v>
      </c>
      <c r="R49" s="175">
        <v>1167.52872494436</v>
      </c>
      <c r="S49" s="175">
        <v>1339.2241256714717</v>
      </c>
      <c r="T49" s="175">
        <v>1510.9195263985832</v>
      </c>
    </row>
    <row r="50" spans="3:20" ht="17.100000000000001" customHeight="1" x14ac:dyDescent="0.2">
      <c r="L50" s="182" t="s">
        <v>330</v>
      </c>
      <c r="M50" s="240">
        <f>M56</f>
        <v>10.77</v>
      </c>
      <c r="N50" s="192">
        <v>504.15253206687265</v>
      </c>
      <c r="O50" s="191">
        <v>684.20700780504148</v>
      </c>
      <c r="P50" s="191">
        <v>864.26148354321037</v>
      </c>
      <c r="Q50" s="189">
        <v>1044.315959281379</v>
      </c>
      <c r="R50" s="191">
        <v>1224.370435019548</v>
      </c>
      <c r="S50" s="191">
        <v>1404.4249107577168</v>
      </c>
      <c r="T50" s="191">
        <v>1584.4793864958854</v>
      </c>
    </row>
    <row r="51" spans="3:20" ht="17.100000000000001" customHeight="1" x14ac:dyDescent="0.2">
      <c r="L51" s="181"/>
      <c r="M51" s="184">
        <f>M50+0.5</f>
        <v>11.27</v>
      </c>
      <c r="N51" s="173">
        <v>527.55794209783232</v>
      </c>
      <c r="O51" s="175">
        <v>715.97149284705824</v>
      </c>
      <c r="P51" s="194">
        <v>904.38504359628428</v>
      </c>
      <c r="Q51" s="191">
        <v>1092.7985943455101</v>
      </c>
      <c r="R51" s="175">
        <v>1281.2121450947359</v>
      </c>
      <c r="S51" s="175">
        <v>1469.6256958439619</v>
      </c>
      <c r="T51" s="175">
        <v>1658.0392465931875</v>
      </c>
    </row>
    <row r="52" spans="3:20" ht="17.100000000000001" customHeight="1" x14ac:dyDescent="0.2">
      <c r="L52" s="181"/>
      <c r="M52" s="184">
        <f t="shared" ref="M52:M53" si="15">M51+0.5</f>
        <v>11.77</v>
      </c>
      <c r="N52" s="173">
        <v>550.96335212879217</v>
      </c>
      <c r="O52" s="175">
        <v>747.735977889075</v>
      </c>
      <c r="P52" s="194">
        <v>944.50860364935818</v>
      </c>
      <c r="Q52" s="191">
        <v>1141.2812294096409</v>
      </c>
      <c r="R52" s="175">
        <v>1338.0538551699237</v>
      </c>
      <c r="S52" s="175">
        <v>1534.8264809302068</v>
      </c>
      <c r="T52" s="175">
        <v>1731.5991066904892</v>
      </c>
    </row>
    <row r="53" spans="3:20" ht="17.100000000000001" customHeight="1" x14ac:dyDescent="0.2">
      <c r="L53" s="183"/>
      <c r="M53" s="185">
        <f t="shared" si="15"/>
        <v>12.27</v>
      </c>
      <c r="N53" s="173">
        <v>574.36876215975178</v>
      </c>
      <c r="O53" s="175">
        <v>779.50046293109176</v>
      </c>
      <c r="P53" s="194">
        <v>984.63216370243185</v>
      </c>
      <c r="Q53" s="191">
        <v>1189.7638644737719</v>
      </c>
      <c r="R53" s="175">
        <v>1394.8955652451118</v>
      </c>
      <c r="S53" s="175">
        <v>1600.0272660164517</v>
      </c>
      <c r="T53" s="175">
        <v>1805.1589667877913</v>
      </c>
    </row>
    <row r="54" spans="3:20" ht="17.100000000000001" customHeight="1" x14ac:dyDescent="0.2">
      <c r="L54" s="178"/>
    </row>
    <row r="55" spans="3:20" ht="17.100000000000001" customHeight="1" x14ac:dyDescent="0.2">
      <c r="G55" s="24"/>
      <c r="H55" s="24"/>
      <c r="I55" s="24"/>
      <c r="J55" s="24"/>
      <c r="L55" s="196" t="s">
        <v>331</v>
      </c>
      <c r="M55" s="197">
        <v>2.9000000000000001E-2</v>
      </c>
      <c r="N55" s="198"/>
      <c r="O55" s="199">
        <f>M55</f>
        <v>2.9000000000000001E-2</v>
      </c>
      <c r="Q55" s="188" t="s">
        <v>335</v>
      </c>
      <c r="R55" s="154">
        <f>MAX(N47:T53)</f>
        <v>1805.1589667877913</v>
      </c>
    </row>
    <row r="56" spans="3:20" s="1" customFormat="1" ht="17.100000000000001" customHeight="1" x14ac:dyDescent="0.2">
      <c r="C56" s="7"/>
      <c r="G56" s="11"/>
      <c r="L56" s="200" t="s">
        <v>332</v>
      </c>
      <c r="M56" s="162">
        <v>10.77</v>
      </c>
      <c r="O56" s="161">
        <f>M56</f>
        <v>10.77</v>
      </c>
      <c r="Q56" s="181" t="s">
        <v>336</v>
      </c>
      <c r="R56" s="140">
        <f>AVERAGE(N47:T53)</f>
        <v>1044.315959281379</v>
      </c>
    </row>
    <row r="57" spans="3:20" ht="17.100000000000001" customHeight="1" x14ac:dyDescent="0.2">
      <c r="D57" s="1"/>
      <c r="E57" s="1"/>
      <c r="F57" s="1"/>
      <c r="G57" s="1"/>
      <c r="H57" s="1"/>
      <c r="I57" s="1"/>
      <c r="J57" s="1"/>
      <c r="K57" s="1"/>
      <c r="L57" s="201" t="s">
        <v>334</v>
      </c>
      <c r="M57" s="23"/>
      <c r="O57" s="202">
        <f>O55*$F$30*(1+$M$34)/($M$35-$M$34)</f>
        <v>1.7099999999999977</v>
      </c>
      <c r="Q57" s="181" t="s">
        <v>337</v>
      </c>
      <c r="R57" s="140">
        <f>MEDIAN(N47:T53)</f>
        <v>1044.315959281379</v>
      </c>
    </row>
    <row r="58" spans="3:20" ht="17.100000000000001" customHeight="1" x14ac:dyDescent="0.2">
      <c r="D58" s="1"/>
      <c r="E58" s="1"/>
      <c r="F58" s="1"/>
      <c r="G58" s="1"/>
      <c r="H58" s="1"/>
      <c r="I58" s="1"/>
      <c r="J58" s="1"/>
      <c r="K58" s="1"/>
      <c r="L58" s="203" t="s">
        <v>333</v>
      </c>
      <c r="M58" s="15"/>
      <c r="N58" s="15"/>
      <c r="O58" s="16">
        <f>O57*O56*$N$28/$N$38</f>
        <v>1044.315959281379</v>
      </c>
      <c r="Q58" s="183" t="s">
        <v>338</v>
      </c>
      <c r="R58" s="163">
        <f>MIN(N47:T53)</f>
        <v>433.93630197399347</v>
      </c>
    </row>
    <row r="59" spans="3:20" ht="17.100000000000001" customHeight="1" x14ac:dyDescent="0.2">
      <c r="D59" s="1"/>
      <c r="E59" s="1"/>
      <c r="F59" s="1"/>
      <c r="G59" s="1"/>
      <c r="H59" s="1"/>
      <c r="I59" s="1"/>
      <c r="J59" s="1"/>
      <c r="K59" s="1"/>
      <c r="L59" s="178"/>
    </row>
    <row r="60" spans="3:20" ht="17.100000000000001" customHeight="1" x14ac:dyDescent="0.2">
      <c r="D60" s="1"/>
      <c r="E60" s="1"/>
      <c r="F60" s="1"/>
      <c r="G60" s="1"/>
      <c r="H60" s="1"/>
      <c r="I60" s="1"/>
      <c r="J60" s="1"/>
      <c r="K60" s="1"/>
      <c r="L60" s="178"/>
    </row>
    <row r="61" spans="3:20" ht="17.100000000000001" customHeight="1" x14ac:dyDescent="0.2">
      <c r="D61" s="1"/>
      <c r="E61" s="1"/>
      <c r="F61" s="1"/>
      <c r="G61" s="1"/>
      <c r="H61" s="1"/>
      <c r="I61" s="1"/>
      <c r="J61" s="1"/>
      <c r="K61" s="1"/>
      <c r="L61" s="180" t="s">
        <v>328</v>
      </c>
      <c r="M61" s="179"/>
      <c r="N61" s="246" t="s">
        <v>329</v>
      </c>
      <c r="O61" s="247"/>
      <c r="P61" s="247"/>
      <c r="Q61" s="247"/>
      <c r="R61" s="247"/>
      <c r="S61" s="247"/>
      <c r="T61" s="247"/>
    </row>
    <row r="62" spans="3:20" ht="17.100000000000001" customHeight="1" thickBot="1" x14ac:dyDescent="0.25">
      <c r="D62" s="1"/>
      <c r="E62" s="1"/>
      <c r="F62" s="1"/>
      <c r="G62" s="1"/>
      <c r="H62" s="1"/>
      <c r="I62" s="1"/>
      <c r="J62" s="1"/>
      <c r="K62" s="1"/>
      <c r="L62" s="30"/>
      <c r="M62" s="204">
        <f>O74</f>
        <v>1044.315959281379</v>
      </c>
      <c r="N62" s="239">
        <f>M71</f>
        <v>2.9000000000000001E-2</v>
      </c>
      <c r="O62" s="187">
        <f>N62+0.3%</f>
        <v>3.2000000000000001E-2</v>
      </c>
      <c r="P62" s="187">
        <f t="shared" ref="P62:T62" si="16">O62+0.3%</f>
        <v>3.5000000000000003E-2</v>
      </c>
      <c r="Q62" s="187">
        <f t="shared" si="16"/>
        <v>3.8000000000000006E-2</v>
      </c>
      <c r="R62" s="187">
        <f t="shared" si="16"/>
        <v>4.1000000000000009E-2</v>
      </c>
      <c r="S62" s="187">
        <f t="shared" si="16"/>
        <v>4.4000000000000011E-2</v>
      </c>
      <c r="T62" s="187">
        <f t="shared" si="16"/>
        <v>4.7000000000000014E-2</v>
      </c>
    </row>
    <row r="63" spans="3:20" ht="17.100000000000001" customHeight="1" x14ac:dyDescent="0.2">
      <c r="D63" s="1"/>
      <c r="E63" s="1"/>
      <c r="F63" s="1"/>
      <c r="G63" s="1"/>
      <c r="H63" s="1"/>
      <c r="I63" s="1"/>
      <c r="J63" s="1"/>
      <c r="K63" s="1"/>
      <c r="L63" s="181"/>
      <c r="M63" s="240">
        <f>M72</f>
        <v>10.77</v>
      </c>
      <c r="N63" s="195">
        <f t="dataTable" ref="N63:T69" dt2D="1" dtr="1" r1="O71" r2="O72"/>
        <v>1044.315959281379</v>
      </c>
      <c r="O63" s="190">
        <v>1152.3486447242803</v>
      </c>
      <c r="P63" s="190">
        <v>1260.3813301671819</v>
      </c>
      <c r="Q63" s="190">
        <v>1368.414015610083</v>
      </c>
      <c r="R63" s="190">
        <v>1476.4467010529845</v>
      </c>
      <c r="S63" s="190">
        <v>1584.479386495886</v>
      </c>
      <c r="T63" s="190">
        <v>1692.5120719387871</v>
      </c>
    </row>
    <row r="64" spans="3:20" ht="17.100000000000001" customHeight="1" x14ac:dyDescent="0.2">
      <c r="D64" s="1"/>
      <c r="E64" s="1"/>
      <c r="F64" s="1"/>
      <c r="G64" s="1"/>
      <c r="H64" s="1"/>
      <c r="I64" s="1"/>
      <c r="J64" s="1"/>
      <c r="K64" s="1"/>
      <c r="L64" s="181"/>
      <c r="M64" s="184">
        <f>M63-0.35</f>
        <v>10.42</v>
      </c>
      <c r="N64" s="192">
        <v>1010.3781147364875</v>
      </c>
      <c r="O64" s="194">
        <v>1114.8999886747449</v>
      </c>
      <c r="P64" s="194">
        <v>1219.4218626130023</v>
      </c>
      <c r="Q64" s="194">
        <v>1323.9437365512595</v>
      </c>
      <c r="R64" s="194">
        <v>1428.4656104895168</v>
      </c>
      <c r="S64" s="194">
        <v>1532.9874844277747</v>
      </c>
      <c r="T64" s="194">
        <v>1637.5093583660321</v>
      </c>
    </row>
    <row r="65" spans="4:20" ht="17.100000000000001" customHeight="1" x14ac:dyDescent="0.2">
      <c r="D65" s="1"/>
      <c r="E65" s="1"/>
      <c r="F65" s="1"/>
      <c r="G65" s="1"/>
      <c r="H65" s="1"/>
      <c r="I65" s="1"/>
      <c r="J65" s="1"/>
      <c r="K65" s="1"/>
      <c r="L65" s="182"/>
      <c r="M65" s="184">
        <f t="shared" ref="M65:M69" si="17">M64-0.35</f>
        <v>10.07</v>
      </c>
      <c r="N65" s="192">
        <v>976.44027019159614</v>
      </c>
      <c r="O65" s="194">
        <v>1077.4513326252093</v>
      </c>
      <c r="P65" s="194">
        <v>1178.4623950588227</v>
      </c>
      <c r="Q65" s="194">
        <v>1279.473457492436</v>
      </c>
      <c r="R65" s="194">
        <v>1380.4845199260496</v>
      </c>
      <c r="S65" s="194">
        <v>1481.4955823596633</v>
      </c>
      <c r="T65" s="194">
        <v>1582.5066447932766</v>
      </c>
    </row>
    <row r="66" spans="4:20" ht="17.100000000000001" customHeight="1" x14ac:dyDescent="0.2">
      <c r="D66" s="1"/>
      <c r="E66" s="1"/>
      <c r="F66" s="1"/>
      <c r="G66" s="1"/>
      <c r="H66" s="1"/>
      <c r="I66" s="1"/>
      <c r="J66" s="1"/>
      <c r="K66" s="1"/>
      <c r="L66" s="182" t="s">
        <v>330</v>
      </c>
      <c r="M66" s="184">
        <f t="shared" si="17"/>
        <v>9.7200000000000006</v>
      </c>
      <c r="N66" s="192">
        <v>942.50242564670441</v>
      </c>
      <c r="O66" s="194">
        <v>1040.0026765756741</v>
      </c>
      <c r="P66" s="194">
        <v>1137.5029275046431</v>
      </c>
      <c r="Q66" s="194">
        <v>1235.0031784336127</v>
      </c>
      <c r="R66" s="194">
        <v>1332.5034293625822</v>
      </c>
      <c r="S66" s="194">
        <v>1430.0036802915517</v>
      </c>
      <c r="T66" s="194">
        <v>1527.5039312205213</v>
      </c>
    </row>
    <row r="67" spans="4:20" ht="17.100000000000001" customHeight="1" x14ac:dyDescent="0.2">
      <c r="D67" s="1"/>
      <c r="E67" s="1"/>
      <c r="F67" s="1"/>
      <c r="G67" s="1"/>
      <c r="H67" s="1"/>
      <c r="I67" s="1"/>
      <c r="J67" s="1"/>
      <c r="K67" s="1"/>
      <c r="L67" s="181"/>
      <c r="M67" s="184">
        <f t="shared" si="17"/>
        <v>9.370000000000001</v>
      </c>
      <c r="N67" s="192">
        <v>908.56458110181279</v>
      </c>
      <c r="O67" s="194">
        <v>1002.5540205261384</v>
      </c>
      <c r="P67" s="194">
        <v>1096.5434599504636</v>
      </c>
      <c r="Q67" s="194">
        <v>1190.5328993747894</v>
      </c>
      <c r="R67" s="194">
        <v>1284.5223387991148</v>
      </c>
      <c r="S67" s="194">
        <v>1378.5117782234406</v>
      </c>
      <c r="T67" s="194">
        <v>1472.501217647766</v>
      </c>
    </row>
    <row r="68" spans="4:20" ht="17.100000000000001" customHeight="1" x14ac:dyDescent="0.2">
      <c r="D68" s="1"/>
      <c r="E68" s="1"/>
      <c r="F68" s="1"/>
      <c r="G68" s="1"/>
      <c r="H68" s="1"/>
      <c r="I68" s="1"/>
      <c r="J68" s="1"/>
      <c r="K68" s="1"/>
      <c r="L68" s="181"/>
      <c r="M68" s="184">
        <f t="shared" si="17"/>
        <v>9.0200000000000014</v>
      </c>
      <c r="N68" s="192">
        <v>874.62673655692117</v>
      </c>
      <c r="O68" s="194">
        <v>965.10536447660274</v>
      </c>
      <c r="P68" s="194">
        <v>1055.5839923962842</v>
      </c>
      <c r="Q68" s="194">
        <v>1146.0626203159657</v>
      </c>
      <c r="R68" s="194">
        <v>1236.5412482356473</v>
      </c>
      <c r="S68" s="194">
        <v>1327.019876155329</v>
      </c>
      <c r="T68" s="194">
        <v>1417.4985040750105</v>
      </c>
    </row>
    <row r="69" spans="4:20" ht="17.100000000000001" customHeight="1" x14ac:dyDescent="0.2">
      <c r="D69" s="1"/>
      <c r="E69" s="1"/>
      <c r="F69" s="1"/>
      <c r="G69" s="1"/>
      <c r="H69" s="1"/>
      <c r="I69" s="1"/>
      <c r="J69" s="1"/>
      <c r="K69" s="1"/>
      <c r="L69" s="183"/>
      <c r="M69" s="185">
        <f t="shared" si="17"/>
        <v>8.6700000000000017</v>
      </c>
      <c r="N69" s="192">
        <v>840.68889201202967</v>
      </c>
      <c r="O69" s="194">
        <v>927.65670842706731</v>
      </c>
      <c r="P69" s="194">
        <v>1014.6245248421047</v>
      </c>
      <c r="Q69" s="194">
        <v>1101.5923412571424</v>
      </c>
      <c r="R69" s="194">
        <v>1188.5601576721799</v>
      </c>
      <c r="S69" s="194">
        <v>1275.5279740872179</v>
      </c>
      <c r="T69" s="194">
        <v>1362.4957905022552</v>
      </c>
    </row>
    <row r="70" spans="4:20" ht="17.100000000000001" customHeight="1" x14ac:dyDescent="0.2">
      <c r="D70" s="1"/>
      <c r="E70" s="1"/>
      <c r="F70" s="1"/>
      <c r="G70" s="1"/>
      <c r="H70" s="1"/>
      <c r="I70" s="1"/>
      <c r="J70" s="1"/>
      <c r="K70" s="1"/>
      <c r="L70" s="178"/>
    </row>
    <row r="71" spans="4:20" ht="17.100000000000001" customHeight="1" x14ac:dyDescent="0.2">
      <c r="D71" s="1"/>
      <c r="E71" s="1"/>
      <c r="F71" s="1"/>
      <c r="G71" s="1"/>
      <c r="H71" s="1"/>
      <c r="I71" s="1"/>
      <c r="J71" s="1"/>
      <c r="K71" s="1"/>
      <c r="L71" s="196" t="s">
        <v>331</v>
      </c>
      <c r="M71" s="197">
        <v>2.9000000000000001E-2</v>
      </c>
      <c r="N71" s="198"/>
      <c r="O71" s="199">
        <f>M71</f>
        <v>2.9000000000000001E-2</v>
      </c>
      <c r="Q71" s="188" t="s">
        <v>335</v>
      </c>
      <c r="R71" s="154">
        <f>MAX(N63:T69)</f>
        <v>1692.5120719387871</v>
      </c>
    </row>
    <row r="72" spans="4:20" ht="17.100000000000001" customHeight="1" x14ac:dyDescent="0.2">
      <c r="D72" s="1"/>
      <c r="E72" s="1"/>
      <c r="F72" s="1"/>
      <c r="G72" s="1"/>
      <c r="H72" s="1"/>
      <c r="I72" s="1"/>
      <c r="J72" s="1"/>
      <c r="K72" s="1"/>
      <c r="L72" s="200" t="s">
        <v>332</v>
      </c>
      <c r="M72" s="162">
        <v>10.77</v>
      </c>
      <c r="N72" s="1"/>
      <c r="O72" s="161">
        <f>M72</f>
        <v>10.77</v>
      </c>
      <c r="P72" s="1"/>
      <c r="Q72" s="181" t="s">
        <v>336</v>
      </c>
      <c r="R72" s="140">
        <f>AVERAGE(N63:T69)</f>
        <v>1235.0031784336124</v>
      </c>
      <c r="S72" s="1"/>
      <c r="T72" s="1"/>
    </row>
    <row r="73" spans="4:20" ht="17.100000000000001" customHeight="1" x14ac:dyDescent="0.2">
      <c r="D73" s="1"/>
      <c r="E73" s="1"/>
      <c r="F73" s="1"/>
      <c r="G73" s="1"/>
      <c r="H73" s="1"/>
      <c r="I73" s="1"/>
      <c r="J73" s="1"/>
      <c r="K73" s="1"/>
      <c r="L73" s="201" t="s">
        <v>334</v>
      </c>
      <c r="M73" s="23"/>
      <c r="O73" s="202">
        <f>O71*$F$30*(1+$M$34)/($M$35-$M$34)</f>
        <v>1.7099999999999977</v>
      </c>
      <c r="Q73" s="181" t="s">
        <v>337</v>
      </c>
      <c r="R73" s="140">
        <f>MEDIAN(N63:T69)</f>
        <v>1235.0031784336127</v>
      </c>
    </row>
    <row r="74" spans="4:20" ht="17.100000000000001" customHeight="1" x14ac:dyDescent="0.2">
      <c r="D74" s="1"/>
      <c r="E74" s="1"/>
      <c r="F74" s="1"/>
      <c r="G74" s="1"/>
      <c r="H74" s="1"/>
      <c r="I74" s="1"/>
      <c r="J74" s="1"/>
      <c r="K74" s="1"/>
      <c r="L74" s="203" t="s">
        <v>333</v>
      </c>
      <c r="M74" s="15"/>
      <c r="N74" s="15"/>
      <c r="O74" s="16">
        <f>O73*O72*$N$28/$N$38</f>
        <v>1044.315959281379</v>
      </c>
      <c r="Q74" s="183" t="s">
        <v>338</v>
      </c>
      <c r="R74" s="163">
        <f>MIN(N63:T69)</f>
        <v>840.68889201202967</v>
      </c>
    </row>
    <row r="75" spans="4:20" ht="17.100000000000001" customHeight="1" x14ac:dyDescent="0.2">
      <c r="D75" s="1"/>
      <c r="E75" s="1"/>
      <c r="F75" s="1"/>
      <c r="G75" s="1"/>
      <c r="H75" s="1"/>
      <c r="I75" s="1"/>
      <c r="J75" s="1"/>
      <c r="K75" s="1"/>
      <c r="L75" s="178"/>
    </row>
    <row r="76" spans="4:20" ht="17.100000000000001" customHeight="1" x14ac:dyDescent="0.2">
      <c r="D76" s="1"/>
      <c r="E76" s="1"/>
      <c r="F76" s="1"/>
      <c r="G76" s="1"/>
      <c r="H76" s="1"/>
      <c r="I76" s="1"/>
      <c r="J76" s="1"/>
      <c r="K76" s="1"/>
      <c r="L76" s="178"/>
    </row>
    <row r="77" spans="4:20" ht="17.100000000000001" customHeight="1" x14ac:dyDescent="0.2">
      <c r="D77" s="1"/>
      <c r="E77" s="1"/>
      <c r="F77" s="1"/>
      <c r="G77" s="1"/>
      <c r="H77" s="1"/>
      <c r="I77" s="1"/>
      <c r="J77" s="1"/>
      <c r="K77" s="1"/>
      <c r="L77" s="180" t="s">
        <v>344</v>
      </c>
      <c r="M77" s="179"/>
      <c r="N77" s="246" t="s">
        <v>347</v>
      </c>
      <c r="O77" s="247"/>
      <c r="P77" s="247"/>
      <c r="Q77" s="247"/>
      <c r="R77" s="247"/>
      <c r="S77" s="247"/>
      <c r="T77" s="247"/>
    </row>
    <row r="78" spans="4:20" ht="17.100000000000001" customHeight="1" thickBot="1" x14ac:dyDescent="0.25">
      <c r="D78" s="1"/>
      <c r="E78" s="1"/>
      <c r="F78" s="1"/>
      <c r="G78" s="1"/>
      <c r="H78" s="1"/>
      <c r="I78" s="1"/>
      <c r="J78" s="1"/>
      <c r="K78" s="1"/>
      <c r="L78" s="30"/>
      <c r="M78" s="224">
        <f>O90</f>
        <v>1015.4961853570612</v>
      </c>
      <c r="N78" s="225">
        <f>O78-0.5%</f>
        <v>1.3999999999999999E-2</v>
      </c>
      <c r="O78" s="226">
        <f>P78-0.5%</f>
        <v>1.9E-2</v>
      </c>
      <c r="P78" s="226">
        <f>Q78-0.5%</f>
        <v>2.4E-2</v>
      </c>
      <c r="Q78" s="238">
        <f>M87</f>
        <v>2.9000000000000001E-2</v>
      </c>
      <c r="R78" s="226">
        <f t="shared" ref="R78" si="18">Q78+0.5%</f>
        <v>3.4000000000000002E-2</v>
      </c>
      <c r="S78" s="226">
        <f t="shared" ref="S78" si="19">R78+0.5%</f>
        <v>3.9E-2</v>
      </c>
      <c r="T78" s="226">
        <f t="shared" ref="T78" si="20">S78+0.5%</f>
        <v>4.3999999999999997E-2</v>
      </c>
    </row>
    <row r="79" spans="4:20" ht="17.100000000000001" customHeight="1" x14ac:dyDescent="0.2">
      <c r="D79" s="1"/>
      <c r="E79" s="1"/>
      <c r="F79" s="1"/>
      <c r="G79" s="1"/>
      <c r="H79" s="1"/>
      <c r="I79" s="1"/>
      <c r="J79" s="1"/>
      <c r="K79" s="1"/>
      <c r="L79" s="181"/>
      <c r="M79" s="227">
        <f t="shared" ref="M79:M80" si="21">M80-0.05%</f>
        <v>0.13616666666666669</v>
      </c>
      <c r="N79" s="228">
        <f t="dataTable" ref="N79:T85" dt2D="1" dtr="1" r1="O87" r2="O88"/>
        <v>394.84760866845613</v>
      </c>
      <c r="O79" s="229">
        <v>535.86461176433329</v>
      </c>
      <c r="P79" s="230">
        <v>676.88161486021056</v>
      </c>
      <c r="Q79" s="230">
        <v>817.89861795608772</v>
      </c>
      <c r="R79" s="229">
        <v>958.9156210519651</v>
      </c>
      <c r="S79" s="229">
        <v>1099.932624147842</v>
      </c>
      <c r="T79" s="229">
        <v>1240.9496272437193</v>
      </c>
    </row>
    <row r="80" spans="4:20" ht="17.100000000000001" customHeight="1" x14ac:dyDescent="0.2">
      <c r="D80" s="1"/>
      <c r="E80" s="1"/>
      <c r="F80" s="1"/>
      <c r="G80" s="1"/>
      <c r="H80" s="1"/>
      <c r="I80" s="1"/>
      <c r="J80" s="1"/>
      <c r="K80" s="1"/>
      <c r="L80" s="181"/>
      <c r="M80" s="227">
        <f t="shared" si="21"/>
        <v>0.13666666666666669</v>
      </c>
      <c r="N80" s="231">
        <v>422.2597956247792</v>
      </c>
      <c r="O80" s="232">
        <v>573.06686549077176</v>
      </c>
      <c r="P80" s="233">
        <v>723.87393535676438</v>
      </c>
      <c r="Q80" s="233">
        <v>874.68100522275711</v>
      </c>
      <c r="R80" s="232">
        <v>1025.4880750887496</v>
      </c>
      <c r="S80" s="232">
        <v>1176.295144954742</v>
      </c>
      <c r="T80" s="232">
        <v>1327.1022148207346</v>
      </c>
    </row>
    <row r="81" spans="4:20" ht="17.100000000000001" customHeight="1" x14ac:dyDescent="0.2">
      <c r="D81" s="1"/>
      <c r="E81" s="1"/>
      <c r="F81" s="1"/>
      <c r="G81" s="1"/>
      <c r="H81" s="1"/>
      <c r="I81" s="1"/>
      <c r="J81" s="1"/>
      <c r="K81" s="1"/>
      <c r="L81" s="182"/>
      <c r="M81" s="227">
        <f>M82-0.05%</f>
        <v>0.13716666666666669</v>
      </c>
      <c r="N81" s="245">
        <v>453.73233813826147</v>
      </c>
      <c r="O81" s="233">
        <v>615.77960175906901</v>
      </c>
      <c r="P81" s="233">
        <v>777.82686537987661</v>
      </c>
      <c r="Q81" s="233">
        <v>939.87412900068455</v>
      </c>
      <c r="R81" s="232">
        <v>1101.921392621492</v>
      </c>
      <c r="S81" s="232">
        <v>1263.9686562422996</v>
      </c>
      <c r="T81" s="232">
        <v>1426.015919863107</v>
      </c>
    </row>
    <row r="82" spans="4:20" ht="17.100000000000001" customHeight="1" x14ac:dyDescent="0.2">
      <c r="D82" s="1"/>
      <c r="E82" s="1"/>
      <c r="F82" s="1"/>
      <c r="G82" s="1"/>
      <c r="H82" s="1"/>
      <c r="I82" s="1"/>
      <c r="J82" s="1"/>
      <c r="K82" s="1"/>
      <c r="L82" s="182" t="s">
        <v>345</v>
      </c>
      <c r="M82" s="237">
        <f>M88</f>
        <v>0.13766666666666669</v>
      </c>
      <c r="N82" s="245">
        <v>490.23953775858126</v>
      </c>
      <c r="O82" s="233">
        <v>665.32508695807462</v>
      </c>
      <c r="P82" s="233">
        <v>840.41063615756798</v>
      </c>
      <c r="Q82" s="235">
        <v>1015.4961853570612</v>
      </c>
      <c r="R82" s="234">
        <v>1190.5817345565545</v>
      </c>
      <c r="S82" s="234">
        <v>1365.6672837560477</v>
      </c>
      <c r="T82" s="234">
        <v>1540.7528329555407</v>
      </c>
    </row>
    <row r="83" spans="4:20" ht="17.100000000000001" customHeight="1" x14ac:dyDescent="0.2">
      <c r="D83" s="1"/>
      <c r="E83" s="1"/>
      <c r="F83" s="1"/>
      <c r="G83" s="1"/>
      <c r="H83" s="1"/>
      <c r="I83" s="1"/>
      <c r="J83" s="1"/>
      <c r="K83" s="1"/>
      <c r="L83" s="243" t="s">
        <v>346</v>
      </c>
      <c r="M83" s="227">
        <f>M82+0.05%</f>
        <v>0.13816666666666669</v>
      </c>
      <c r="N83" s="231">
        <v>533.09451406163237</v>
      </c>
      <c r="O83" s="232">
        <v>723.48541194078678</v>
      </c>
      <c r="P83" s="233">
        <v>913.87630981994118</v>
      </c>
      <c r="Q83" s="234">
        <v>1104.2672076990957</v>
      </c>
      <c r="R83" s="232">
        <v>1294.6581055782501</v>
      </c>
      <c r="S83" s="232">
        <v>1485.0490034574045</v>
      </c>
      <c r="T83" s="232">
        <v>1675.4399013365587</v>
      </c>
    </row>
    <row r="84" spans="4:20" ht="17.100000000000001" customHeight="1" x14ac:dyDescent="0.2">
      <c r="D84" s="1"/>
      <c r="E84" s="1"/>
      <c r="F84" s="1"/>
      <c r="G84" s="1"/>
      <c r="H84" s="1"/>
      <c r="I84" s="1"/>
      <c r="J84" s="1"/>
      <c r="K84" s="1"/>
      <c r="L84" s="181"/>
      <c r="M84" s="227">
        <f t="shared" ref="M84:M85" si="22">M83+0.05%</f>
        <v>0.13866666666666669</v>
      </c>
      <c r="N84" s="231">
        <v>584.11051034373543</v>
      </c>
      <c r="O84" s="232">
        <v>792.72140689506955</v>
      </c>
      <c r="P84" s="233">
        <v>1001.3323034464038</v>
      </c>
      <c r="Q84" s="234">
        <v>1209.9431999977378</v>
      </c>
      <c r="R84" s="232">
        <v>1418.554096549072</v>
      </c>
      <c r="S84" s="232">
        <v>1627.164993100406</v>
      </c>
      <c r="T84" s="232">
        <v>1835.7758896517398</v>
      </c>
    </row>
    <row r="85" spans="4:20" ht="17.100000000000001" customHeight="1" x14ac:dyDescent="0.2">
      <c r="D85" s="1"/>
      <c r="E85" s="1"/>
      <c r="F85" s="1"/>
      <c r="G85" s="1"/>
      <c r="H85" s="1"/>
      <c r="I85" s="1"/>
      <c r="J85" s="1"/>
      <c r="K85" s="1"/>
      <c r="L85" s="183"/>
      <c r="M85" s="236">
        <f t="shared" si="22"/>
        <v>0.13916666666666669</v>
      </c>
      <c r="N85" s="231">
        <v>645.86405131679555</v>
      </c>
      <c r="O85" s="232">
        <v>876.52978392993703</v>
      </c>
      <c r="P85" s="233">
        <v>1107.1955165430782</v>
      </c>
      <c r="Q85" s="234">
        <v>1337.8612491562199</v>
      </c>
      <c r="R85" s="232">
        <v>1568.5269817693609</v>
      </c>
      <c r="S85" s="232">
        <v>1799.1927143825021</v>
      </c>
      <c r="T85" s="232">
        <v>2029.8584469956431</v>
      </c>
    </row>
    <row r="86" spans="4:20" ht="17.100000000000001" customHeight="1" x14ac:dyDescent="0.2">
      <c r="D86" s="1"/>
      <c r="E86" s="1"/>
      <c r="F86" s="1"/>
      <c r="G86" s="1"/>
      <c r="H86" s="1"/>
      <c r="I86" s="1"/>
      <c r="J86" s="1"/>
      <c r="K86" s="1"/>
      <c r="L86" s="178"/>
    </row>
    <row r="87" spans="4:20" ht="17.100000000000001" customHeight="1" x14ac:dyDescent="0.2">
      <c r="D87" s="1"/>
      <c r="E87" s="1"/>
      <c r="F87" s="1"/>
      <c r="G87" s="1"/>
      <c r="H87" s="1"/>
      <c r="I87" s="1"/>
      <c r="J87" s="1"/>
      <c r="K87" s="1"/>
      <c r="L87" s="196" t="s">
        <v>331</v>
      </c>
      <c r="M87" s="197">
        <v>2.9000000000000001E-2</v>
      </c>
      <c r="N87" s="198"/>
      <c r="O87" s="199">
        <f>M87</f>
        <v>2.9000000000000001E-2</v>
      </c>
      <c r="Q87" s="188" t="s">
        <v>335</v>
      </c>
      <c r="R87" s="154">
        <f>MAX(N79:T85)</f>
        <v>2029.8584469956431</v>
      </c>
    </row>
    <row r="88" spans="4:20" ht="17.100000000000001" customHeight="1" x14ac:dyDescent="0.2">
      <c r="D88" s="1"/>
      <c r="E88" s="1"/>
      <c r="F88" s="1"/>
      <c r="G88" s="1"/>
      <c r="H88" s="1"/>
      <c r="I88" s="1"/>
      <c r="J88" s="1"/>
      <c r="K88" s="1"/>
      <c r="L88" s="200" t="s">
        <v>345</v>
      </c>
      <c r="M88" s="159">
        <f>E32</f>
        <v>0.13766666666666669</v>
      </c>
      <c r="N88" s="1"/>
      <c r="O88" s="158">
        <f>M88</f>
        <v>0.13766666666666669</v>
      </c>
      <c r="P88" s="1"/>
      <c r="Q88" s="181" t="s">
        <v>336</v>
      </c>
      <c r="R88" s="140">
        <f>AVERAGE(N79:T85)</f>
        <v>1042.860227769949</v>
      </c>
      <c r="S88" s="1"/>
      <c r="T88" s="1"/>
    </row>
    <row r="89" spans="4:20" ht="17.100000000000001" customHeight="1" x14ac:dyDescent="0.2">
      <c r="D89" s="1"/>
      <c r="E89" s="1"/>
      <c r="F89" s="1"/>
      <c r="G89" s="1"/>
      <c r="H89" s="1"/>
      <c r="I89" s="1"/>
      <c r="J89" s="1"/>
      <c r="K89" s="1"/>
      <c r="L89" s="201" t="s">
        <v>334</v>
      </c>
      <c r="M89" s="23"/>
      <c r="O89" s="202">
        <f>O87*$E$30*(1+O88)/(E33-O88)</f>
        <v>1.7099999999999977</v>
      </c>
      <c r="Q89" s="181" t="s">
        <v>337</v>
      </c>
      <c r="R89" s="140">
        <f>MEDIAN(N79:T85)</f>
        <v>1015.4961853570612</v>
      </c>
    </row>
    <row r="90" spans="4:20" ht="17.100000000000001" customHeight="1" x14ac:dyDescent="0.2">
      <c r="D90" s="1"/>
      <c r="E90" s="1"/>
      <c r="F90" s="1"/>
      <c r="G90" s="1"/>
      <c r="H90" s="1"/>
      <c r="I90" s="1"/>
      <c r="J90" s="1"/>
      <c r="K90" s="1"/>
      <c r="L90" s="203" t="s">
        <v>333</v>
      </c>
      <c r="M90" s="15"/>
      <c r="N90" s="15"/>
      <c r="O90" s="223">
        <f>O89*N39</f>
        <v>1015.4961853570612</v>
      </c>
      <c r="Q90" s="183" t="s">
        <v>338</v>
      </c>
      <c r="R90" s="163">
        <f>MIN(N79:T85)</f>
        <v>394.84760866845613</v>
      </c>
    </row>
    <row r="91" spans="4:20" ht="17.100000000000001" customHeight="1" x14ac:dyDescent="0.2">
      <c r="D91" s="1"/>
      <c r="E91" s="1"/>
      <c r="F91" s="1"/>
      <c r="G91" s="1"/>
      <c r="H91" s="1"/>
      <c r="I91" s="1"/>
      <c r="J91" s="1"/>
      <c r="K91" s="1"/>
      <c r="L91" s="178"/>
    </row>
    <row r="92" spans="4:20" ht="17.100000000000001" customHeight="1" x14ac:dyDescent="0.2">
      <c r="D92" s="1"/>
      <c r="E92" s="1"/>
      <c r="F92" s="1"/>
      <c r="G92" s="1"/>
      <c r="H92" s="1"/>
      <c r="I92" s="1"/>
      <c r="J92" s="1"/>
      <c r="K92" s="1"/>
      <c r="L92" s="180" t="s">
        <v>344</v>
      </c>
      <c r="M92" s="179"/>
      <c r="N92" s="246" t="s">
        <v>347</v>
      </c>
      <c r="O92" s="247"/>
      <c r="P92" s="247"/>
      <c r="Q92" s="247"/>
      <c r="R92" s="247"/>
      <c r="S92" s="247"/>
      <c r="T92" s="247"/>
    </row>
    <row r="93" spans="4:20" ht="17.100000000000001" customHeight="1" thickBot="1" x14ac:dyDescent="0.25">
      <c r="D93" s="1"/>
      <c r="E93" s="1"/>
      <c r="F93" s="1"/>
      <c r="G93" s="1"/>
      <c r="H93" s="1"/>
      <c r="I93" s="1"/>
      <c r="J93" s="1"/>
      <c r="K93" s="1"/>
      <c r="L93" s="30"/>
      <c r="M93" s="204">
        <f>O105</f>
        <v>1015.4961853570612</v>
      </c>
      <c r="N93" s="239">
        <f>M102</f>
        <v>2.9000000000000001E-2</v>
      </c>
      <c r="O93" s="187">
        <f>N93+0.3%</f>
        <v>3.2000000000000001E-2</v>
      </c>
      <c r="P93" s="187">
        <f t="shared" ref="P93:T93" si="23">O93+0.3%</f>
        <v>3.5000000000000003E-2</v>
      </c>
      <c r="Q93" s="187">
        <f t="shared" si="23"/>
        <v>3.8000000000000006E-2</v>
      </c>
      <c r="R93" s="187">
        <f t="shared" si="23"/>
        <v>4.1000000000000009E-2</v>
      </c>
      <c r="S93" s="187">
        <f t="shared" si="23"/>
        <v>4.4000000000000011E-2</v>
      </c>
      <c r="T93" s="187">
        <f t="shared" si="23"/>
        <v>4.7000000000000014E-2</v>
      </c>
    </row>
    <row r="94" spans="4:20" ht="17.100000000000001" customHeight="1" x14ac:dyDescent="0.2">
      <c r="D94" s="1"/>
      <c r="E94" s="1"/>
      <c r="F94" s="1"/>
      <c r="G94" s="1"/>
      <c r="H94" s="1"/>
      <c r="I94" s="1"/>
      <c r="J94" s="1"/>
      <c r="K94" s="1"/>
      <c r="L94" s="181"/>
      <c r="M94" s="242">
        <f>M103</f>
        <v>0.13766666666666669</v>
      </c>
      <c r="N94" s="195">
        <f t="dataTable" ref="N94:T100" dt2D="1" dtr="1" r1="O102" r2="O103"/>
        <v>1015.4961853570612</v>
      </c>
      <c r="O94" s="190">
        <v>1120.5475148767573</v>
      </c>
      <c r="P94" s="190">
        <v>1225.5988443964532</v>
      </c>
      <c r="Q94" s="190">
        <v>1330.6501739161492</v>
      </c>
      <c r="R94" s="190">
        <v>1435.7015034358453</v>
      </c>
      <c r="S94" s="190">
        <v>1540.7528329555416</v>
      </c>
      <c r="T94" s="190">
        <v>1645.8041624752375</v>
      </c>
    </row>
    <row r="95" spans="4:20" ht="17.100000000000001" customHeight="1" x14ac:dyDescent="0.2">
      <c r="D95" s="1"/>
      <c r="E95" s="1"/>
      <c r="F95" s="1"/>
      <c r="G95" s="1"/>
      <c r="H95" s="1"/>
      <c r="I95" s="1"/>
      <c r="J95" s="1"/>
      <c r="K95" s="1"/>
      <c r="L95" s="181"/>
      <c r="M95" s="221">
        <f>M94-0.05%</f>
        <v>0.13716666666666669</v>
      </c>
      <c r="N95" s="192">
        <v>939.87412900068455</v>
      </c>
      <c r="O95" s="194">
        <v>1037.102487173169</v>
      </c>
      <c r="P95" s="194">
        <v>1134.3308453456534</v>
      </c>
      <c r="Q95" s="194">
        <v>1231.5592035181382</v>
      </c>
      <c r="R95" s="194">
        <v>1328.7875616906231</v>
      </c>
      <c r="S95" s="194">
        <v>1426.0159198631079</v>
      </c>
      <c r="T95" s="194">
        <v>1523.2442780355925</v>
      </c>
    </row>
    <row r="96" spans="4:20" ht="17.100000000000001" customHeight="1" x14ac:dyDescent="0.2">
      <c r="D96" s="1"/>
      <c r="E96" s="1"/>
      <c r="F96" s="1"/>
      <c r="G96" s="1"/>
      <c r="H96" s="1"/>
      <c r="I96" s="1"/>
      <c r="J96" s="1"/>
      <c r="K96" s="1"/>
      <c r="L96" s="182"/>
      <c r="M96" s="221">
        <f t="shared" ref="M96:M100" si="24">M95-0.05%</f>
        <v>0.13666666666666669</v>
      </c>
      <c r="N96" s="192">
        <v>874.68100522275711</v>
      </c>
      <c r="O96" s="194">
        <v>965.16524714235243</v>
      </c>
      <c r="P96" s="194">
        <v>1055.6494890619481</v>
      </c>
      <c r="Q96" s="194">
        <v>1146.1337309815435</v>
      </c>
      <c r="R96" s="194">
        <v>1236.6179729011394</v>
      </c>
      <c r="S96" s="194">
        <v>1327.1022148207348</v>
      </c>
      <c r="T96" s="194">
        <v>1417.5864567403307</v>
      </c>
    </row>
    <row r="97" spans="4:20" ht="17.100000000000001" customHeight="1" x14ac:dyDescent="0.2">
      <c r="D97" s="1"/>
      <c r="E97" s="1"/>
      <c r="F97" s="1"/>
      <c r="G97" s="1"/>
      <c r="H97" s="1"/>
      <c r="I97" s="1"/>
      <c r="J97" s="1"/>
      <c r="K97" s="1"/>
      <c r="L97" s="182" t="s">
        <v>345</v>
      </c>
      <c r="M97" s="221">
        <f t="shared" si="24"/>
        <v>0.13616666666666669</v>
      </c>
      <c r="N97" s="192">
        <v>817.89861795608772</v>
      </c>
      <c r="O97" s="194">
        <v>902.50881981361408</v>
      </c>
      <c r="P97" s="194">
        <v>987.11902167114033</v>
      </c>
      <c r="Q97" s="194">
        <v>1071.7292235286666</v>
      </c>
      <c r="R97" s="194">
        <v>1156.3394253861932</v>
      </c>
      <c r="S97" s="194">
        <v>1240.9496272437195</v>
      </c>
      <c r="T97" s="194">
        <v>1325.5598291012459</v>
      </c>
    </row>
    <row r="98" spans="4:20" ht="17.100000000000001" customHeight="1" x14ac:dyDescent="0.2">
      <c r="D98" s="1"/>
      <c r="E98" s="1"/>
      <c r="F98" s="1"/>
      <c r="G98" s="1"/>
      <c r="H98" s="1"/>
      <c r="I98" s="1"/>
      <c r="J98" s="1"/>
      <c r="K98" s="1"/>
      <c r="L98" s="243" t="s">
        <v>346</v>
      </c>
      <c r="M98" s="221">
        <f t="shared" si="24"/>
        <v>0.13566666666666669</v>
      </c>
      <c r="N98" s="192">
        <v>767.9979608795968</v>
      </c>
      <c r="O98" s="194">
        <v>847.44602579817558</v>
      </c>
      <c r="P98" s="194">
        <v>926.89409071675459</v>
      </c>
      <c r="Q98" s="194">
        <v>1006.3421556353336</v>
      </c>
      <c r="R98" s="194">
        <v>1085.7902205539126</v>
      </c>
      <c r="S98" s="194">
        <v>1165.2382854724917</v>
      </c>
      <c r="T98" s="194">
        <v>1244.6863503910708</v>
      </c>
    </row>
    <row r="99" spans="4:20" ht="17.100000000000001" customHeight="1" x14ac:dyDescent="0.2">
      <c r="D99" s="1"/>
      <c r="E99" s="1"/>
      <c r="F99" s="1"/>
      <c r="G99" s="1"/>
      <c r="H99" s="1"/>
      <c r="I99" s="1"/>
      <c r="J99" s="1"/>
      <c r="K99" s="1"/>
      <c r="L99" s="181"/>
      <c r="M99" s="221">
        <f t="shared" si="24"/>
        <v>0.13516666666666668</v>
      </c>
      <c r="N99" s="192">
        <v>723.79946774885582</v>
      </c>
      <c r="O99" s="194">
        <v>798.67527475735801</v>
      </c>
      <c r="P99" s="194">
        <v>873.55108176586054</v>
      </c>
      <c r="Q99" s="194">
        <v>948.42688877436285</v>
      </c>
      <c r="R99" s="194">
        <v>1023.3026957828652</v>
      </c>
      <c r="S99" s="194">
        <v>1098.1785027913677</v>
      </c>
      <c r="T99" s="194">
        <v>1173.05430979987</v>
      </c>
    </row>
    <row r="100" spans="4:20" ht="17.100000000000001" customHeight="1" x14ac:dyDescent="0.2">
      <c r="D100" s="1"/>
      <c r="E100" s="1"/>
      <c r="F100" s="1"/>
      <c r="G100" s="1"/>
      <c r="H100" s="1"/>
      <c r="I100" s="1"/>
      <c r="J100" s="1"/>
      <c r="K100" s="1"/>
      <c r="L100" s="183"/>
      <c r="M100" s="222">
        <f t="shared" si="24"/>
        <v>0.13466666666666668</v>
      </c>
      <c r="N100" s="192">
        <v>684.37858116774441</v>
      </c>
      <c r="O100" s="194">
        <v>755.17636542647642</v>
      </c>
      <c r="P100" s="194">
        <v>825.97414968520854</v>
      </c>
      <c r="Q100" s="194">
        <v>896.77193394394078</v>
      </c>
      <c r="R100" s="194">
        <v>967.56971820267302</v>
      </c>
      <c r="S100" s="194">
        <v>1038.3675024614054</v>
      </c>
      <c r="T100" s="194">
        <v>1109.1652867201374</v>
      </c>
    </row>
    <row r="101" spans="4:20" ht="17.100000000000001" customHeight="1" x14ac:dyDescent="0.2">
      <c r="D101" s="1"/>
      <c r="E101" s="1"/>
      <c r="F101" s="1"/>
      <c r="G101" s="1"/>
      <c r="H101" s="1"/>
      <c r="I101" s="1"/>
      <c r="J101" s="1"/>
      <c r="K101" s="1"/>
      <c r="L101" s="178"/>
    </row>
    <row r="102" spans="4:20" ht="17.100000000000001" customHeight="1" x14ac:dyDescent="0.2">
      <c r="D102" s="1"/>
      <c r="E102" s="1"/>
      <c r="F102" s="1"/>
      <c r="G102" s="1"/>
      <c r="H102" s="1"/>
      <c r="I102" s="1"/>
      <c r="J102" s="1"/>
      <c r="K102" s="1"/>
      <c r="L102" s="196" t="s">
        <v>331</v>
      </c>
      <c r="M102" s="197">
        <v>2.9000000000000001E-2</v>
      </c>
      <c r="N102" s="198"/>
      <c r="O102" s="199">
        <f>M102</f>
        <v>2.9000000000000001E-2</v>
      </c>
      <c r="Q102" s="188" t="s">
        <v>335</v>
      </c>
      <c r="R102" s="154">
        <f>MAX(N94:T100)</f>
        <v>1645.8041624752375</v>
      </c>
    </row>
    <row r="103" spans="4:20" ht="17.100000000000001" customHeight="1" x14ac:dyDescent="0.2">
      <c r="D103" s="1"/>
      <c r="E103" s="1"/>
      <c r="F103" s="1"/>
      <c r="G103" s="1"/>
      <c r="H103" s="1"/>
      <c r="I103" s="1"/>
      <c r="J103" s="1"/>
      <c r="K103" s="1"/>
      <c r="L103" s="200" t="s">
        <v>345</v>
      </c>
      <c r="M103" s="159">
        <f>E32</f>
        <v>0.13766666666666669</v>
      </c>
      <c r="N103" s="1"/>
      <c r="O103" s="158">
        <f>M103</f>
        <v>0.13766666666666669</v>
      </c>
      <c r="P103" s="1"/>
      <c r="Q103" s="181" t="s">
        <v>336</v>
      </c>
      <c r="R103" s="140">
        <f>AVERAGE(N94:T100)</f>
        <v>1090.2304728997335</v>
      </c>
      <c r="S103" s="1"/>
      <c r="T103" s="1"/>
    </row>
    <row r="104" spans="4:20" ht="17.100000000000001" customHeight="1" x14ac:dyDescent="0.2">
      <c r="D104" s="1"/>
      <c r="E104" s="1"/>
      <c r="F104" s="1"/>
      <c r="G104" s="1"/>
      <c r="H104" s="1"/>
      <c r="I104" s="1"/>
      <c r="J104" s="1"/>
      <c r="K104" s="1"/>
      <c r="L104" s="201" t="s">
        <v>334</v>
      </c>
      <c r="M104" s="23"/>
      <c r="O104" s="202">
        <f>O102*$F$30*(1+$O$103)/($M$35-$O$103)</f>
        <v>1.7099999999999977</v>
      </c>
      <c r="Q104" s="181" t="s">
        <v>337</v>
      </c>
      <c r="R104" s="140">
        <f>MEDIAN(N94:T100)</f>
        <v>1071.7292235286666</v>
      </c>
    </row>
    <row r="105" spans="4:20" ht="17.100000000000001" customHeight="1" x14ac:dyDescent="0.2">
      <c r="D105" s="1"/>
      <c r="E105" s="1"/>
      <c r="F105" s="1"/>
      <c r="G105" s="1"/>
      <c r="H105" s="1"/>
      <c r="I105" s="1"/>
      <c r="J105" s="1"/>
      <c r="K105" s="1"/>
      <c r="L105" s="203" t="s">
        <v>333</v>
      </c>
      <c r="M105" s="15"/>
      <c r="N105" s="15"/>
      <c r="O105" s="223">
        <f>O104*N39</f>
        <v>1015.4961853570612</v>
      </c>
      <c r="Q105" s="183" t="s">
        <v>338</v>
      </c>
      <c r="R105" s="163">
        <f>MIN(N94:T100)</f>
        <v>684.37858116774441</v>
      </c>
    </row>
    <row r="106" spans="4:20" ht="17.100000000000001" customHeight="1" x14ac:dyDescent="0.2">
      <c r="D106" s="1"/>
      <c r="E106" s="1"/>
      <c r="F106" s="1"/>
      <c r="G106" s="1"/>
      <c r="H106" s="1"/>
      <c r="I106" s="1"/>
      <c r="J106" s="1"/>
      <c r="K106" s="1"/>
      <c r="L106" s="178"/>
    </row>
    <row r="107" spans="4:20" ht="17.100000000000001" customHeight="1" x14ac:dyDescent="0.2">
      <c r="D107" s="1"/>
      <c r="E107" s="1"/>
      <c r="F107" s="1"/>
      <c r="G107" s="1"/>
      <c r="H107" s="1"/>
      <c r="I107" s="1"/>
      <c r="J107" s="1"/>
      <c r="K107" s="1"/>
      <c r="L107" s="178"/>
    </row>
    <row r="108" spans="4:20" ht="17.100000000000001" customHeight="1" x14ac:dyDescent="0.2">
      <c r="D108" s="1"/>
      <c r="E108" s="1"/>
      <c r="F108" s="1"/>
      <c r="G108" s="1"/>
      <c r="H108" s="1"/>
      <c r="I108" s="1"/>
      <c r="J108" s="1"/>
      <c r="K108" s="1"/>
      <c r="L108" s="178"/>
    </row>
    <row r="109" spans="4:20" ht="17.100000000000001" customHeight="1" x14ac:dyDescent="0.2">
      <c r="D109" s="1"/>
      <c r="E109" s="1"/>
      <c r="F109" s="1"/>
      <c r="G109" s="1"/>
      <c r="H109" s="1"/>
      <c r="I109" s="1"/>
      <c r="J109" s="1"/>
      <c r="K109" s="1"/>
      <c r="L109" s="178"/>
    </row>
    <row r="110" spans="4:20" ht="17.100000000000001" customHeight="1" x14ac:dyDescent="0.2">
      <c r="D110" s="1"/>
      <c r="E110" s="1"/>
      <c r="F110" s="1"/>
      <c r="G110" s="1"/>
      <c r="H110" s="1"/>
      <c r="I110" s="1"/>
      <c r="J110" s="1"/>
      <c r="K110" s="1"/>
      <c r="L110" s="178"/>
    </row>
    <row r="111" spans="4:20" ht="17.100000000000001" customHeight="1" x14ac:dyDescent="0.2">
      <c r="D111" s="1"/>
      <c r="E111" s="1"/>
      <c r="F111" s="1"/>
      <c r="G111" s="1"/>
      <c r="H111" s="1"/>
      <c r="I111" s="1"/>
      <c r="J111" s="1"/>
      <c r="K111" s="1"/>
      <c r="L111" s="178"/>
    </row>
    <row r="112" spans="4:20" ht="17.100000000000001" customHeight="1" x14ac:dyDescent="0.2">
      <c r="D112" s="1"/>
      <c r="E112" s="1"/>
      <c r="F112" s="1"/>
      <c r="G112" s="1"/>
      <c r="H112" s="1"/>
      <c r="I112" s="1"/>
      <c r="J112" s="1"/>
      <c r="K112" s="1"/>
      <c r="L112" s="178"/>
    </row>
    <row r="113" spans="4:17" ht="17.100000000000001" customHeight="1" x14ac:dyDescent="0.2">
      <c r="D113" s="1"/>
      <c r="E113" s="1"/>
      <c r="F113" s="1"/>
      <c r="G113" s="1"/>
      <c r="H113" s="1"/>
      <c r="I113" s="1"/>
      <c r="J113" s="1"/>
      <c r="K113" s="1"/>
      <c r="L113" s="178"/>
    </row>
    <row r="114" spans="4:17" ht="17.100000000000001" customHeight="1" x14ac:dyDescent="0.2">
      <c r="D114" s="1"/>
      <c r="E114" s="1"/>
      <c r="F114" s="1"/>
      <c r="G114" s="1"/>
      <c r="H114" s="1"/>
      <c r="I114" s="1"/>
      <c r="J114" s="1"/>
      <c r="K114" s="1"/>
      <c r="L114" s="178"/>
    </row>
    <row r="115" spans="4:17" ht="17.100000000000001" customHeight="1" x14ac:dyDescent="0.2">
      <c r="D115" s="1"/>
      <c r="E115" s="1"/>
      <c r="F115" s="1"/>
      <c r="G115" s="1"/>
      <c r="H115" s="1"/>
      <c r="I115" s="1"/>
      <c r="J115" s="1"/>
      <c r="K115" s="1"/>
      <c r="L115" s="178"/>
    </row>
    <row r="116" spans="4:17" ht="17.100000000000001" customHeight="1" x14ac:dyDescent="0.2">
      <c r="D116" s="1"/>
      <c r="E116" s="1"/>
      <c r="F116" s="1"/>
      <c r="G116" s="1"/>
      <c r="H116" s="1"/>
      <c r="I116" s="1"/>
      <c r="J116" s="1"/>
      <c r="K116" s="1"/>
      <c r="L116" s="178"/>
    </row>
    <row r="117" spans="4:17" ht="17.100000000000001" customHeight="1" x14ac:dyDescent="0.2">
      <c r="D117" s="1"/>
      <c r="E117" s="1"/>
      <c r="F117" s="1"/>
      <c r="G117" s="1"/>
      <c r="H117" s="1"/>
      <c r="I117" s="1"/>
      <c r="J117" s="1"/>
      <c r="K117" s="1"/>
      <c r="L117" s="178"/>
    </row>
    <row r="118" spans="4:17" ht="17.100000000000001" customHeight="1" x14ac:dyDescent="0.2">
      <c r="D118" s="1"/>
      <c r="E118" s="1"/>
      <c r="F118" s="1"/>
      <c r="G118" s="1"/>
      <c r="H118" s="1"/>
      <c r="I118" s="1"/>
      <c r="J118" s="1"/>
      <c r="K118" s="1"/>
    </row>
    <row r="119" spans="4:17" ht="17.100000000000001" customHeight="1" x14ac:dyDescent="0.2">
      <c r="D119" s="1"/>
      <c r="E119" s="1"/>
      <c r="F119" s="1"/>
      <c r="G119" s="1"/>
    </row>
    <row r="120" spans="4:17" ht="17.100000000000001" customHeight="1" x14ac:dyDescent="0.2">
      <c r="D120" s="32" t="s">
        <v>315</v>
      </c>
      <c r="E120" s="59">
        <f t="shared" ref="E120:O120" si="25">YEAR(E273)</f>
        <v>2014</v>
      </c>
      <c r="F120" s="59">
        <f t="shared" si="25"/>
        <v>2015</v>
      </c>
      <c r="G120" s="59">
        <f t="shared" si="25"/>
        <v>2016</v>
      </c>
      <c r="H120" s="59">
        <f t="shared" si="25"/>
        <v>2017</v>
      </c>
      <c r="I120" s="59">
        <f t="shared" si="25"/>
        <v>2018</v>
      </c>
      <c r="J120" s="59">
        <f t="shared" si="25"/>
        <v>2019</v>
      </c>
      <c r="K120" s="59">
        <f t="shared" si="25"/>
        <v>2020</v>
      </c>
      <c r="L120" s="59">
        <f t="shared" si="25"/>
        <v>2021</v>
      </c>
      <c r="M120" s="59">
        <f t="shared" si="25"/>
        <v>2022</v>
      </c>
      <c r="N120" s="59">
        <f t="shared" si="25"/>
        <v>2023</v>
      </c>
      <c r="O120" s="60">
        <f t="shared" si="25"/>
        <v>2024</v>
      </c>
    </row>
    <row r="121" spans="4:17" ht="17.100000000000001" customHeight="1" x14ac:dyDescent="0.2">
      <c r="D121" s="134" t="s">
        <v>299</v>
      </c>
      <c r="E121" s="37">
        <f t="shared" ref="E121:O121" si="26">1-E186</f>
        <v>0.71599999999999997</v>
      </c>
      <c r="F121" s="37">
        <f t="shared" si="26"/>
        <v>0.72099999999999997</v>
      </c>
      <c r="G121" s="37">
        <f t="shared" si="26"/>
        <v>0.68300000000000005</v>
      </c>
      <c r="H121" s="37">
        <f t="shared" si="26"/>
        <v>0.7</v>
      </c>
      <c r="I121" s="37">
        <f t="shared" si="26"/>
        <v>0.78</v>
      </c>
      <c r="J121" s="37">
        <f t="shared" si="26"/>
        <v>0.71599999999999997</v>
      </c>
      <c r="K121" s="37">
        <f t="shared" si="26"/>
        <v>0.63</v>
      </c>
      <c r="L121" s="37">
        <f t="shared" si="26"/>
        <v>-0.14799999999999991</v>
      </c>
      <c r="M121" s="37">
        <f t="shared" si="26"/>
        <v>0.74399999999999999</v>
      </c>
      <c r="N121" s="37">
        <f t="shared" si="26"/>
        <v>0.80099999999999993</v>
      </c>
      <c r="O121" s="133">
        <f t="shared" si="26"/>
        <v>0.67599999999999993</v>
      </c>
    </row>
    <row r="122" spans="4:17" ht="17.100000000000001" customHeight="1" x14ac:dyDescent="0.2">
      <c r="D122" s="142" t="s">
        <v>316</v>
      </c>
      <c r="E122" s="143">
        <f t="shared" ref="E122:O122" si="27">E277</f>
        <v>0.17699999999999999</v>
      </c>
      <c r="F122" s="143">
        <f t="shared" si="27"/>
        <v>0.20599999999999999</v>
      </c>
      <c r="G122" s="143">
        <f t="shared" si="27"/>
        <v>0.20499999999999999</v>
      </c>
      <c r="H122" s="143">
        <f t="shared" si="27"/>
        <v>0.23200000000000001</v>
      </c>
      <c r="I122" s="143">
        <f t="shared" si="27"/>
        <v>0.26300000000000001</v>
      </c>
      <c r="J122" s="143">
        <f t="shared" si="27"/>
        <v>0.25800000000000001</v>
      </c>
      <c r="K122" s="143">
        <f t="shared" si="27"/>
        <v>0.23699999999999999</v>
      </c>
      <c r="L122" s="143">
        <f t="shared" si="27"/>
        <v>0.27600000000000002</v>
      </c>
      <c r="M122" s="143">
        <f t="shared" si="27"/>
        <v>0.30499999999999999</v>
      </c>
      <c r="N122" s="143">
        <f t="shared" si="27"/>
        <v>0.27500000000000002</v>
      </c>
      <c r="O122" s="38">
        <f t="shared" si="27"/>
        <v>0.30299999999999999</v>
      </c>
      <c r="P122" s="3"/>
      <c r="Q122" s="3"/>
    </row>
    <row r="123" spans="4:17" ht="17.100000000000001" customHeight="1" x14ac:dyDescent="0.2">
      <c r="D123" s="134" t="s">
        <v>298</v>
      </c>
      <c r="E123" s="37">
        <f t="shared" ref="E123:O123" si="28">E121*E122</f>
        <v>0.12673199999999998</v>
      </c>
      <c r="F123" s="37">
        <f t="shared" si="28"/>
        <v>0.14852599999999999</v>
      </c>
      <c r="G123" s="37">
        <f t="shared" si="28"/>
        <v>0.140015</v>
      </c>
      <c r="H123" s="37">
        <f t="shared" si="28"/>
        <v>0.16239999999999999</v>
      </c>
      <c r="I123" s="37">
        <f t="shared" si="28"/>
        <v>0.20514000000000002</v>
      </c>
      <c r="J123" s="37">
        <f t="shared" si="28"/>
        <v>0.184728</v>
      </c>
      <c r="K123" s="37">
        <f t="shared" si="28"/>
        <v>0.14931</v>
      </c>
      <c r="L123" s="37">
        <f t="shared" si="28"/>
        <v>-4.0847999999999982E-2</v>
      </c>
      <c r="M123" s="37">
        <f t="shared" si="28"/>
        <v>0.22691999999999998</v>
      </c>
      <c r="N123" s="37">
        <f t="shared" si="28"/>
        <v>0.220275</v>
      </c>
      <c r="O123" s="133">
        <f t="shared" si="28"/>
        <v>0.20482799999999998</v>
      </c>
    </row>
    <row r="124" spans="4:17" ht="17.100000000000001" customHeight="1" x14ac:dyDescent="0.2">
      <c r="D124" s="142" t="s">
        <v>317</v>
      </c>
      <c r="E124" s="143">
        <f>E276</f>
        <v>0.17899999999999999</v>
      </c>
      <c r="F124" s="143">
        <f t="shared" ref="F124:O124" si="29">F276</f>
        <v>0.21299999999999999</v>
      </c>
      <c r="G124" s="143">
        <f t="shared" si="29"/>
        <v>0.20599999999999999</v>
      </c>
      <c r="H124" s="143">
        <f t="shared" si="29"/>
        <v>0.22800000000000001</v>
      </c>
      <c r="I124" s="143">
        <f t="shared" si="29"/>
        <v>0.224</v>
      </c>
      <c r="J124" s="143">
        <f t="shared" si="29"/>
        <v>0.20300000000000001</v>
      </c>
      <c r="K124" s="143">
        <f t="shared" si="29"/>
        <v>0.17799999999999999</v>
      </c>
      <c r="L124" s="143">
        <f t="shared" si="29"/>
        <v>0.22500000000000001</v>
      </c>
      <c r="M124" s="143">
        <f t="shared" si="29"/>
        <v>0.245</v>
      </c>
      <c r="N124" s="143">
        <f t="shared" si="29"/>
        <v>0.23400000000000001</v>
      </c>
      <c r="O124" s="38">
        <f t="shared" si="29"/>
        <v>0.27</v>
      </c>
    </row>
    <row r="125" spans="4:17" ht="17.100000000000001" customHeight="1" x14ac:dyDescent="0.2">
      <c r="D125" s="142" t="s">
        <v>300</v>
      </c>
      <c r="E125" s="143">
        <f t="shared" ref="E125:O125" si="30">E173</f>
        <v>1.7999999999999999E-2</v>
      </c>
      <c r="F125" s="143">
        <f t="shared" si="30"/>
        <v>0.02</v>
      </c>
      <c r="G125" s="143">
        <f t="shared" si="30"/>
        <v>0.02</v>
      </c>
      <c r="H125" s="143">
        <f t="shared" si="30"/>
        <v>2.1000000000000001E-2</v>
      </c>
      <c r="I125" s="143">
        <f t="shared" si="30"/>
        <v>2.1999999999999999E-2</v>
      </c>
      <c r="J125" s="143">
        <f t="shared" si="30"/>
        <v>2.4E-2</v>
      </c>
      <c r="K125" s="143">
        <f t="shared" si="30"/>
        <v>2.4E-2</v>
      </c>
      <c r="L125" s="143">
        <f t="shared" si="30"/>
        <v>2.5999999999999999E-2</v>
      </c>
      <c r="M125" s="143">
        <f t="shared" si="30"/>
        <v>2.5999999999999999E-2</v>
      </c>
      <c r="N125" s="143">
        <f t="shared" si="30"/>
        <v>2.5999999999999999E-2</v>
      </c>
      <c r="O125" s="38">
        <f t="shared" si="30"/>
        <v>2.9000000000000001E-2</v>
      </c>
    </row>
    <row r="126" spans="4:17" ht="17.100000000000001" customHeight="1" x14ac:dyDescent="0.2">
      <c r="D126" s="144" t="s">
        <v>314</v>
      </c>
      <c r="E126" s="145">
        <f t="shared" ref="E126:O126" si="31">IFERROR(E142/E242,"")</f>
        <v>9.0003995205753089</v>
      </c>
      <c r="F126" s="145">
        <f t="shared" si="31"/>
        <v>10.716499123858711</v>
      </c>
      <c r="G126" s="145">
        <f t="shared" si="31"/>
        <v>9.6269056114174507</v>
      </c>
      <c r="H126" s="145">
        <f t="shared" si="31"/>
        <v>11.645906670277101</v>
      </c>
      <c r="I126" s="145">
        <f t="shared" si="31"/>
        <v>10.804853850263299</v>
      </c>
      <c r="J126" s="145">
        <f t="shared" si="31"/>
        <v>9.798703798767967</v>
      </c>
      <c r="K126" s="145">
        <f t="shared" si="31"/>
        <v>8.9153167602245382</v>
      </c>
      <c r="L126" s="145">
        <f t="shared" si="31"/>
        <v>10.837979865029318</v>
      </c>
      <c r="M126" s="145">
        <f t="shared" si="31"/>
        <v>10.992105390613649</v>
      </c>
      <c r="N126" s="145">
        <f t="shared" si="31"/>
        <v>9.6691675313273198</v>
      </c>
      <c r="O126" s="146">
        <f t="shared" si="31"/>
        <v>10.771865210397088</v>
      </c>
    </row>
    <row r="127" spans="4:17" ht="17.100000000000001" customHeight="1" x14ac:dyDescent="0.2">
      <c r="D127" s="134" t="s">
        <v>301</v>
      </c>
      <c r="E127" s="37">
        <f t="shared" ref="E127:O127" si="32">IFERROR(E125*E126,"")</f>
        <v>0.16200719137035555</v>
      </c>
      <c r="F127" s="37">
        <f t="shared" si="32"/>
        <v>0.21432998247717422</v>
      </c>
      <c r="G127" s="37">
        <f t="shared" si="32"/>
        <v>0.19253811222834902</v>
      </c>
      <c r="H127" s="37">
        <f t="shared" si="32"/>
        <v>0.24456404007581914</v>
      </c>
      <c r="I127" s="37">
        <f t="shared" si="32"/>
        <v>0.23770678470579257</v>
      </c>
      <c r="J127" s="37">
        <f t="shared" si="32"/>
        <v>0.23516889117043122</v>
      </c>
      <c r="K127" s="37">
        <f t="shared" si="32"/>
        <v>0.21396760224538891</v>
      </c>
      <c r="L127" s="37">
        <f t="shared" si="32"/>
        <v>0.28178747649076225</v>
      </c>
      <c r="M127" s="37">
        <f t="shared" si="32"/>
        <v>0.28579474015595485</v>
      </c>
      <c r="N127" s="37">
        <f t="shared" si="32"/>
        <v>0.25139835581451031</v>
      </c>
      <c r="O127" s="133">
        <f t="shared" si="32"/>
        <v>0.31238409110151555</v>
      </c>
    </row>
    <row r="128" spans="4:17" ht="17.100000000000001" customHeight="1" x14ac:dyDescent="0.2">
      <c r="D128" s="134" t="s">
        <v>302</v>
      </c>
      <c r="E128" s="37">
        <f t="shared" ref="E128:O128" si="33">E122-E127</f>
        <v>1.4992808629644444E-2</v>
      </c>
      <c r="F128" s="37">
        <f t="shared" si="33"/>
        <v>-8.3299824771742303E-3</v>
      </c>
      <c r="G128" s="37">
        <f t="shared" si="33"/>
        <v>1.246188777165097E-2</v>
      </c>
      <c r="H128" s="37">
        <f t="shared" si="33"/>
        <v>-1.2564040075819127E-2</v>
      </c>
      <c r="I128" s="37">
        <f t="shared" si="33"/>
        <v>2.5293215294207444E-2</v>
      </c>
      <c r="J128" s="37">
        <f t="shared" si="33"/>
        <v>2.2831108829568791E-2</v>
      </c>
      <c r="K128" s="37">
        <f t="shared" si="33"/>
        <v>2.3032397754611078E-2</v>
      </c>
      <c r="L128" s="37">
        <f t="shared" si="33"/>
        <v>-5.7874764907622223E-3</v>
      </c>
      <c r="M128" s="37">
        <f t="shared" si="33"/>
        <v>1.9205259844045142E-2</v>
      </c>
      <c r="N128" s="37">
        <f t="shared" si="33"/>
        <v>2.3601644185489712E-2</v>
      </c>
      <c r="O128" s="133">
        <f t="shared" si="33"/>
        <v>-9.384091101515557E-3</v>
      </c>
    </row>
    <row r="129" spans="4:17" ht="17.100000000000001" customHeight="1" x14ac:dyDescent="0.2">
      <c r="D129" s="134" t="s">
        <v>313</v>
      </c>
      <c r="E129" s="39">
        <f>E242</f>
        <v>12515</v>
      </c>
      <c r="F129" s="39">
        <f t="shared" ref="F129:O129" si="34">F242</f>
        <v>10843</v>
      </c>
      <c r="G129" s="39">
        <f t="shared" si="34"/>
        <v>12332</v>
      </c>
      <c r="H129" s="39">
        <f t="shared" si="34"/>
        <v>11079</v>
      </c>
      <c r="I129" s="39">
        <f t="shared" si="34"/>
        <v>13103</v>
      </c>
      <c r="J129" s="39">
        <f t="shared" si="34"/>
        <v>15584</v>
      </c>
      <c r="K129" s="39">
        <f t="shared" si="34"/>
        <v>18705</v>
      </c>
      <c r="L129" s="39">
        <f t="shared" si="34"/>
        <v>18078</v>
      </c>
      <c r="M129" s="39">
        <f t="shared" si="34"/>
        <v>20647</v>
      </c>
      <c r="N129" s="39">
        <f t="shared" si="34"/>
        <v>25058</v>
      </c>
      <c r="O129" s="36">
        <f t="shared" si="34"/>
        <v>23622</v>
      </c>
    </row>
    <row r="130" spans="4:17" ht="17.100000000000001" customHeight="1" x14ac:dyDescent="0.2">
      <c r="D130" s="135" t="s">
        <v>303</v>
      </c>
      <c r="E130" s="136"/>
      <c r="F130" s="137">
        <f>F129/E129-1</f>
        <v>-0.13359968038353975</v>
      </c>
      <c r="G130" s="137">
        <f t="shared" ref="G130:O130" si="35">G129/F129-1</f>
        <v>0.13732361892465184</v>
      </c>
      <c r="H130" s="137">
        <f t="shared" si="35"/>
        <v>-0.10160557898151157</v>
      </c>
      <c r="I130" s="137">
        <f t="shared" si="35"/>
        <v>0.18268796822817945</v>
      </c>
      <c r="J130" s="137">
        <f t="shared" si="35"/>
        <v>0.18934595130886067</v>
      </c>
      <c r="K130" s="137">
        <f t="shared" si="35"/>
        <v>0.20026950718685832</v>
      </c>
      <c r="L130" s="137">
        <f t="shared" si="35"/>
        <v>-3.3520449077786729E-2</v>
      </c>
      <c r="M130" s="137">
        <f t="shared" si="35"/>
        <v>0.14210642770217952</v>
      </c>
      <c r="N130" s="137">
        <f t="shared" si="35"/>
        <v>0.2136387852956847</v>
      </c>
      <c r="O130" s="138">
        <f t="shared" si="35"/>
        <v>-5.7307047649453269E-2</v>
      </c>
    </row>
    <row r="131" spans="4:17" ht="17.100000000000001" customHeight="1" x14ac:dyDescent="0.2">
      <c r="D131" s="134" t="s">
        <v>306</v>
      </c>
      <c r="E131" s="139"/>
      <c r="F131" s="139">
        <f t="shared" ref="F131:O131" si="36">E129*(1+F123)</f>
        <v>14373.802889999999</v>
      </c>
      <c r="G131" s="139">
        <f t="shared" si="36"/>
        <v>12361.182645000001</v>
      </c>
      <c r="H131" s="139">
        <f t="shared" si="36"/>
        <v>14334.716799999998</v>
      </c>
      <c r="I131" s="139">
        <f t="shared" si="36"/>
        <v>13351.746060000001</v>
      </c>
      <c r="J131" s="139">
        <f t="shared" si="36"/>
        <v>15523.490984</v>
      </c>
      <c r="K131" s="139">
        <f t="shared" si="36"/>
        <v>17910.847040000001</v>
      </c>
      <c r="L131" s="139">
        <f t="shared" si="36"/>
        <v>17940.938160000002</v>
      </c>
      <c r="M131" s="139">
        <f t="shared" si="36"/>
        <v>22180.259760000001</v>
      </c>
      <c r="N131" s="139">
        <f t="shared" si="36"/>
        <v>25195.017925</v>
      </c>
      <c r="O131" s="140">
        <f t="shared" si="36"/>
        <v>30190.580023999999</v>
      </c>
    </row>
    <row r="132" spans="4:17" ht="17.100000000000001" customHeight="1" x14ac:dyDescent="0.2">
      <c r="D132" s="135" t="s">
        <v>303</v>
      </c>
      <c r="E132" s="136"/>
      <c r="F132" s="137"/>
      <c r="G132" s="137">
        <f t="shared" ref="G132" si="37">G131/F131-1</f>
        <v>-0.14002002534765512</v>
      </c>
      <c r="H132" s="137">
        <f t="shared" ref="H132" si="38">H131/G131-1</f>
        <v>0.15965577175564793</v>
      </c>
      <c r="I132" s="137">
        <f t="shared" ref="I132" si="39">I131/H131-1</f>
        <v>-6.8572735249293304E-2</v>
      </c>
      <c r="J132" s="137">
        <f t="shared" ref="J132" si="40">J131/I131-1</f>
        <v>0.16265624842178861</v>
      </c>
      <c r="K132" s="137">
        <f t="shared" ref="K132" si="41">K131/J131-1</f>
        <v>0.15378989548553479</v>
      </c>
      <c r="L132" s="137">
        <f t="shared" ref="L132" si="42">L131/K131-1</f>
        <v>1.6800500798650475E-3</v>
      </c>
      <c r="M132" s="137">
        <f t="shared" ref="M132" si="43">M131/L131-1</f>
        <v>0.23629319504883672</v>
      </c>
      <c r="N132" s="137">
        <f t="shared" ref="N132" si="44">N131/M131-1</f>
        <v>0.13592077809822722</v>
      </c>
      <c r="O132" s="138">
        <f t="shared" ref="O132" si="45">O131/N131-1</f>
        <v>0.19827579062934908</v>
      </c>
    </row>
    <row r="133" spans="4:17" ht="17.100000000000001" customHeight="1" x14ac:dyDescent="0.2">
      <c r="D133" s="134" t="s">
        <v>307</v>
      </c>
      <c r="E133" s="139"/>
      <c r="F133" s="139">
        <f>F129-F131</f>
        <v>-3530.802889999999</v>
      </c>
      <c r="G133" s="139">
        <f t="shared" ref="G133:O133" si="46">G129-G131</f>
        <v>-29.182645000000775</v>
      </c>
      <c r="H133" s="139">
        <f t="shared" si="46"/>
        <v>-3255.7167999999983</v>
      </c>
      <c r="I133" s="139">
        <f t="shared" si="46"/>
        <v>-248.74606000000131</v>
      </c>
      <c r="J133" s="139">
        <f t="shared" si="46"/>
        <v>60.509015999999974</v>
      </c>
      <c r="K133" s="139">
        <f t="shared" si="46"/>
        <v>794.15295999999944</v>
      </c>
      <c r="L133" s="139">
        <f t="shared" si="46"/>
        <v>137.06183999999848</v>
      </c>
      <c r="M133" s="139">
        <f t="shared" si="46"/>
        <v>-1533.2597600000008</v>
      </c>
      <c r="N133" s="139">
        <f t="shared" si="46"/>
        <v>-137.0179250000001</v>
      </c>
      <c r="O133" s="140">
        <f t="shared" si="46"/>
        <v>-6568.580023999999</v>
      </c>
    </row>
    <row r="134" spans="4:17" ht="17.100000000000001" customHeight="1" x14ac:dyDescent="0.2">
      <c r="D134" s="134" t="s">
        <v>309</v>
      </c>
      <c r="E134" s="11">
        <f>E249</f>
        <v>5093</v>
      </c>
      <c r="F134" s="11">
        <f t="shared" ref="F134:O134" si="47">F249</f>
        <v>6135</v>
      </c>
      <c r="G134" s="11">
        <f t="shared" si="47"/>
        <v>5161</v>
      </c>
      <c r="H134" s="11">
        <f t="shared" si="47"/>
        <v>6659</v>
      </c>
      <c r="I134" s="11">
        <f t="shared" si="47"/>
        <v>6577</v>
      </c>
      <c r="J134" s="11">
        <f t="shared" si="47"/>
        <v>7244</v>
      </c>
      <c r="K134" s="11">
        <f t="shared" si="47"/>
        <v>11086</v>
      </c>
      <c r="L134" s="11">
        <f t="shared" si="47"/>
        <v>11407</v>
      </c>
      <c r="M134" s="11">
        <f t="shared" si="47"/>
        <v>10906</v>
      </c>
      <c r="N134" s="11">
        <f t="shared" si="47"/>
        <v>10536</v>
      </c>
      <c r="O134" s="13">
        <f t="shared" si="47"/>
        <v>9949</v>
      </c>
    </row>
    <row r="135" spans="4:17" ht="17.100000000000001" customHeight="1" x14ac:dyDescent="0.2">
      <c r="D135" s="134" t="s">
        <v>310</v>
      </c>
      <c r="E135" s="11">
        <f>E250</f>
        <v>-2222</v>
      </c>
      <c r="F135" s="11">
        <f t="shared" ref="F135:O135" si="48">F250</f>
        <v>-284</v>
      </c>
      <c r="G135" s="11">
        <f t="shared" si="48"/>
        <v>432</v>
      </c>
      <c r="H135" s="11">
        <f t="shared" si="48"/>
        <v>880</v>
      </c>
      <c r="I135" s="11">
        <f t="shared" si="48"/>
        <v>-682</v>
      </c>
      <c r="J135" s="11">
        <f t="shared" si="48"/>
        <v>-2200</v>
      </c>
      <c r="K135" s="11">
        <f t="shared" si="48"/>
        <v>-2219</v>
      </c>
      <c r="L135" s="11">
        <f t="shared" si="48"/>
        <v>-768</v>
      </c>
      <c r="M135" s="11">
        <f t="shared" si="48"/>
        <v>-143</v>
      </c>
      <c r="N135" s="11">
        <f t="shared" si="48"/>
        <v>-4698</v>
      </c>
      <c r="O135" s="13">
        <f t="shared" si="48"/>
        <v>-1195</v>
      </c>
    </row>
    <row r="136" spans="4:17" ht="17.100000000000001" customHeight="1" x14ac:dyDescent="0.2">
      <c r="D136" s="141" t="s">
        <v>311</v>
      </c>
      <c r="E136" s="11">
        <f>E129+E135</f>
        <v>10293</v>
      </c>
      <c r="F136" s="11">
        <f t="shared" ref="F136:O136" si="49">F129+F135</f>
        <v>10559</v>
      </c>
      <c r="G136" s="11">
        <f t="shared" si="49"/>
        <v>12764</v>
      </c>
      <c r="H136" s="11">
        <f t="shared" si="49"/>
        <v>11959</v>
      </c>
      <c r="I136" s="11">
        <f t="shared" si="49"/>
        <v>12421</v>
      </c>
      <c r="J136" s="11">
        <f t="shared" si="49"/>
        <v>13384</v>
      </c>
      <c r="K136" s="11">
        <f t="shared" si="49"/>
        <v>16486</v>
      </c>
      <c r="L136" s="11">
        <f t="shared" si="49"/>
        <v>17310</v>
      </c>
      <c r="M136" s="11">
        <f t="shared" si="49"/>
        <v>20504</v>
      </c>
      <c r="N136" s="11">
        <f t="shared" si="49"/>
        <v>20360</v>
      </c>
      <c r="O136" s="13">
        <f t="shared" si="49"/>
        <v>22427</v>
      </c>
    </row>
    <row r="137" spans="4:17" ht="17.100000000000001" customHeight="1" x14ac:dyDescent="0.2">
      <c r="D137" s="147" t="s">
        <v>312</v>
      </c>
      <c r="E137" s="148">
        <f>E142/E136</f>
        <v>10.943359564752745</v>
      </c>
      <c r="F137" s="148">
        <f t="shared" ref="F137:O137" si="50">F142/F136</f>
        <v>11.004735296903116</v>
      </c>
      <c r="G137" s="148">
        <f t="shared" si="50"/>
        <v>9.3010811657787524</v>
      </c>
      <c r="H137" s="148">
        <f t="shared" si="50"/>
        <v>10.788945564010369</v>
      </c>
      <c r="I137" s="148">
        <f t="shared" si="50"/>
        <v>11.398116093712261</v>
      </c>
      <c r="J137" s="148">
        <f t="shared" si="50"/>
        <v>11.409369396294082</v>
      </c>
      <c r="K137" s="148">
        <f t="shared" si="50"/>
        <v>10.115309959966032</v>
      </c>
      <c r="L137" s="148">
        <f t="shared" si="50"/>
        <v>11.318833044482957</v>
      </c>
      <c r="M137" s="148">
        <f t="shared" si="50"/>
        <v>11.068767069840032</v>
      </c>
      <c r="N137" s="148">
        <f t="shared" si="50"/>
        <v>11.900294695481335</v>
      </c>
      <c r="O137" s="149">
        <f t="shared" si="50"/>
        <v>11.345833147545369</v>
      </c>
    </row>
    <row r="140" spans="4:17" ht="17.100000000000001" customHeight="1" x14ac:dyDescent="0.2"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11" t="s">
        <v>123</v>
      </c>
    </row>
    <row r="141" spans="4:17" ht="17.100000000000001" customHeight="1" x14ac:dyDescent="0.2">
      <c r="D141" s="63" t="s">
        <v>122</v>
      </c>
      <c r="E141" s="64" t="s">
        <v>7</v>
      </c>
      <c r="F141" s="64" t="s">
        <v>8</v>
      </c>
      <c r="G141" s="64" t="s">
        <v>9</v>
      </c>
      <c r="H141" s="64" t="s">
        <v>10</v>
      </c>
      <c r="I141" s="64" t="s">
        <v>11</v>
      </c>
      <c r="J141" s="64" t="s">
        <v>12</v>
      </c>
      <c r="K141" s="64" t="s">
        <v>13</v>
      </c>
      <c r="L141" s="64" t="s">
        <v>14</v>
      </c>
      <c r="M141" s="64" t="s">
        <v>15</v>
      </c>
      <c r="N141" s="64" t="s">
        <v>16</v>
      </c>
      <c r="O141" s="64" t="s">
        <v>17</v>
      </c>
      <c r="P141" s="65" t="s">
        <v>18</v>
      </c>
    </row>
    <row r="142" spans="4:17" ht="17.100000000000001" customHeight="1" x14ac:dyDescent="0.2">
      <c r="D142" s="79" t="s">
        <v>19</v>
      </c>
      <c r="E142" s="80">
        <v>112640</v>
      </c>
      <c r="F142" s="80">
        <v>116199</v>
      </c>
      <c r="G142" s="80">
        <v>118719</v>
      </c>
      <c r="H142" s="80">
        <v>129025</v>
      </c>
      <c r="I142" s="80">
        <v>141576</v>
      </c>
      <c r="J142" s="80">
        <v>152703</v>
      </c>
      <c r="K142" s="80">
        <v>166761</v>
      </c>
      <c r="L142" s="80">
        <v>195929</v>
      </c>
      <c r="M142" s="80">
        <v>226954</v>
      </c>
      <c r="N142" s="80">
        <v>242290</v>
      </c>
      <c r="O142" s="80">
        <v>254453</v>
      </c>
      <c r="P142" s="81">
        <v>258805</v>
      </c>
      <c r="Q142" s="25">
        <f>(O142/E142)^(1/10)-1</f>
        <v>8.4904457020126722E-2</v>
      </c>
    </row>
    <row r="143" spans="4:17" ht="17.100000000000001" customHeight="1" x14ac:dyDescent="0.2">
      <c r="D143" s="68" t="s">
        <v>20</v>
      </c>
      <c r="E143" s="69">
        <v>112640</v>
      </c>
      <c r="F143" s="69">
        <v>116199</v>
      </c>
      <c r="G143" s="69">
        <v>118719</v>
      </c>
      <c r="H143" s="69">
        <v>129025</v>
      </c>
      <c r="I143" s="69">
        <v>141576</v>
      </c>
      <c r="J143" s="69">
        <v>152703</v>
      </c>
      <c r="K143" s="69">
        <v>166761</v>
      </c>
      <c r="L143" s="69">
        <v>195929</v>
      </c>
      <c r="M143" s="69">
        <v>226954</v>
      </c>
      <c r="N143" s="69">
        <v>242290</v>
      </c>
      <c r="O143" s="69">
        <v>254453</v>
      </c>
      <c r="P143" s="70">
        <v>258805</v>
      </c>
    </row>
    <row r="144" spans="4:17" ht="17.100000000000001" customHeight="1" x14ac:dyDescent="0.2">
      <c r="D144" s="112" t="s">
        <v>21</v>
      </c>
      <c r="E144" s="113">
        <v>7.0999999999999994E-2</v>
      </c>
      <c r="F144" s="113">
        <v>3.2000000000000001E-2</v>
      </c>
      <c r="G144" s="113">
        <v>2.1999999999999999E-2</v>
      </c>
      <c r="H144" s="113">
        <v>8.6999999999999994E-2</v>
      </c>
      <c r="I144" s="113">
        <v>9.7000000000000003E-2</v>
      </c>
      <c r="J144" s="113">
        <v>7.9000000000000001E-2</v>
      </c>
      <c r="K144" s="113">
        <v>9.1999999999999998E-2</v>
      </c>
      <c r="L144" s="113">
        <v>0.17499999999999999</v>
      </c>
      <c r="M144" s="113">
        <v>0.158</v>
      </c>
      <c r="N144" s="113">
        <v>6.8000000000000005E-2</v>
      </c>
      <c r="O144" s="113">
        <v>0.05</v>
      </c>
      <c r="P144" s="114"/>
    </row>
    <row r="145" spans="4:16" ht="17.100000000000001" customHeight="1" thickBot="1" x14ac:dyDescent="0.25">
      <c r="D145" s="68" t="s">
        <v>22</v>
      </c>
      <c r="E145" s="72">
        <v>-98458</v>
      </c>
      <c r="F145" s="72">
        <v>-101065</v>
      </c>
      <c r="G145" s="72">
        <v>-102901</v>
      </c>
      <c r="H145" s="72">
        <v>-111882</v>
      </c>
      <c r="I145" s="72">
        <v>-123152</v>
      </c>
      <c r="J145" s="72">
        <v>-132886</v>
      </c>
      <c r="K145" s="72">
        <v>-144939</v>
      </c>
      <c r="L145" s="72">
        <v>-170684</v>
      </c>
      <c r="M145" s="72">
        <v>-199382</v>
      </c>
      <c r="N145" s="72">
        <v>-212195</v>
      </c>
      <c r="O145" s="72">
        <v>-222358</v>
      </c>
      <c r="P145" s="75">
        <v>-226010</v>
      </c>
    </row>
    <row r="146" spans="4:16" ht="17.100000000000001" customHeight="1" x14ac:dyDescent="0.2">
      <c r="D146" s="73" t="s">
        <v>23</v>
      </c>
      <c r="E146" s="4">
        <v>14182</v>
      </c>
      <c r="F146" s="4">
        <v>15134</v>
      </c>
      <c r="G146" s="4">
        <v>15818</v>
      </c>
      <c r="H146" s="4">
        <v>17143</v>
      </c>
      <c r="I146" s="4">
        <v>18424</v>
      </c>
      <c r="J146" s="4">
        <v>19817</v>
      </c>
      <c r="K146" s="4">
        <v>21822</v>
      </c>
      <c r="L146" s="4">
        <v>25245</v>
      </c>
      <c r="M146" s="4">
        <v>27572</v>
      </c>
      <c r="N146" s="4">
        <v>30095</v>
      </c>
      <c r="O146" s="4">
        <v>32095</v>
      </c>
      <c r="P146" s="74">
        <v>32795</v>
      </c>
    </row>
    <row r="147" spans="4:16" ht="17.100000000000001" customHeight="1" x14ac:dyDescent="0.2">
      <c r="D147" s="78" t="s">
        <v>21</v>
      </c>
      <c r="E147" s="115">
        <v>7.3999999999999996E-2</v>
      </c>
      <c r="F147" s="115">
        <v>6.7000000000000004E-2</v>
      </c>
      <c r="G147" s="115">
        <v>4.4999999999999998E-2</v>
      </c>
      <c r="H147" s="115">
        <v>8.4000000000000005E-2</v>
      </c>
      <c r="I147" s="115">
        <v>7.4999999999999997E-2</v>
      </c>
      <c r="J147" s="115">
        <v>7.5999999999999998E-2</v>
      </c>
      <c r="K147" s="115">
        <v>0.10100000000000001</v>
      </c>
      <c r="L147" s="115">
        <v>0.157</v>
      </c>
      <c r="M147" s="115">
        <v>9.1999999999999998E-2</v>
      </c>
      <c r="N147" s="115">
        <v>9.1999999999999998E-2</v>
      </c>
      <c r="O147" s="115">
        <v>6.6000000000000003E-2</v>
      </c>
      <c r="P147" s="116"/>
    </row>
    <row r="148" spans="4:16" ht="17.100000000000001" customHeight="1" x14ac:dyDescent="0.2">
      <c r="D148" s="78" t="s">
        <v>24</v>
      </c>
      <c r="E148" s="115">
        <v>0.126</v>
      </c>
      <c r="F148" s="115">
        <v>0.13</v>
      </c>
      <c r="G148" s="115">
        <v>0.13300000000000001</v>
      </c>
      <c r="H148" s="115">
        <v>0.13300000000000001</v>
      </c>
      <c r="I148" s="115">
        <v>0.13</v>
      </c>
      <c r="J148" s="115">
        <v>0.13</v>
      </c>
      <c r="K148" s="115">
        <v>0.13100000000000001</v>
      </c>
      <c r="L148" s="115">
        <v>0.129</v>
      </c>
      <c r="M148" s="115">
        <v>0.121</v>
      </c>
      <c r="N148" s="115">
        <v>0.124</v>
      </c>
      <c r="O148" s="115">
        <v>0.126</v>
      </c>
      <c r="P148" s="117">
        <v>0.127</v>
      </c>
    </row>
    <row r="149" spans="4:16" ht="17.100000000000001" customHeight="1" x14ac:dyDescent="0.2">
      <c r="D149" s="68" t="s">
        <v>25</v>
      </c>
      <c r="E149" s="72">
        <v>-10899</v>
      </c>
      <c r="F149" s="72">
        <v>-11445</v>
      </c>
      <c r="G149" s="72">
        <v>-12068</v>
      </c>
      <c r="H149" s="72">
        <v>-12950</v>
      </c>
      <c r="I149" s="72">
        <v>-13876</v>
      </c>
      <c r="J149" s="72">
        <v>-14994</v>
      </c>
      <c r="K149" s="72">
        <v>-16387</v>
      </c>
      <c r="L149" s="72">
        <v>-18453</v>
      </c>
      <c r="M149" s="72">
        <v>-19661</v>
      </c>
      <c r="N149" s="72">
        <v>-21590</v>
      </c>
      <c r="O149" s="72">
        <v>-22810</v>
      </c>
      <c r="P149" s="75">
        <v>-23298</v>
      </c>
    </row>
    <row r="150" spans="4:16" ht="17.100000000000001" customHeight="1" x14ac:dyDescent="0.2">
      <c r="D150" s="68" t="s">
        <v>26</v>
      </c>
      <c r="E150" s="51">
        <v>-63</v>
      </c>
      <c r="F150" s="51">
        <v>-65</v>
      </c>
      <c r="G150" s="51">
        <v>-78</v>
      </c>
      <c r="H150" s="51">
        <v>-82</v>
      </c>
      <c r="I150" s="51">
        <v>-68</v>
      </c>
      <c r="J150" s="51">
        <v>-86</v>
      </c>
      <c r="K150" s="50"/>
      <c r="L150" s="50"/>
      <c r="M150" s="50"/>
      <c r="N150" s="50"/>
      <c r="O150" s="50"/>
      <c r="P150" s="71"/>
    </row>
    <row r="151" spans="4:16" ht="17.100000000000001" customHeight="1" thickBot="1" x14ac:dyDescent="0.25">
      <c r="D151" s="68" t="s">
        <v>27</v>
      </c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71"/>
    </row>
    <row r="152" spans="4:16" ht="17.100000000000001" customHeight="1" x14ac:dyDescent="0.2">
      <c r="D152" s="73" t="s">
        <v>28</v>
      </c>
      <c r="E152" s="5">
        <v>-10962</v>
      </c>
      <c r="F152" s="5">
        <v>-11510</v>
      </c>
      <c r="G152" s="5">
        <v>-12146</v>
      </c>
      <c r="H152" s="5">
        <v>-13032</v>
      </c>
      <c r="I152" s="5">
        <v>-13944</v>
      </c>
      <c r="J152" s="5">
        <v>-15080</v>
      </c>
      <c r="K152" s="5">
        <v>-16387</v>
      </c>
      <c r="L152" s="5">
        <v>-18453</v>
      </c>
      <c r="M152" s="5">
        <v>-19661</v>
      </c>
      <c r="N152" s="5">
        <v>-21590</v>
      </c>
      <c r="O152" s="5">
        <v>-22810</v>
      </c>
      <c r="P152" s="118">
        <v>-23298</v>
      </c>
    </row>
    <row r="153" spans="4:16" ht="17.100000000000001" customHeight="1" x14ac:dyDescent="0.2">
      <c r="D153" s="68" t="s">
        <v>29</v>
      </c>
      <c r="E153" s="69">
        <v>3220</v>
      </c>
      <c r="F153" s="69">
        <v>3624</v>
      </c>
      <c r="G153" s="69">
        <v>3672</v>
      </c>
      <c r="H153" s="69">
        <v>4111</v>
      </c>
      <c r="I153" s="69">
        <v>4480</v>
      </c>
      <c r="J153" s="69">
        <v>4737</v>
      </c>
      <c r="K153" s="69">
        <v>5435</v>
      </c>
      <c r="L153" s="69">
        <v>6792</v>
      </c>
      <c r="M153" s="69">
        <v>7911</v>
      </c>
      <c r="N153" s="69">
        <v>8505</v>
      </c>
      <c r="O153" s="69">
        <v>9285</v>
      </c>
      <c r="P153" s="70">
        <v>9497</v>
      </c>
    </row>
    <row r="154" spans="4:16" ht="17.100000000000001" customHeight="1" x14ac:dyDescent="0.2">
      <c r="D154" s="78" t="s">
        <v>21</v>
      </c>
      <c r="E154" s="115">
        <v>5.5E-2</v>
      </c>
      <c r="F154" s="115">
        <v>0.125</v>
      </c>
      <c r="G154" s="115">
        <v>1.2999999999999999E-2</v>
      </c>
      <c r="H154" s="115">
        <v>0.12</v>
      </c>
      <c r="I154" s="115">
        <v>0.09</v>
      </c>
      <c r="J154" s="115">
        <v>5.7000000000000002E-2</v>
      </c>
      <c r="K154" s="115">
        <v>0.14699999999999999</v>
      </c>
      <c r="L154" s="115">
        <v>0.25</v>
      </c>
      <c r="M154" s="115">
        <v>0.16500000000000001</v>
      </c>
      <c r="N154" s="115">
        <v>7.4999999999999997E-2</v>
      </c>
      <c r="O154" s="115">
        <v>9.1999999999999998E-2</v>
      </c>
      <c r="P154" s="116"/>
    </row>
    <row r="155" spans="4:16" ht="17.100000000000001" customHeight="1" x14ac:dyDescent="0.2">
      <c r="D155" s="78" t="s">
        <v>30</v>
      </c>
      <c r="E155" s="115">
        <v>2.9000000000000001E-2</v>
      </c>
      <c r="F155" s="115">
        <v>3.1E-2</v>
      </c>
      <c r="G155" s="115">
        <v>3.1E-2</v>
      </c>
      <c r="H155" s="115">
        <v>3.2000000000000001E-2</v>
      </c>
      <c r="I155" s="115">
        <v>3.2000000000000001E-2</v>
      </c>
      <c r="J155" s="115">
        <v>3.1E-2</v>
      </c>
      <c r="K155" s="115">
        <v>3.3000000000000002E-2</v>
      </c>
      <c r="L155" s="115">
        <v>3.5000000000000003E-2</v>
      </c>
      <c r="M155" s="115">
        <v>3.5000000000000003E-2</v>
      </c>
      <c r="N155" s="115">
        <v>3.5000000000000003E-2</v>
      </c>
      <c r="O155" s="115">
        <v>3.5999999999999997E-2</v>
      </c>
      <c r="P155" s="117">
        <v>3.6999999999999998E-2</v>
      </c>
    </row>
    <row r="156" spans="4:16" ht="17.100000000000001" customHeight="1" x14ac:dyDescent="0.2">
      <c r="D156" s="68" t="s">
        <v>31</v>
      </c>
      <c r="E156" s="51">
        <v>-113</v>
      </c>
      <c r="F156" s="51">
        <v>-124</v>
      </c>
      <c r="G156" s="51">
        <v>-133</v>
      </c>
      <c r="H156" s="51">
        <v>-134</v>
      </c>
      <c r="I156" s="51">
        <v>-159</v>
      </c>
      <c r="J156" s="51">
        <v>-150</v>
      </c>
      <c r="K156" s="51">
        <v>-160</v>
      </c>
      <c r="L156" s="51">
        <v>-171</v>
      </c>
      <c r="M156" s="51">
        <v>-158</v>
      </c>
      <c r="N156" s="51">
        <v>-160</v>
      </c>
      <c r="O156" s="51">
        <v>-169</v>
      </c>
      <c r="P156" s="94">
        <v>-168</v>
      </c>
    </row>
    <row r="157" spans="4:16" ht="17.100000000000001" customHeight="1" x14ac:dyDescent="0.2">
      <c r="D157" s="68" t="s">
        <v>32</v>
      </c>
      <c r="E157" s="50">
        <v>52</v>
      </c>
      <c r="F157" s="50">
        <v>50</v>
      </c>
      <c r="G157" s="50">
        <v>41</v>
      </c>
      <c r="H157" s="50">
        <v>50</v>
      </c>
      <c r="I157" s="50">
        <v>75</v>
      </c>
      <c r="J157" s="50">
        <v>126</v>
      </c>
      <c r="K157" s="50">
        <v>89</v>
      </c>
      <c r="L157" s="50">
        <v>41</v>
      </c>
      <c r="M157" s="50">
        <v>61</v>
      </c>
      <c r="N157" s="50">
        <v>470</v>
      </c>
      <c r="O157" s="50">
        <v>533</v>
      </c>
      <c r="P157" s="71">
        <v>475</v>
      </c>
    </row>
    <row r="158" spans="4:16" ht="17.100000000000001" customHeight="1" x14ac:dyDescent="0.2">
      <c r="D158" s="68" t="s">
        <v>33</v>
      </c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71"/>
    </row>
    <row r="159" spans="4:16" ht="17.100000000000001" customHeight="1" x14ac:dyDescent="0.2">
      <c r="D159" s="68" t="s">
        <v>34</v>
      </c>
      <c r="E159" s="50">
        <v>26</v>
      </c>
      <c r="F159" s="50">
        <v>47</v>
      </c>
      <c r="G159" s="50">
        <v>28</v>
      </c>
      <c r="H159" s="51">
        <v>-5</v>
      </c>
      <c r="I159" s="50">
        <v>23</v>
      </c>
      <c r="J159" s="50">
        <v>27</v>
      </c>
      <c r="K159" s="50">
        <v>7</v>
      </c>
      <c r="L159" s="50">
        <v>56</v>
      </c>
      <c r="M159" s="50">
        <v>106</v>
      </c>
      <c r="N159" s="50">
        <v>29</v>
      </c>
      <c r="O159" s="50">
        <v>26</v>
      </c>
      <c r="P159" s="71">
        <v>66</v>
      </c>
    </row>
    <row r="160" spans="4:16" ht="17.100000000000001" customHeight="1" thickBot="1" x14ac:dyDescent="0.25">
      <c r="D160" s="68" t="s">
        <v>35</v>
      </c>
      <c r="E160" s="50">
        <v>12</v>
      </c>
      <c r="F160" s="50">
        <v>7</v>
      </c>
      <c r="G160" s="50">
        <v>11</v>
      </c>
      <c r="H160" s="50">
        <v>17</v>
      </c>
      <c r="I160" s="50">
        <v>23</v>
      </c>
      <c r="J160" s="50">
        <v>25</v>
      </c>
      <c r="K160" s="51">
        <v>-4</v>
      </c>
      <c r="L160" s="50">
        <v>46</v>
      </c>
      <c r="M160" s="50">
        <v>38</v>
      </c>
      <c r="N160" s="50">
        <v>34</v>
      </c>
      <c r="O160" s="50">
        <v>65</v>
      </c>
      <c r="P160" s="71">
        <v>70</v>
      </c>
    </row>
    <row r="161" spans="4:33" ht="17.100000000000001" customHeight="1" x14ac:dyDescent="0.2">
      <c r="D161" s="73" t="s">
        <v>36</v>
      </c>
      <c r="E161" s="4">
        <v>3197</v>
      </c>
      <c r="F161" s="4">
        <v>3604</v>
      </c>
      <c r="G161" s="4">
        <v>3619</v>
      </c>
      <c r="H161" s="4">
        <v>4039</v>
      </c>
      <c r="I161" s="4">
        <v>4442</v>
      </c>
      <c r="J161" s="4">
        <v>4765</v>
      </c>
      <c r="K161" s="4">
        <v>5367</v>
      </c>
      <c r="L161" s="4">
        <v>6764</v>
      </c>
      <c r="M161" s="4">
        <v>7958</v>
      </c>
      <c r="N161" s="4">
        <v>8878</v>
      </c>
      <c r="O161" s="4">
        <v>9740</v>
      </c>
      <c r="P161" s="74">
        <v>9940</v>
      </c>
    </row>
    <row r="162" spans="4:33" ht="17.100000000000001" customHeight="1" x14ac:dyDescent="0.2">
      <c r="D162" s="68" t="s">
        <v>37</v>
      </c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71"/>
    </row>
    <row r="163" spans="4:33" ht="17.100000000000001" customHeight="1" x14ac:dyDescent="0.2">
      <c r="D163" s="68" t="s">
        <v>38</v>
      </c>
      <c r="E163" s="50"/>
      <c r="F163" s="50"/>
      <c r="G163" s="50"/>
      <c r="H163" s="50"/>
      <c r="I163" s="50"/>
      <c r="J163" s="50"/>
      <c r="K163" s="50"/>
      <c r="L163" s="51">
        <v>-84</v>
      </c>
      <c r="M163" s="51">
        <v>-118</v>
      </c>
      <c r="N163" s="51">
        <v>-391</v>
      </c>
      <c r="O163" s="50"/>
      <c r="P163" s="71"/>
      <c r="AD163" s="23">
        <v>4</v>
      </c>
      <c r="AE163" s="23">
        <v>12</v>
      </c>
      <c r="AF163" s="23">
        <v>0.81</v>
      </c>
      <c r="AG163" s="23">
        <f>(AE163*AF163)+AD163</f>
        <v>13.72</v>
      </c>
    </row>
    <row r="164" spans="4:33" ht="17.100000000000001" customHeight="1" x14ac:dyDescent="0.2">
      <c r="D164" s="68" t="s">
        <v>39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71"/>
    </row>
    <row r="165" spans="4:33" ht="17.100000000000001" customHeight="1" thickBot="1" x14ac:dyDescent="0.25">
      <c r="D165" s="68" t="s">
        <v>40</v>
      </c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71"/>
    </row>
    <row r="166" spans="4:33" ht="17.100000000000001" customHeight="1" x14ac:dyDescent="0.2">
      <c r="D166" s="73" t="s">
        <v>41</v>
      </c>
      <c r="E166" s="4">
        <v>3197</v>
      </c>
      <c r="F166" s="4">
        <v>3604</v>
      </c>
      <c r="G166" s="4">
        <v>3619</v>
      </c>
      <c r="H166" s="4">
        <v>4039</v>
      </c>
      <c r="I166" s="4">
        <v>4442</v>
      </c>
      <c r="J166" s="4">
        <v>4765</v>
      </c>
      <c r="K166" s="4">
        <v>5367</v>
      </c>
      <c r="L166" s="4">
        <v>6680</v>
      </c>
      <c r="M166" s="4">
        <v>7840</v>
      </c>
      <c r="N166" s="4">
        <v>8487</v>
      </c>
      <c r="O166" s="4">
        <v>9740</v>
      </c>
      <c r="P166" s="74">
        <v>9940</v>
      </c>
    </row>
    <row r="167" spans="4:33" ht="17.100000000000001" customHeight="1" thickBot="1" x14ac:dyDescent="0.25">
      <c r="D167" s="68" t="s">
        <v>42</v>
      </c>
      <c r="E167" s="72">
        <v>-1109</v>
      </c>
      <c r="F167" s="72">
        <v>-1195</v>
      </c>
      <c r="G167" s="72">
        <v>-1243</v>
      </c>
      <c r="H167" s="72">
        <v>-1325</v>
      </c>
      <c r="I167" s="72">
        <v>-1263</v>
      </c>
      <c r="J167" s="72">
        <v>-1061</v>
      </c>
      <c r="K167" s="72">
        <v>-1308</v>
      </c>
      <c r="L167" s="72">
        <v>-1601</v>
      </c>
      <c r="M167" s="72">
        <v>-1925</v>
      </c>
      <c r="N167" s="72">
        <v>-2195</v>
      </c>
      <c r="O167" s="72">
        <v>-2373</v>
      </c>
      <c r="P167" s="75">
        <v>-2364</v>
      </c>
    </row>
    <row r="168" spans="4:33" ht="17.100000000000001" customHeight="1" thickBot="1" x14ac:dyDescent="0.25">
      <c r="D168" s="73" t="s">
        <v>43</v>
      </c>
      <c r="E168" s="4">
        <v>2088</v>
      </c>
      <c r="F168" s="4">
        <v>2409</v>
      </c>
      <c r="G168" s="4">
        <v>2376</v>
      </c>
      <c r="H168" s="4">
        <v>2714</v>
      </c>
      <c r="I168" s="4">
        <v>3179</v>
      </c>
      <c r="J168" s="4">
        <v>3704</v>
      </c>
      <c r="K168" s="4">
        <v>4059</v>
      </c>
      <c r="L168" s="4">
        <v>5079</v>
      </c>
      <c r="M168" s="4">
        <v>5915</v>
      </c>
      <c r="N168" s="4">
        <v>6292</v>
      </c>
      <c r="O168" s="4">
        <v>7367</v>
      </c>
      <c r="P168" s="74">
        <v>7576</v>
      </c>
    </row>
    <row r="169" spans="4:33" ht="17.100000000000001" customHeight="1" x14ac:dyDescent="0.2">
      <c r="D169" s="73" t="s">
        <v>44</v>
      </c>
      <c r="E169" s="4">
        <v>2088</v>
      </c>
      <c r="F169" s="4">
        <v>2409</v>
      </c>
      <c r="G169" s="4">
        <v>2376</v>
      </c>
      <c r="H169" s="4">
        <v>2714</v>
      </c>
      <c r="I169" s="4">
        <v>3179</v>
      </c>
      <c r="J169" s="4">
        <v>3704</v>
      </c>
      <c r="K169" s="4">
        <v>4059</v>
      </c>
      <c r="L169" s="4">
        <v>5079</v>
      </c>
      <c r="M169" s="4">
        <v>5915</v>
      </c>
      <c r="N169" s="4">
        <v>6292</v>
      </c>
      <c r="O169" s="4">
        <v>7367</v>
      </c>
      <c r="P169" s="74">
        <v>7576</v>
      </c>
    </row>
    <row r="170" spans="4:33" ht="17.100000000000001" customHeight="1" x14ac:dyDescent="0.2">
      <c r="D170" s="68" t="s">
        <v>45</v>
      </c>
      <c r="E170" s="51">
        <v>-30</v>
      </c>
      <c r="F170" s="51">
        <v>-32</v>
      </c>
      <c r="G170" s="51">
        <v>-26</v>
      </c>
      <c r="H170" s="51">
        <v>-35</v>
      </c>
      <c r="I170" s="51">
        <v>-45</v>
      </c>
      <c r="J170" s="51">
        <v>-45</v>
      </c>
      <c r="K170" s="51">
        <v>-57</v>
      </c>
      <c r="L170" s="51">
        <v>-72</v>
      </c>
      <c r="M170" s="51">
        <v>-71</v>
      </c>
      <c r="N170" s="50"/>
      <c r="O170" s="50"/>
      <c r="P170" s="71"/>
    </row>
    <row r="171" spans="4:33" ht="17.100000000000001" customHeight="1" x14ac:dyDescent="0.2">
      <c r="D171" s="79" t="s">
        <v>46</v>
      </c>
      <c r="E171" s="80">
        <v>2058</v>
      </c>
      <c r="F171" s="80">
        <v>2377</v>
      </c>
      <c r="G171" s="80">
        <v>2350</v>
      </c>
      <c r="H171" s="80">
        <v>2679</v>
      </c>
      <c r="I171" s="80">
        <v>3134</v>
      </c>
      <c r="J171" s="80">
        <v>3659</v>
      </c>
      <c r="K171" s="80">
        <v>4002</v>
      </c>
      <c r="L171" s="80">
        <v>5007</v>
      </c>
      <c r="M171" s="80">
        <v>5844</v>
      </c>
      <c r="N171" s="80">
        <v>6292</v>
      </c>
      <c r="O171" s="80">
        <v>7367</v>
      </c>
      <c r="P171" s="81">
        <v>7576</v>
      </c>
    </row>
    <row r="172" spans="4:33" ht="17.100000000000001" customHeight="1" x14ac:dyDescent="0.2">
      <c r="D172" s="68" t="s">
        <v>47</v>
      </c>
      <c r="E172" s="69">
        <v>2058</v>
      </c>
      <c r="F172" s="69">
        <v>2377</v>
      </c>
      <c r="G172" s="69">
        <v>2350</v>
      </c>
      <c r="H172" s="69">
        <v>2679</v>
      </c>
      <c r="I172" s="69">
        <v>3134</v>
      </c>
      <c r="J172" s="69">
        <v>3659</v>
      </c>
      <c r="K172" s="69">
        <v>4002</v>
      </c>
      <c r="L172" s="69">
        <v>5007</v>
      </c>
      <c r="M172" s="69">
        <v>5844</v>
      </c>
      <c r="N172" s="69">
        <v>6292</v>
      </c>
      <c r="O172" s="69">
        <v>7367</v>
      </c>
      <c r="P172" s="70">
        <v>7576</v>
      </c>
    </row>
    <row r="173" spans="4:33" ht="17.100000000000001" customHeight="1" x14ac:dyDescent="0.2">
      <c r="D173" s="119" t="s">
        <v>48</v>
      </c>
      <c r="E173" s="120">
        <v>1.7999999999999999E-2</v>
      </c>
      <c r="F173" s="120">
        <v>0.02</v>
      </c>
      <c r="G173" s="120">
        <v>0.02</v>
      </c>
      <c r="H173" s="120">
        <v>2.1000000000000001E-2</v>
      </c>
      <c r="I173" s="120">
        <v>2.1999999999999999E-2</v>
      </c>
      <c r="J173" s="120">
        <v>2.4E-2</v>
      </c>
      <c r="K173" s="120">
        <v>2.4E-2</v>
      </c>
      <c r="L173" s="120">
        <v>2.5999999999999999E-2</v>
      </c>
      <c r="M173" s="120">
        <v>2.5999999999999999E-2</v>
      </c>
      <c r="N173" s="120">
        <v>2.5999999999999999E-2</v>
      </c>
      <c r="O173" s="120">
        <v>2.9000000000000001E-2</v>
      </c>
      <c r="P173" s="121">
        <v>2.9000000000000001E-2</v>
      </c>
      <c r="Q173" s="24">
        <f>(P173/E173)^(1/10)-1</f>
        <v>4.8847987622069988E-2</v>
      </c>
    </row>
    <row r="174" spans="4:33" ht="17.100000000000001" customHeight="1" x14ac:dyDescent="0.2">
      <c r="D174" s="68" t="s">
        <v>49</v>
      </c>
      <c r="E174" s="69">
        <v>2058</v>
      </c>
      <c r="F174" s="69">
        <v>2377</v>
      </c>
      <c r="G174" s="69">
        <v>2350</v>
      </c>
      <c r="H174" s="69">
        <v>2679</v>
      </c>
      <c r="I174" s="69">
        <v>3134</v>
      </c>
      <c r="J174" s="69">
        <v>3659</v>
      </c>
      <c r="K174" s="69">
        <v>4002</v>
      </c>
      <c r="L174" s="69">
        <v>5007</v>
      </c>
      <c r="M174" s="69">
        <v>5844</v>
      </c>
      <c r="N174" s="69">
        <v>6292</v>
      </c>
      <c r="O174" s="69">
        <v>7367</v>
      </c>
      <c r="P174" s="70">
        <v>7576</v>
      </c>
    </row>
    <row r="175" spans="4:33" ht="17.100000000000001" customHeight="1" x14ac:dyDescent="0.2">
      <c r="D175" s="78" t="s">
        <v>50</v>
      </c>
      <c r="E175" s="115">
        <v>1.7999999999999999E-2</v>
      </c>
      <c r="F175" s="115">
        <v>0.02</v>
      </c>
      <c r="G175" s="115">
        <v>0.02</v>
      </c>
      <c r="H175" s="115">
        <v>2.1000000000000001E-2</v>
      </c>
      <c r="I175" s="115">
        <v>2.1999999999999999E-2</v>
      </c>
      <c r="J175" s="115">
        <v>2.4E-2</v>
      </c>
      <c r="K175" s="115">
        <v>2.4E-2</v>
      </c>
      <c r="L175" s="115">
        <v>2.5999999999999999E-2</v>
      </c>
      <c r="M175" s="115">
        <v>2.5999999999999999E-2</v>
      </c>
      <c r="N175" s="115">
        <v>2.5999999999999999E-2</v>
      </c>
      <c r="O175" s="115">
        <v>2.9000000000000001E-2</v>
      </c>
      <c r="P175" s="117">
        <v>2.9000000000000001E-2</v>
      </c>
    </row>
    <row r="176" spans="4:33" ht="17.100000000000001" customHeight="1" x14ac:dyDescent="0.2">
      <c r="D176" s="78" t="s">
        <v>51</v>
      </c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7"/>
    </row>
    <row r="177" spans="4:17" ht="17.100000000000001" customHeight="1" x14ac:dyDescent="0.2">
      <c r="D177" s="79" t="s">
        <v>52</v>
      </c>
      <c r="E177" s="53">
        <v>4.6500000000000004</v>
      </c>
      <c r="F177" s="53">
        <v>5.37</v>
      </c>
      <c r="G177" s="53">
        <v>5.33</v>
      </c>
      <c r="H177" s="53">
        <v>6.08</v>
      </c>
      <c r="I177" s="53">
        <v>7.09</v>
      </c>
      <c r="J177" s="53">
        <v>8.26</v>
      </c>
      <c r="K177" s="53">
        <v>9.02</v>
      </c>
      <c r="L177" s="53">
        <v>11.27</v>
      </c>
      <c r="M177" s="53">
        <v>13.14</v>
      </c>
      <c r="N177" s="53">
        <v>14.16</v>
      </c>
      <c r="O177" s="53">
        <v>16.559999999999999</v>
      </c>
      <c r="P177" s="93">
        <v>17.02</v>
      </c>
    </row>
    <row r="178" spans="4:17" ht="17.100000000000001" customHeight="1" x14ac:dyDescent="0.2">
      <c r="D178" s="119" t="s">
        <v>21</v>
      </c>
      <c r="E178" s="120">
        <v>4.0000000000000001E-3</v>
      </c>
      <c r="F178" s="120">
        <v>0.155</v>
      </c>
      <c r="G178" s="122">
        <v>-7.0000000000000001E-3</v>
      </c>
      <c r="H178" s="120">
        <v>0.14099999999999999</v>
      </c>
      <c r="I178" s="120">
        <v>0.16600000000000001</v>
      </c>
      <c r="J178" s="120">
        <v>0.16500000000000001</v>
      </c>
      <c r="K178" s="120">
        <v>9.1999999999999998E-2</v>
      </c>
      <c r="L178" s="120">
        <v>0.249</v>
      </c>
      <c r="M178" s="120">
        <v>0.16600000000000001</v>
      </c>
      <c r="N178" s="120">
        <v>7.8E-2</v>
      </c>
      <c r="O178" s="120">
        <v>0.16900000000000001</v>
      </c>
      <c r="P178" s="123"/>
      <c r="Q178" s="24">
        <f>AVERAGE(E178:O178)</f>
        <v>0.12527272727272729</v>
      </c>
    </row>
    <row r="179" spans="4:17" ht="17.100000000000001" customHeight="1" x14ac:dyDescent="0.2">
      <c r="D179" s="68" t="s">
        <v>53</v>
      </c>
      <c r="E179" s="50">
        <v>442.49</v>
      </c>
      <c r="F179" s="50">
        <v>442.72</v>
      </c>
      <c r="G179" s="50">
        <v>441.26</v>
      </c>
      <c r="H179" s="50">
        <v>440.94</v>
      </c>
      <c r="I179" s="50">
        <v>441.83</v>
      </c>
      <c r="J179" s="50">
        <v>442.92</v>
      </c>
      <c r="K179" s="50">
        <v>443.9</v>
      </c>
      <c r="L179" s="50">
        <v>444.35</v>
      </c>
      <c r="M179" s="50">
        <v>444.76</v>
      </c>
      <c r="N179" s="50">
        <v>444.45</v>
      </c>
      <c r="O179" s="50">
        <v>444.76</v>
      </c>
      <c r="P179" s="71">
        <v>444.88</v>
      </c>
    </row>
    <row r="180" spans="4:17" ht="17.100000000000001" customHeight="1" x14ac:dyDescent="0.2">
      <c r="D180" s="78" t="s">
        <v>21</v>
      </c>
      <c r="E180" s="115">
        <v>4.0000000000000001E-3</v>
      </c>
      <c r="F180" s="115">
        <v>1E-3</v>
      </c>
      <c r="G180" s="124">
        <v>-3.0000000000000001E-3</v>
      </c>
      <c r="H180" s="124">
        <v>-1E-3</v>
      </c>
      <c r="I180" s="115">
        <v>2E-3</v>
      </c>
      <c r="J180" s="115">
        <v>2E-3</v>
      </c>
      <c r="K180" s="115">
        <v>2E-3</v>
      </c>
      <c r="L180" s="115">
        <v>1E-3</v>
      </c>
      <c r="M180" s="115">
        <v>1E-3</v>
      </c>
      <c r="N180" s="124">
        <v>-1E-3</v>
      </c>
      <c r="O180" s="115">
        <v>1E-3</v>
      </c>
      <c r="P180" s="116"/>
    </row>
    <row r="181" spans="4:17" ht="17.100000000000001" customHeight="1" x14ac:dyDescent="0.2">
      <c r="D181" s="68" t="s">
        <v>54</v>
      </c>
      <c r="E181" s="50">
        <v>438.69</v>
      </c>
      <c r="F181" s="50">
        <v>439.46</v>
      </c>
      <c r="G181" s="50">
        <v>438.59</v>
      </c>
      <c r="H181" s="50">
        <v>438.44</v>
      </c>
      <c r="I181" s="50">
        <v>438.52</v>
      </c>
      <c r="J181" s="50">
        <v>439.76</v>
      </c>
      <c r="K181" s="50">
        <v>442.3</v>
      </c>
      <c r="L181" s="50">
        <v>443.09</v>
      </c>
      <c r="M181" s="50">
        <v>443.65</v>
      </c>
      <c r="N181" s="50">
        <v>443.85</v>
      </c>
      <c r="O181" s="50">
        <v>443.91</v>
      </c>
      <c r="P181" s="71">
        <v>443.95</v>
      </c>
    </row>
    <row r="182" spans="4:17" ht="17.100000000000001" customHeight="1" x14ac:dyDescent="0.2">
      <c r="D182" s="78" t="s">
        <v>21</v>
      </c>
      <c r="E182" s="115">
        <v>7.0000000000000001E-3</v>
      </c>
      <c r="F182" s="115">
        <v>2E-3</v>
      </c>
      <c r="G182" s="124">
        <v>-2E-3</v>
      </c>
      <c r="H182" s="124">
        <v>0</v>
      </c>
      <c r="I182" s="115">
        <v>0</v>
      </c>
      <c r="J182" s="115">
        <v>3.0000000000000001E-3</v>
      </c>
      <c r="K182" s="115">
        <v>6.0000000000000001E-3</v>
      </c>
      <c r="L182" s="115">
        <v>2E-3</v>
      </c>
      <c r="M182" s="115">
        <v>1E-3</v>
      </c>
      <c r="N182" s="115">
        <v>0</v>
      </c>
      <c r="O182" s="115">
        <v>0</v>
      </c>
      <c r="P182" s="116"/>
    </row>
    <row r="183" spans="4:17" ht="17.100000000000001" customHeight="1" x14ac:dyDescent="0.2">
      <c r="D183" s="68" t="s">
        <v>55</v>
      </c>
      <c r="E183" s="50">
        <v>1.33</v>
      </c>
      <c r="F183" s="50">
        <v>1.51</v>
      </c>
      <c r="G183" s="50">
        <v>1.7</v>
      </c>
      <c r="H183" s="50">
        <v>1.9</v>
      </c>
      <c r="I183" s="50">
        <v>2.14</v>
      </c>
      <c r="J183" s="50">
        <v>2.44</v>
      </c>
      <c r="K183" s="50">
        <v>2.7</v>
      </c>
      <c r="L183" s="50">
        <v>2.98</v>
      </c>
      <c r="M183" s="50">
        <v>3.38</v>
      </c>
      <c r="N183" s="50">
        <v>3.84</v>
      </c>
      <c r="O183" s="50">
        <v>4.3600000000000003</v>
      </c>
      <c r="P183" s="71">
        <v>4.5</v>
      </c>
    </row>
    <row r="184" spans="4:17" ht="17.100000000000001" customHeight="1" x14ac:dyDescent="0.2">
      <c r="D184" s="112" t="s">
        <v>21</v>
      </c>
      <c r="E184" s="113">
        <v>0.13700000000000001</v>
      </c>
      <c r="F184" s="113">
        <v>0.13500000000000001</v>
      </c>
      <c r="G184" s="113">
        <v>0.126</v>
      </c>
      <c r="H184" s="113">
        <v>0.11799999999999999</v>
      </c>
      <c r="I184" s="113">
        <v>0.126</v>
      </c>
      <c r="J184" s="113">
        <v>0.14000000000000001</v>
      </c>
      <c r="K184" s="113">
        <v>0.107</v>
      </c>
      <c r="L184" s="113">
        <v>0.104</v>
      </c>
      <c r="M184" s="113">
        <v>0.13400000000000001</v>
      </c>
      <c r="N184" s="113">
        <v>0.13600000000000001</v>
      </c>
      <c r="O184" s="113">
        <v>0.13500000000000001</v>
      </c>
      <c r="P184" s="114"/>
    </row>
    <row r="185" spans="4:17" ht="17.100000000000001" customHeight="1" x14ac:dyDescent="0.2">
      <c r="D185" s="68" t="s">
        <v>56</v>
      </c>
      <c r="E185" s="50"/>
      <c r="F185" s="50">
        <v>5</v>
      </c>
      <c r="G185" s="50"/>
      <c r="H185" s="50">
        <v>7</v>
      </c>
      <c r="I185" s="50"/>
      <c r="J185" s="50"/>
      <c r="K185" s="50"/>
      <c r="L185" s="50">
        <v>10</v>
      </c>
      <c r="M185" s="50"/>
      <c r="N185" s="50"/>
      <c r="O185" s="50">
        <v>15</v>
      </c>
      <c r="P185" s="71">
        <v>15</v>
      </c>
    </row>
    <row r="186" spans="4:17" ht="17.100000000000001" customHeight="1" x14ac:dyDescent="0.2">
      <c r="D186" s="79" t="s">
        <v>57</v>
      </c>
      <c r="E186" s="56">
        <v>0.28399999999999997</v>
      </c>
      <c r="F186" s="56">
        <v>0.27900000000000003</v>
      </c>
      <c r="G186" s="56">
        <v>0.317</v>
      </c>
      <c r="H186" s="56">
        <v>0.3</v>
      </c>
      <c r="I186" s="56">
        <v>0.22</v>
      </c>
      <c r="J186" s="56">
        <v>0.28399999999999997</v>
      </c>
      <c r="K186" s="56">
        <v>0.37</v>
      </c>
      <c r="L186" s="56">
        <v>1.1479999999999999</v>
      </c>
      <c r="M186" s="56">
        <v>0.25600000000000001</v>
      </c>
      <c r="N186" s="56">
        <v>0.19900000000000001</v>
      </c>
      <c r="O186" s="56">
        <v>0.32400000000000001</v>
      </c>
      <c r="P186" s="101">
        <v>0.26300000000000001</v>
      </c>
    </row>
    <row r="187" spans="4:17" ht="17.100000000000001" customHeight="1" x14ac:dyDescent="0.2">
      <c r="D187" s="68" t="s">
        <v>58</v>
      </c>
      <c r="E187" s="50">
        <v>4.6900000000000004</v>
      </c>
      <c r="F187" s="50">
        <v>5.41</v>
      </c>
      <c r="G187" s="50">
        <v>5.36</v>
      </c>
      <c r="H187" s="50">
        <v>6.11</v>
      </c>
      <c r="I187" s="50">
        <v>7.15</v>
      </c>
      <c r="J187" s="50">
        <v>8.32</v>
      </c>
      <c r="K187" s="50">
        <v>9.0500000000000007</v>
      </c>
      <c r="L187" s="50">
        <v>11.3</v>
      </c>
      <c r="M187" s="50">
        <v>13.17</v>
      </c>
      <c r="N187" s="50">
        <v>14.18</v>
      </c>
      <c r="O187" s="50">
        <v>16.600000000000001</v>
      </c>
      <c r="P187" s="71">
        <v>17.059999999999999</v>
      </c>
    </row>
    <row r="188" spans="4:17" ht="17.100000000000001" customHeight="1" x14ac:dyDescent="0.2">
      <c r="D188" s="68" t="s">
        <v>59</v>
      </c>
      <c r="E188" s="69">
        <v>4249</v>
      </c>
      <c r="F188" s="69">
        <v>4751</v>
      </c>
      <c r="G188" s="69">
        <v>4927</v>
      </c>
      <c r="H188" s="69">
        <v>5481</v>
      </c>
      <c r="I188" s="69">
        <v>5917</v>
      </c>
      <c r="J188" s="69">
        <v>6229</v>
      </c>
      <c r="K188" s="69">
        <v>7080</v>
      </c>
      <c r="L188" s="69">
        <v>8573</v>
      </c>
      <c r="M188" s="69">
        <v>9811</v>
      </c>
      <c r="N188" s="69">
        <v>10582</v>
      </c>
      <c r="O188" s="69">
        <v>11522</v>
      </c>
      <c r="P188" s="70">
        <v>11781</v>
      </c>
    </row>
    <row r="189" spans="4:17" ht="17.100000000000001" customHeight="1" x14ac:dyDescent="0.2">
      <c r="D189" s="78" t="s">
        <v>21</v>
      </c>
      <c r="E189" s="115">
        <v>6.3E-2</v>
      </c>
      <c r="F189" s="115">
        <v>0.11799999999999999</v>
      </c>
      <c r="G189" s="115">
        <v>3.6999999999999998E-2</v>
      </c>
      <c r="H189" s="115">
        <v>0.112</v>
      </c>
      <c r="I189" s="115">
        <v>0.08</v>
      </c>
      <c r="J189" s="115">
        <v>5.2999999999999999E-2</v>
      </c>
      <c r="K189" s="115">
        <v>0.13700000000000001</v>
      </c>
      <c r="L189" s="115">
        <v>0.21099999999999999</v>
      </c>
      <c r="M189" s="115">
        <v>0.14399999999999999</v>
      </c>
      <c r="N189" s="115">
        <v>7.9000000000000001E-2</v>
      </c>
      <c r="O189" s="115">
        <v>8.8999999999999996E-2</v>
      </c>
      <c r="P189" s="116"/>
    </row>
    <row r="190" spans="4:17" ht="17.100000000000001" customHeight="1" x14ac:dyDescent="0.2">
      <c r="D190" s="125" t="s">
        <v>60</v>
      </c>
      <c r="E190" s="126">
        <v>4479</v>
      </c>
      <c r="F190" s="126">
        <v>5003</v>
      </c>
      <c r="G190" s="126">
        <v>5177</v>
      </c>
      <c r="H190" s="126">
        <v>5739</v>
      </c>
      <c r="I190" s="127"/>
      <c r="J190" s="127"/>
      <c r="K190" s="126">
        <v>7419</v>
      </c>
      <c r="L190" s="126">
        <v>9020</v>
      </c>
      <c r="M190" s="126">
        <v>10265</v>
      </c>
      <c r="N190" s="126">
        <v>11051</v>
      </c>
      <c r="O190" s="126">
        <v>11969</v>
      </c>
      <c r="P190" s="128"/>
    </row>
    <row r="191" spans="4:17" ht="17.100000000000001" customHeight="1" x14ac:dyDescent="0.2">
      <c r="D191" s="68" t="s">
        <v>61</v>
      </c>
      <c r="E191" s="55">
        <v>0.34699999999999998</v>
      </c>
      <c r="F191" s="55">
        <v>0.33200000000000002</v>
      </c>
      <c r="G191" s="55">
        <v>0.34300000000000003</v>
      </c>
      <c r="H191" s="55">
        <v>0.32800000000000001</v>
      </c>
      <c r="I191" s="55">
        <v>0.28399999999999997</v>
      </c>
      <c r="J191" s="55">
        <v>0.223</v>
      </c>
      <c r="K191" s="55">
        <v>0.24399999999999999</v>
      </c>
      <c r="L191" s="55">
        <v>0.24</v>
      </c>
      <c r="M191" s="55">
        <v>0.246</v>
      </c>
      <c r="N191" s="55">
        <v>0.25900000000000001</v>
      </c>
      <c r="O191" s="55">
        <v>0.24399999999999999</v>
      </c>
      <c r="P191" s="90">
        <v>0.23799999999999999</v>
      </c>
    </row>
    <row r="192" spans="4:17" ht="17.100000000000001" customHeight="1" x14ac:dyDescent="0.2">
      <c r="D192" s="68" t="s">
        <v>62</v>
      </c>
      <c r="E192" s="55">
        <v>0.06</v>
      </c>
      <c r="F192" s="55">
        <v>7.0000000000000007E-2</v>
      </c>
      <c r="G192" s="55">
        <v>0.04</v>
      </c>
      <c r="H192" s="55">
        <v>0.04</v>
      </c>
      <c r="I192" s="55">
        <v>7.0000000000000007E-2</v>
      </c>
      <c r="J192" s="55">
        <v>0.06</v>
      </c>
      <c r="K192" s="55">
        <v>0.09</v>
      </c>
      <c r="L192" s="55">
        <v>0.13</v>
      </c>
      <c r="M192" s="55">
        <v>0.11</v>
      </c>
      <c r="N192" s="55">
        <v>0.05</v>
      </c>
      <c r="O192" s="55">
        <v>0.06</v>
      </c>
      <c r="P192" s="71"/>
    </row>
    <row r="193" spans="4:16" ht="17.100000000000001" customHeight="1" x14ac:dyDescent="0.2">
      <c r="D193" s="78" t="s">
        <v>63</v>
      </c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7"/>
    </row>
    <row r="194" spans="4:16" ht="17.100000000000001" customHeight="1" x14ac:dyDescent="0.2">
      <c r="D194" s="68" t="s">
        <v>64</v>
      </c>
      <c r="E194" s="69">
        <v>61164.12</v>
      </c>
      <c r="F194" s="69">
        <v>71341.02</v>
      </c>
      <c r="G194" s="69">
        <v>65726.87</v>
      </c>
      <c r="H194" s="69">
        <v>74996.160000000003</v>
      </c>
      <c r="I194" s="69">
        <v>96432.14</v>
      </c>
      <c r="J194" s="69">
        <v>131584.16</v>
      </c>
      <c r="K194" s="69">
        <v>168160.83</v>
      </c>
      <c r="L194" s="69">
        <v>235841.13</v>
      </c>
      <c r="M194" s="69">
        <v>231778.51</v>
      </c>
      <c r="N194" s="69">
        <v>261819.06</v>
      </c>
      <c r="O194" s="69">
        <v>427127.32</v>
      </c>
      <c r="P194" s="70">
        <v>427127.32</v>
      </c>
    </row>
    <row r="195" spans="4:16" ht="17.100000000000001" customHeight="1" x14ac:dyDescent="0.2">
      <c r="D195" s="129" t="s">
        <v>65</v>
      </c>
      <c r="E195" s="130">
        <v>139.72</v>
      </c>
      <c r="F195" s="130">
        <v>163.1</v>
      </c>
      <c r="G195" s="130">
        <v>150.36000000000001</v>
      </c>
      <c r="H195" s="130">
        <v>171.62</v>
      </c>
      <c r="I195" s="130">
        <v>220.06</v>
      </c>
      <c r="J195" s="130">
        <v>299.31</v>
      </c>
      <c r="K195" s="130">
        <v>381.12</v>
      </c>
      <c r="L195" s="130">
        <v>533.79</v>
      </c>
      <c r="M195" s="130">
        <v>523.66999999999996</v>
      </c>
      <c r="N195" s="130">
        <v>591.36</v>
      </c>
      <c r="O195" s="130">
        <v>964.01</v>
      </c>
      <c r="P195" s="131">
        <v>964.01</v>
      </c>
    </row>
    <row r="196" spans="4:16" ht="17.100000000000001" customHeight="1" x14ac:dyDescent="0.2">
      <c r="D196" s="68" t="s">
        <v>66</v>
      </c>
      <c r="E196" s="69">
        <v>59347.12</v>
      </c>
      <c r="F196" s="69">
        <v>71591.02</v>
      </c>
      <c r="G196" s="69">
        <v>66785.87</v>
      </c>
      <c r="H196" s="69">
        <v>76557.16</v>
      </c>
      <c r="I196" s="69">
        <v>96451.14</v>
      </c>
      <c r="J196" s="69">
        <v>129725.16</v>
      </c>
      <c r="K196" s="69">
        <v>166362.82999999999</v>
      </c>
      <c r="L196" s="69">
        <v>235587.13</v>
      </c>
      <c r="M196" s="69">
        <v>231640.51</v>
      </c>
      <c r="N196" s="69">
        <v>257121.06</v>
      </c>
      <c r="O196" s="69">
        <v>425932.32</v>
      </c>
      <c r="P196" s="70">
        <v>425932.32</v>
      </c>
    </row>
    <row r="197" spans="4:16" ht="17.100000000000001" customHeight="1" x14ac:dyDescent="0.2">
      <c r="D197" s="26" t="s">
        <v>308</v>
      </c>
      <c r="E197" s="132"/>
      <c r="F197" s="132">
        <f t="shared" ref="F197:O197" si="51">F195/E195-1</f>
        <v>0.16733466933867724</v>
      </c>
      <c r="G197" s="132">
        <f t="shared" si="51"/>
        <v>-7.8111587982832464E-2</v>
      </c>
      <c r="H197" s="132">
        <f t="shared" si="51"/>
        <v>0.14139398776270284</v>
      </c>
      <c r="I197" s="132">
        <f t="shared" si="51"/>
        <v>0.28225148584081117</v>
      </c>
      <c r="J197" s="132">
        <f t="shared" si="51"/>
        <v>0.36012905571207843</v>
      </c>
      <c r="K197" s="132">
        <f t="shared" si="51"/>
        <v>0.27332865590858968</v>
      </c>
      <c r="L197" s="132">
        <f t="shared" si="51"/>
        <v>0.40058249370277066</v>
      </c>
      <c r="M197" s="132">
        <f t="shared" si="51"/>
        <v>-1.8958766556136264E-2</v>
      </c>
      <c r="N197" s="132">
        <f t="shared" si="51"/>
        <v>0.12926079401149582</v>
      </c>
      <c r="O197" s="132">
        <f t="shared" si="51"/>
        <v>0.63015760281385269</v>
      </c>
      <c r="P197" s="16"/>
    </row>
    <row r="198" spans="4:16" ht="17.100000000000001" customHeight="1" x14ac:dyDescent="0.2"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</row>
    <row r="199" spans="4:16" ht="17.100000000000001" customHeight="1" x14ac:dyDescent="0.2"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</row>
    <row r="200" spans="4:16" ht="17.100000000000001" customHeight="1" x14ac:dyDescent="0.2">
      <c r="D200" s="63" t="s">
        <v>121</v>
      </c>
      <c r="E200" s="64" t="s">
        <v>7</v>
      </c>
      <c r="F200" s="64" t="s">
        <v>8</v>
      </c>
      <c r="G200" s="64" t="s">
        <v>9</v>
      </c>
      <c r="H200" s="64" t="s">
        <v>10</v>
      </c>
      <c r="I200" s="64" t="s">
        <v>11</v>
      </c>
      <c r="J200" s="64" t="s">
        <v>12</v>
      </c>
      <c r="K200" s="64" t="s">
        <v>13</v>
      </c>
      <c r="L200" s="64" t="s">
        <v>14</v>
      </c>
      <c r="M200" s="64" t="s">
        <v>15</v>
      </c>
      <c r="N200" s="64" t="s">
        <v>16</v>
      </c>
      <c r="O200" s="64" t="s">
        <v>17</v>
      </c>
      <c r="P200" s="65" t="s">
        <v>18</v>
      </c>
    </row>
    <row r="201" spans="4:16" ht="17.100000000000001" customHeight="1" x14ac:dyDescent="0.2">
      <c r="D201" s="68" t="s">
        <v>67</v>
      </c>
      <c r="E201" s="69">
        <v>5738</v>
      </c>
      <c r="F201" s="69">
        <v>4801</v>
      </c>
      <c r="G201" s="69">
        <v>3379</v>
      </c>
      <c r="H201" s="69">
        <v>4546</v>
      </c>
      <c r="I201" s="69">
        <v>6055</v>
      </c>
      <c r="J201" s="69">
        <v>8384</v>
      </c>
      <c r="K201" s="69">
        <v>12277</v>
      </c>
      <c r="L201" s="69">
        <v>11258</v>
      </c>
      <c r="M201" s="69">
        <v>10203</v>
      </c>
      <c r="N201" s="69">
        <v>13700</v>
      </c>
      <c r="O201" s="69">
        <v>9906</v>
      </c>
      <c r="P201" s="70">
        <v>10907</v>
      </c>
    </row>
    <row r="202" spans="4:16" ht="17.100000000000001" customHeight="1" x14ac:dyDescent="0.2">
      <c r="D202" s="68" t="s">
        <v>68</v>
      </c>
      <c r="E202" s="69">
        <v>1577</v>
      </c>
      <c r="F202" s="69">
        <v>1618</v>
      </c>
      <c r="G202" s="69">
        <v>1350</v>
      </c>
      <c r="H202" s="69">
        <v>1233</v>
      </c>
      <c r="I202" s="69">
        <v>1204</v>
      </c>
      <c r="J202" s="69">
        <v>1060</v>
      </c>
      <c r="K202" s="69">
        <v>1028</v>
      </c>
      <c r="L202" s="50">
        <v>917</v>
      </c>
      <c r="M202" s="50">
        <v>846</v>
      </c>
      <c r="N202" s="69">
        <v>1534</v>
      </c>
      <c r="O202" s="69">
        <v>1238</v>
      </c>
      <c r="P202" s="71">
        <v>920</v>
      </c>
    </row>
    <row r="203" spans="4:16" ht="17.100000000000001" customHeight="1" x14ac:dyDescent="0.2">
      <c r="D203" s="68" t="s">
        <v>69</v>
      </c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71"/>
    </row>
    <row r="204" spans="4:16" ht="17.100000000000001" customHeight="1" x14ac:dyDescent="0.2">
      <c r="D204" s="68" t="s">
        <v>70</v>
      </c>
      <c r="E204" s="69">
        <v>7315</v>
      </c>
      <c r="F204" s="69">
        <v>6419</v>
      </c>
      <c r="G204" s="69">
        <v>4729</v>
      </c>
      <c r="H204" s="69">
        <v>5779</v>
      </c>
      <c r="I204" s="69">
        <v>7259</v>
      </c>
      <c r="J204" s="69">
        <v>9444</v>
      </c>
      <c r="K204" s="69">
        <v>13305</v>
      </c>
      <c r="L204" s="69">
        <v>12175</v>
      </c>
      <c r="M204" s="69">
        <v>11049</v>
      </c>
      <c r="N204" s="69">
        <v>15234</v>
      </c>
      <c r="O204" s="69">
        <v>11144</v>
      </c>
      <c r="P204" s="70">
        <v>11827</v>
      </c>
    </row>
    <row r="205" spans="4:16" ht="17.100000000000001" customHeight="1" x14ac:dyDescent="0.2">
      <c r="D205" s="68" t="s">
        <v>71</v>
      </c>
      <c r="E205" s="69">
        <v>1044</v>
      </c>
      <c r="F205" s="69">
        <v>1105</v>
      </c>
      <c r="G205" s="69">
        <v>1252</v>
      </c>
      <c r="H205" s="69">
        <v>1432</v>
      </c>
      <c r="I205" s="69">
        <v>1669</v>
      </c>
      <c r="J205" s="69">
        <v>1535</v>
      </c>
      <c r="K205" s="69">
        <v>1550</v>
      </c>
      <c r="L205" s="69">
        <v>1803</v>
      </c>
      <c r="M205" s="69">
        <v>2241</v>
      </c>
      <c r="N205" s="69">
        <v>2285</v>
      </c>
      <c r="O205" s="69">
        <v>2721</v>
      </c>
      <c r="P205" s="70">
        <v>2963</v>
      </c>
    </row>
    <row r="206" spans="4:16" ht="17.100000000000001" customHeight="1" x14ac:dyDescent="0.2">
      <c r="D206" s="68" t="s">
        <v>72</v>
      </c>
      <c r="E206" s="50">
        <v>104</v>
      </c>
      <c r="F206" s="50">
        <v>119</v>
      </c>
      <c r="G206" s="50"/>
      <c r="H206" s="50"/>
      <c r="I206" s="50"/>
      <c r="J206" s="50"/>
      <c r="K206" s="50"/>
      <c r="L206" s="50"/>
      <c r="M206" s="50"/>
      <c r="N206" s="50"/>
      <c r="O206" s="50"/>
      <c r="P206" s="71"/>
    </row>
    <row r="207" spans="4:16" ht="17.100000000000001" customHeight="1" x14ac:dyDescent="0.2">
      <c r="D207" s="68" t="s">
        <v>73</v>
      </c>
      <c r="E207" s="69">
        <v>1148</v>
      </c>
      <c r="F207" s="69">
        <v>1224</v>
      </c>
      <c r="G207" s="69">
        <v>1252</v>
      </c>
      <c r="H207" s="69">
        <v>1432</v>
      </c>
      <c r="I207" s="69">
        <v>1669</v>
      </c>
      <c r="J207" s="69">
        <v>1535</v>
      </c>
      <c r="K207" s="69">
        <v>1550</v>
      </c>
      <c r="L207" s="69">
        <v>1803</v>
      </c>
      <c r="M207" s="69">
        <v>2241</v>
      </c>
      <c r="N207" s="69">
        <v>2285</v>
      </c>
      <c r="O207" s="69">
        <v>2721</v>
      </c>
      <c r="P207" s="70">
        <v>2963</v>
      </c>
    </row>
    <row r="208" spans="4:16" ht="17.100000000000001" customHeight="1" x14ac:dyDescent="0.2">
      <c r="D208" s="68" t="s">
        <v>74</v>
      </c>
      <c r="E208" s="69">
        <v>8456</v>
      </c>
      <c r="F208" s="69">
        <v>8908</v>
      </c>
      <c r="G208" s="69">
        <v>8969</v>
      </c>
      <c r="H208" s="69">
        <v>9834</v>
      </c>
      <c r="I208" s="69">
        <v>11040</v>
      </c>
      <c r="J208" s="69">
        <v>11395</v>
      </c>
      <c r="K208" s="69">
        <v>12242</v>
      </c>
      <c r="L208" s="69">
        <v>14215</v>
      </c>
      <c r="M208" s="69">
        <v>17907</v>
      </c>
      <c r="N208" s="69">
        <v>16651</v>
      </c>
      <c r="O208" s="69">
        <v>18647</v>
      </c>
      <c r="P208" s="70">
        <v>20979</v>
      </c>
    </row>
    <row r="209" spans="4:16" ht="17.100000000000001" customHeight="1" x14ac:dyDescent="0.2">
      <c r="D209" s="68" t="s">
        <v>75</v>
      </c>
      <c r="E209" s="50">
        <v>448</v>
      </c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71"/>
    </row>
    <row r="210" spans="4:16" ht="17.100000000000001" customHeight="1" x14ac:dyDescent="0.2">
      <c r="D210" s="68" t="s">
        <v>76</v>
      </c>
      <c r="E210" s="50">
        <v>221</v>
      </c>
      <c r="F210" s="50">
        <v>228</v>
      </c>
      <c r="G210" s="50">
        <v>268</v>
      </c>
      <c r="H210" s="50">
        <v>272</v>
      </c>
      <c r="I210" s="50">
        <v>321</v>
      </c>
      <c r="J210" s="69">
        <v>1111</v>
      </c>
      <c r="K210" s="69">
        <v>1023</v>
      </c>
      <c r="L210" s="69">
        <v>1312</v>
      </c>
      <c r="M210" s="69">
        <v>1499</v>
      </c>
      <c r="N210" s="69">
        <v>1709</v>
      </c>
      <c r="O210" s="69">
        <v>1734</v>
      </c>
      <c r="P210" s="70">
        <v>1754</v>
      </c>
    </row>
    <row r="211" spans="4:16" ht="17.100000000000001" customHeight="1" x14ac:dyDescent="0.2">
      <c r="D211" s="68" t="s">
        <v>77</v>
      </c>
      <c r="E211" s="69">
        <v>17588</v>
      </c>
      <c r="F211" s="69">
        <v>16779</v>
      </c>
      <c r="G211" s="69">
        <v>15218</v>
      </c>
      <c r="H211" s="69">
        <v>17317</v>
      </c>
      <c r="I211" s="69">
        <v>20289</v>
      </c>
      <c r="J211" s="69">
        <v>23485</v>
      </c>
      <c r="K211" s="69">
        <v>28120</v>
      </c>
      <c r="L211" s="69">
        <v>29505</v>
      </c>
      <c r="M211" s="69">
        <v>32696</v>
      </c>
      <c r="N211" s="69">
        <v>35879</v>
      </c>
      <c r="O211" s="69">
        <v>34246</v>
      </c>
      <c r="P211" s="70">
        <v>37523</v>
      </c>
    </row>
    <row r="212" spans="4:16" ht="17.100000000000001" customHeight="1" x14ac:dyDescent="0.2">
      <c r="D212" s="68" t="s">
        <v>78</v>
      </c>
      <c r="E212" s="69">
        <v>22675</v>
      </c>
      <c r="F212" s="69">
        <v>23664</v>
      </c>
      <c r="G212" s="69">
        <v>26167</v>
      </c>
      <c r="H212" s="69">
        <v>28341</v>
      </c>
      <c r="I212" s="69">
        <v>30714</v>
      </c>
      <c r="J212" s="69">
        <v>32626</v>
      </c>
      <c r="K212" s="69">
        <v>38083</v>
      </c>
      <c r="L212" s="69">
        <v>41548</v>
      </c>
      <c r="M212" s="69">
        <v>44326</v>
      </c>
      <c r="N212" s="69">
        <v>47407</v>
      </c>
      <c r="O212" s="69">
        <v>51000</v>
      </c>
      <c r="P212" s="71"/>
    </row>
    <row r="213" spans="4:16" ht="17.100000000000001" customHeight="1" x14ac:dyDescent="0.2">
      <c r="D213" s="68" t="s">
        <v>79</v>
      </c>
      <c r="E213" s="72">
        <v>-7845</v>
      </c>
      <c r="F213" s="72">
        <v>-8263</v>
      </c>
      <c r="G213" s="72">
        <v>-9124</v>
      </c>
      <c r="H213" s="72">
        <v>-10180</v>
      </c>
      <c r="I213" s="72">
        <v>-11033</v>
      </c>
      <c r="J213" s="72">
        <v>-11736</v>
      </c>
      <c r="K213" s="72">
        <v>-12896</v>
      </c>
      <c r="L213" s="72">
        <v>-14166</v>
      </c>
      <c r="M213" s="72">
        <v>-15286</v>
      </c>
      <c r="N213" s="72">
        <v>-16685</v>
      </c>
      <c r="O213" s="72">
        <v>-17918</v>
      </c>
      <c r="P213" s="71"/>
    </row>
    <row r="214" spans="4:16" ht="17.100000000000001" customHeight="1" x14ac:dyDescent="0.2">
      <c r="D214" s="68" t="s">
        <v>80</v>
      </c>
      <c r="E214" s="69">
        <v>14830</v>
      </c>
      <c r="F214" s="69">
        <v>15401</v>
      </c>
      <c r="G214" s="69">
        <v>17043</v>
      </c>
      <c r="H214" s="69">
        <v>18161</v>
      </c>
      <c r="I214" s="69">
        <v>19681</v>
      </c>
      <c r="J214" s="69">
        <v>20890</v>
      </c>
      <c r="K214" s="69">
        <v>25187</v>
      </c>
      <c r="L214" s="69">
        <v>27382</v>
      </c>
      <c r="M214" s="69">
        <v>29040</v>
      </c>
      <c r="N214" s="69">
        <v>30722</v>
      </c>
      <c r="O214" s="69">
        <v>33082</v>
      </c>
      <c r="P214" s="70">
        <v>31875</v>
      </c>
    </row>
    <row r="215" spans="4:16" ht="17.100000000000001" customHeight="1" x14ac:dyDescent="0.2">
      <c r="D215" s="68" t="s">
        <v>81</v>
      </c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71"/>
    </row>
    <row r="216" spans="4:16" ht="17.100000000000001" customHeight="1" x14ac:dyDescent="0.2">
      <c r="D216" s="68" t="s">
        <v>82</v>
      </c>
      <c r="E216" s="50"/>
      <c r="F216" s="50"/>
      <c r="G216" s="50"/>
      <c r="H216" s="50"/>
      <c r="I216" s="50"/>
      <c r="J216" s="50">
        <v>53</v>
      </c>
      <c r="K216" s="50">
        <v>988</v>
      </c>
      <c r="L216" s="50">
        <v>996</v>
      </c>
      <c r="M216" s="50">
        <v>993</v>
      </c>
      <c r="N216" s="50">
        <v>994</v>
      </c>
      <c r="O216" s="50">
        <v>994</v>
      </c>
      <c r="P216" s="71"/>
    </row>
    <row r="217" spans="4:16" ht="17.100000000000001" customHeight="1" x14ac:dyDescent="0.2">
      <c r="D217" s="68" t="s">
        <v>83</v>
      </c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71"/>
    </row>
    <row r="218" spans="4:16" ht="17.100000000000001" customHeight="1" x14ac:dyDescent="0.2">
      <c r="D218" s="68" t="s">
        <v>84</v>
      </c>
      <c r="E218" s="50">
        <v>68</v>
      </c>
      <c r="F218" s="50">
        <v>219</v>
      </c>
      <c r="G218" s="50">
        <v>202</v>
      </c>
      <c r="H218" s="50">
        <v>254</v>
      </c>
      <c r="I218" s="50">
        <v>316</v>
      </c>
      <c r="J218" s="50">
        <v>398</v>
      </c>
      <c r="K218" s="50">
        <v>406</v>
      </c>
      <c r="L218" s="50">
        <v>444</v>
      </c>
      <c r="M218" s="50">
        <v>445</v>
      </c>
      <c r="N218" s="50">
        <v>491</v>
      </c>
      <c r="O218" s="50">
        <v>548</v>
      </c>
      <c r="P218" s="71"/>
    </row>
    <row r="219" spans="4:16" ht="17.100000000000001" customHeight="1" thickBot="1" x14ac:dyDescent="0.25">
      <c r="D219" s="68" t="s">
        <v>85</v>
      </c>
      <c r="E219" s="50">
        <v>538</v>
      </c>
      <c r="F219" s="50">
        <v>618</v>
      </c>
      <c r="G219" s="50">
        <v>700</v>
      </c>
      <c r="H219" s="50">
        <v>615</v>
      </c>
      <c r="I219" s="50">
        <v>544</v>
      </c>
      <c r="J219" s="50">
        <v>574</v>
      </c>
      <c r="K219" s="50">
        <v>855</v>
      </c>
      <c r="L219" s="50">
        <v>941</v>
      </c>
      <c r="M219" s="50">
        <v>992</v>
      </c>
      <c r="N219" s="50">
        <v>908</v>
      </c>
      <c r="O219" s="50">
        <v>961</v>
      </c>
      <c r="P219" s="70">
        <v>3988</v>
      </c>
    </row>
    <row r="220" spans="4:16" ht="17.100000000000001" customHeight="1" x14ac:dyDescent="0.2">
      <c r="D220" s="73" t="s">
        <v>86</v>
      </c>
      <c r="E220" s="4">
        <v>33024</v>
      </c>
      <c r="F220" s="4">
        <v>33017</v>
      </c>
      <c r="G220" s="4">
        <v>33163</v>
      </c>
      <c r="H220" s="4">
        <v>36347</v>
      </c>
      <c r="I220" s="4">
        <v>40830</v>
      </c>
      <c r="J220" s="4">
        <v>45400</v>
      </c>
      <c r="K220" s="4">
        <v>55556</v>
      </c>
      <c r="L220" s="4">
        <v>59268</v>
      </c>
      <c r="M220" s="4">
        <v>64166</v>
      </c>
      <c r="N220" s="4">
        <v>68994</v>
      </c>
      <c r="O220" s="4">
        <v>69831</v>
      </c>
      <c r="P220" s="74">
        <v>73386</v>
      </c>
    </row>
    <row r="221" spans="4:16" ht="17.100000000000001" customHeight="1" x14ac:dyDescent="0.2">
      <c r="D221" s="68" t="s">
        <v>87</v>
      </c>
      <c r="E221" s="69">
        <v>8491</v>
      </c>
      <c r="F221" s="69">
        <v>9011</v>
      </c>
      <c r="G221" s="69">
        <v>7612</v>
      </c>
      <c r="H221" s="69">
        <v>9608</v>
      </c>
      <c r="I221" s="69">
        <v>11237</v>
      </c>
      <c r="J221" s="69">
        <v>11679</v>
      </c>
      <c r="K221" s="69">
        <v>14172</v>
      </c>
      <c r="L221" s="69">
        <v>16278</v>
      </c>
      <c r="M221" s="69">
        <v>17848</v>
      </c>
      <c r="N221" s="69">
        <v>17483</v>
      </c>
      <c r="O221" s="69">
        <v>19421</v>
      </c>
      <c r="P221" s="70">
        <v>21793</v>
      </c>
    </row>
    <row r="222" spans="4:16" ht="17.100000000000001" customHeight="1" x14ac:dyDescent="0.2">
      <c r="D222" s="68" t="s">
        <v>88</v>
      </c>
      <c r="E222" s="69">
        <v>3953</v>
      </c>
      <c r="F222" s="69">
        <v>4167</v>
      </c>
      <c r="G222" s="69">
        <v>3498</v>
      </c>
      <c r="H222" s="69">
        <v>3664</v>
      </c>
      <c r="I222" s="69">
        <v>4051</v>
      </c>
      <c r="J222" s="69">
        <v>4356</v>
      </c>
      <c r="K222" s="69">
        <v>4998</v>
      </c>
      <c r="L222" s="69">
        <v>5761</v>
      </c>
      <c r="M222" s="69">
        <v>6292</v>
      </c>
      <c r="N222" s="69">
        <v>6428</v>
      </c>
      <c r="O222" s="69">
        <v>7229</v>
      </c>
      <c r="P222" s="70">
        <v>7229</v>
      </c>
    </row>
    <row r="223" spans="4:16" ht="17.100000000000001" customHeight="1" x14ac:dyDescent="0.2">
      <c r="D223" s="68" t="s">
        <v>89</v>
      </c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71"/>
    </row>
    <row r="224" spans="4:16" ht="17.100000000000001" customHeight="1" x14ac:dyDescent="0.2">
      <c r="D224" s="68" t="s">
        <v>90</v>
      </c>
      <c r="E224" s="50"/>
      <c r="F224" s="69">
        <v>1283</v>
      </c>
      <c r="G224" s="69">
        <v>1100</v>
      </c>
      <c r="H224" s="50">
        <v>86</v>
      </c>
      <c r="I224" s="50">
        <v>90</v>
      </c>
      <c r="J224" s="69">
        <v>1699</v>
      </c>
      <c r="K224" s="50">
        <v>95</v>
      </c>
      <c r="L224" s="50">
        <v>799</v>
      </c>
      <c r="M224" s="50">
        <v>73</v>
      </c>
      <c r="N224" s="69">
        <v>1081</v>
      </c>
      <c r="O224" s="50">
        <v>103</v>
      </c>
      <c r="P224" s="71">
        <v>97</v>
      </c>
    </row>
    <row r="225" spans="4:16" ht="17.100000000000001" customHeight="1" x14ac:dyDescent="0.2">
      <c r="D225" s="68" t="s">
        <v>91</v>
      </c>
      <c r="E225" s="50"/>
      <c r="F225" s="50"/>
      <c r="G225" s="50"/>
      <c r="H225" s="50"/>
      <c r="I225" s="50"/>
      <c r="J225" s="50">
        <v>51</v>
      </c>
      <c r="K225" s="50">
        <v>262</v>
      </c>
      <c r="L225" s="50">
        <v>294</v>
      </c>
      <c r="M225" s="50">
        <v>484</v>
      </c>
      <c r="N225" s="50">
        <v>349</v>
      </c>
      <c r="O225" s="50">
        <v>326</v>
      </c>
      <c r="P225" s="71"/>
    </row>
    <row r="226" spans="4:16" ht="17.100000000000001" customHeight="1" x14ac:dyDescent="0.2">
      <c r="D226" s="68" t="s">
        <v>92</v>
      </c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71"/>
    </row>
    <row r="227" spans="4:16" ht="17.100000000000001" customHeight="1" x14ac:dyDescent="0.2">
      <c r="D227" s="68" t="s">
        <v>93</v>
      </c>
      <c r="E227" s="69">
        <v>1504</v>
      </c>
      <c r="F227" s="69">
        <v>1568</v>
      </c>
      <c r="G227" s="69">
        <v>1362</v>
      </c>
      <c r="H227" s="69">
        <v>1498</v>
      </c>
      <c r="I227" s="69">
        <v>1624</v>
      </c>
      <c r="J227" s="69">
        <v>1711</v>
      </c>
      <c r="K227" s="69">
        <v>1851</v>
      </c>
      <c r="L227" s="69">
        <v>2042</v>
      </c>
      <c r="M227" s="69">
        <v>2174</v>
      </c>
      <c r="N227" s="69">
        <v>2337</v>
      </c>
      <c r="O227" s="69">
        <v>2501</v>
      </c>
      <c r="P227" s="70">
        <v>2683</v>
      </c>
    </row>
    <row r="228" spans="4:16" ht="17.100000000000001" customHeight="1" x14ac:dyDescent="0.2">
      <c r="D228" s="68" t="s">
        <v>94</v>
      </c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71"/>
    </row>
    <row r="229" spans="4:16" ht="17.100000000000001" customHeight="1" x14ac:dyDescent="0.2">
      <c r="D229" s="68" t="s">
        <v>95</v>
      </c>
      <c r="E229" s="50">
        <v>464</v>
      </c>
      <c r="F229" s="50">
        <v>510</v>
      </c>
      <c r="G229" s="69">
        <v>2003</v>
      </c>
      <c r="H229" s="69">
        <v>2639</v>
      </c>
      <c r="I229" s="69">
        <v>2924</v>
      </c>
      <c r="J229" s="69">
        <v>3741</v>
      </c>
      <c r="K229" s="69">
        <v>3466</v>
      </c>
      <c r="L229" s="69">
        <v>4267</v>
      </c>
      <c r="M229" s="69">
        <v>5127</v>
      </c>
      <c r="N229" s="69">
        <v>5905</v>
      </c>
      <c r="O229" s="69">
        <v>5884</v>
      </c>
      <c r="P229" s="70">
        <v>6487</v>
      </c>
    </row>
    <row r="230" spans="4:16" ht="17.100000000000001" customHeight="1" x14ac:dyDescent="0.2">
      <c r="D230" s="68" t="s">
        <v>96</v>
      </c>
      <c r="E230" s="69">
        <v>14412</v>
      </c>
      <c r="F230" s="69">
        <v>16539</v>
      </c>
      <c r="G230" s="69">
        <v>15575</v>
      </c>
      <c r="H230" s="69">
        <v>17495</v>
      </c>
      <c r="I230" s="69">
        <v>19926</v>
      </c>
      <c r="J230" s="69">
        <v>23237</v>
      </c>
      <c r="K230" s="69">
        <v>24844</v>
      </c>
      <c r="L230" s="69">
        <v>29441</v>
      </c>
      <c r="M230" s="69">
        <v>31998</v>
      </c>
      <c r="N230" s="69">
        <v>33583</v>
      </c>
      <c r="O230" s="69">
        <v>35464</v>
      </c>
      <c r="P230" s="70">
        <v>38289</v>
      </c>
    </row>
    <row r="231" spans="4:16" ht="17.100000000000001" customHeight="1" x14ac:dyDescent="0.2">
      <c r="D231" s="68" t="s">
        <v>97</v>
      </c>
      <c r="E231" s="69">
        <v>5093</v>
      </c>
      <c r="F231" s="69">
        <v>4852</v>
      </c>
      <c r="G231" s="69">
        <v>4061</v>
      </c>
      <c r="H231" s="69">
        <v>6573</v>
      </c>
      <c r="I231" s="69">
        <v>6487</v>
      </c>
      <c r="J231" s="69">
        <v>5124</v>
      </c>
      <c r="K231" s="69">
        <v>7514</v>
      </c>
      <c r="L231" s="69">
        <v>6692</v>
      </c>
      <c r="M231" s="69">
        <v>6484</v>
      </c>
      <c r="N231" s="69">
        <v>5377</v>
      </c>
      <c r="O231" s="69">
        <v>5794</v>
      </c>
      <c r="P231" s="70">
        <v>5745</v>
      </c>
    </row>
    <row r="232" spans="4:16" ht="17.100000000000001" customHeight="1" x14ac:dyDescent="0.2">
      <c r="D232" s="68" t="s">
        <v>98</v>
      </c>
      <c r="E232" s="50"/>
      <c r="F232" s="50"/>
      <c r="G232" s="50"/>
      <c r="H232" s="50"/>
      <c r="I232" s="50"/>
      <c r="J232" s="50">
        <v>370</v>
      </c>
      <c r="K232" s="69">
        <v>3215</v>
      </c>
      <c r="L232" s="69">
        <v>3622</v>
      </c>
      <c r="M232" s="69">
        <v>3865</v>
      </c>
      <c r="N232" s="69">
        <v>3729</v>
      </c>
      <c r="O232" s="69">
        <v>3726</v>
      </c>
      <c r="P232" s="70">
        <v>2288</v>
      </c>
    </row>
    <row r="233" spans="4:16" ht="17.100000000000001" customHeight="1" x14ac:dyDescent="0.2">
      <c r="D233" s="68" t="s">
        <v>99</v>
      </c>
      <c r="E233" s="50">
        <v>429</v>
      </c>
      <c r="F233" s="50">
        <v>51</v>
      </c>
      <c r="G233" s="50">
        <v>297</v>
      </c>
      <c r="H233" s="50">
        <v>312</v>
      </c>
      <c r="I233" s="50">
        <v>317</v>
      </c>
      <c r="J233" s="50">
        <v>543</v>
      </c>
      <c r="K233" s="50">
        <v>665</v>
      </c>
      <c r="L233" s="50">
        <v>754</v>
      </c>
      <c r="M233" s="50">
        <v>724</v>
      </c>
      <c r="N233" s="50">
        <v>795</v>
      </c>
      <c r="O233" s="50">
        <v>769</v>
      </c>
      <c r="P233" s="71"/>
    </row>
    <row r="234" spans="4:16" ht="17.100000000000001" customHeight="1" thickBot="1" x14ac:dyDescent="0.25">
      <c r="D234" s="68" t="s">
        <v>100</v>
      </c>
      <c r="E234" s="50">
        <v>575</v>
      </c>
      <c r="F234" s="50">
        <v>732</v>
      </c>
      <c r="G234" s="50">
        <v>898</v>
      </c>
      <c r="H234" s="50">
        <v>888</v>
      </c>
      <c r="I234" s="50">
        <v>997</v>
      </c>
      <c r="J234" s="50">
        <v>542</v>
      </c>
      <c r="K234" s="50">
        <v>613</v>
      </c>
      <c r="L234" s="50">
        <v>681</v>
      </c>
      <c r="M234" s="50">
        <v>448</v>
      </c>
      <c r="N234" s="50">
        <v>452</v>
      </c>
      <c r="O234" s="50">
        <v>456</v>
      </c>
      <c r="P234" s="70">
        <v>2613</v>
      </c>
    </row>
    <row r="235" spans="4:16" ht="17.100000000000001" customHeight="1" x14ac:dyDescent="0.2">
      <c r="D235" s="73" t="s">
        <v>101</v>
      </c>
      <c r="E235" s="4">
        <v>20509</v>
      </c>
      <c r="F235" s="4">
        <v>22174</v>
      </c>
      <c r="G235" s="4">
        <v>20831</v>
      </c>
      <c r="H235" s="4">
        <v>25268</v>
      </c>
      <c r="I235" s="4">
        <v>27727</v>
      </c>
      <c r="J235" s="4">
        <v>29816</v>
      </c>
      <c r="K235" s="4">
        <v>36851</v>
      </c>
      <c r="L235" s="4">
        <v>41190</v>
      </c>
      <c r="M235" s="4">
        <v>43519</v>
      </c>
      <c r="N235" s="4">
        <v>43936</v>
      </c>
      <c r="O235" s="4">
        <v>46209</v>
      </c>
      <c r="P235" s="74">
        <v>48935</v>
      </c>
    </row>
    <row r="236" spans="4:16" ht="17.100000000000001" customHeight="1" x14ac:dyDescent="0.2">
      <c r="D236" s="68" t="s">
        <v>102</v>
      </c>
      <c r="E236" s="50">
        <v>2</v>
      </c>
      <c r="F236" s="50">
        <v>2</v>
      </c>
      <c r="G236" s="50">
        <v>2</v>
      </c>
      <c r="H236" s="50">
        <v>4</v>
      </c>
      <c r="I236" s="50">
        <v>4</v>
      </c>
      <c r="J236" s="50">
        <v>4</v>
      </c>
      <c r="K236" s="50">
        <v>4</v>
      </c>
      <c r="L236" s="50">
        <v>4</v>
      </c>
      <c r="M236" s="50">
        <v>2</v>
      </c>
      <c r="N236" s="50">
        <v>2</v>
      </c>
      <c r="O236" s="50">
        <v>2</v>
      </c>
      <c r="P236" s="71">
        <v>2</v>
      </c>
    </row>
    <row r="237" spans="4:16" ht="17.100000000000001" customHeight="1" x14ac:dyDescent="0.2">
      <c r="D237" s="68" t="s">
        <v>103</v>
      </c>
      <c r="E237" s="69">
        <v>4919</v>
      </c>
      <c r="F237" s="69">
        <v>5218</v>
      </c>
      <c r="G237" s="69">
        <v>5490</v>
      </c>
      <c r="H237" s="69">
        <v>5800</v>
      </c>
      <c r="I237" s="69">
        <v>6107</v>
      </c>
      <c r="J237" s="69">
        <v>6417</v>
      </c>
      <c r="K237" s="69">
        <v>6698</v>
      </c>
      <c r="L237" s="69">
        <v>7031</v>
      </c>
      <c r="M237" s="69">
        <v>6884</v>
      </c>
      <c r="N237" s="69">
        <v>7340</v>
      </c>
      <c r="O237" s="69">
        <v>7829</v>
      </c>
      <c r="P237" s="70">
        <v>7901</v>
      </c>
    </row>
    <row r="238" spans="4:16" ht="17.100000000000001" customHeight="1" x14ac:dyDescent="0.2">
      <c r="D238" s="68" t="s">
        <v>104</v>
      </c>
      <c r="E238" s="69">
        <v>7458</v>
      </c>
      <c r="F238" s="69">
        <v>6518</v>
      </c>
      <c r="G238" s="69">
        <v>7686</v>
      </c>
      <c r="H238" s="69">
        <v>5988</v>
      </c>
      <c r="I238" s="69">
        <v>7887</v>
      </c>
      <c r="J238" s="69">
        <v>10258</v>
      </c>
      <c r="K238" s="69">
        <v>12879</v>
      </c>
      <c r="L238" s="69">
        <v>11666</v>
      </c>
      <c r="M238" s="69">
        <v>15585</v>
      </c>
      <c r="N238" s="69">
        <v>19521</v>
      </c>
      <c r="O238" s="69">
        <v>17619</v>
      </c>
      <c r="P238" s="70">
        <v>18700</v>
      </c>
    </row>
    <row r="239" spans="4:16" ht="17.100000000000001" customHeight="1" x14ac:dyDescent="0.2">
      <c r="D239" s="68" t="s">
        <v>105</v>
      </c>
      <c r="E239" s="51">
        <v>-76</v>
      </c>
      <c r="F239" s="72">
        <v>-1121</v>
      </c>
      <c r="G239" s="72">
        <v>-1099</v>
      </c>
      <c r="H239" s="72">
        <v>-1014</v>
      </c>
      <c r="I239" s="72">
        <v>-1199</v>
      </c>
      <c r="J239" s="72">
        <v>-1436</v>
      </c>
      <c r="K239" s="72">
        <v>-1297</v>
      </c>
      <c r="L239" s="72">
        <v>-1137</v>
      </c>
      <c r="M239" s="72">
        <v>-1829</v>
      </c>
      <c r="N239" s="72">
        <v>-1805</v>
      </c>
      <c r="O239" s="72">
        <v>-1828</v>
      </c>
      <c r="P239" s="75">
        <v>-2152</v>
      </c>
    </row>
    <row r="240" spans="4:16" ht="17.100000000000001" customHeight="1" x14ac:dyDescent="0.2">
      <c r="D240" s="68" t="s">
        <v>106</v>
      </c>
      <c r="E240" s="69">
        <v>12303</v>
      </c>
      <c r="F240" s="69">
        <v>10617</v>
      </c>
      <c r="G240" s="69">
        <v>12079</v>
      </c>
      <c r="H240" s="69">
        <v>10778</v>
      </c>
      <c r="I240" s="69">
        <v>12799</v>
      </c>
      <c r="J240" s="69">
        <v>15243</v>
      </c>
      <c r="K240" s="69">
        <v>18284</v>
      </c>
      <c r="L240" s="69">
        <v>17564</v>
      </c>
      <c r="M240" s="69">
        <v>20642</v>
      </c>
      <c r="N240" s="69">
        <v>25058</v>
      </c>
      <c r="O240" s="69">
        <v>23622</v>
      </c>
      <c r="P240" s="70">
        <v>24451</v>
      </c>
    </row>
    <row r="241" spans="4:17" ht="17.100000000000001" customHeight="1" thickBot="1" x14ac:dyDescent="0.25">
      <c r="D241" s="68" t="s">
        <v>45</v>
      </c>
      <c r="E241" s="50">
        <v>212</v>
      </c>
      <c r="F241" s="50">
        <v>226</v>
      </c>
      <c r="G241" s="50">
        <v>253</v>
      </c>
      <c r="H241" s="50">
        <v>301</v>
      </c>
      <c r="I241" s="50">
        <v>304</v>
      </c>
      <c r="J241" s="50">
        <v>341</v>
      </c>
      <c r="K241" s="50">
        <v>421</v>
      </c>
      <c r="L241" s="50">
        <v>514</v>
      </c>
      <c r="M241" s="50">
        <v>5</v>
      </c>
      <c r="N241" s="50"/>
      <c r="O241" s="50"/>
      <c r="P241" s="71"/>
    </row>
    <row r="242" spans="4:17" ht="17.100000000000001" customHeight="1" thickBot="1" x14ac:dyDescent="0.25">
      <c r="D242" s="76" t="s">
        <v>107</v>
      </c>
      <c r="E242" s="6">
        <v>12515</v>
      </c>
      <c r="F242" s="6">
        <v>10843</v>
      </c>
      <c r="G242" s="6">
        <v>12332</v>
      </c>
      <c r="H242" s="6">
        <v>11079</v>
      </c>
      <c r="I242" s="6">
        <v>13103</v>
      </c>
      <c r="J242" s="6">
        <v>15584</v>
      </c>
      <c r="K242" s="6">
        <v>18705</v>
      </c>
      <c r="L242" s="6">
        <v>18078</v>
      </c>
      <c r="M242" s="6">
        <v>20647</v>
      </c>
      <c r="N242" s="6">
        <v>25058</v>
      </c>
      <c r="O242" s="6">
        <v>23622</v>
      </c>
      <c r="P242" s="77">
        <v>24451</v>
      </c>
      <c r="Q242" s="25">
        <f>(O242/E242)^(1/10)-1</f>
        <v>6.5586184400790337E-2</v>
      </c>
    </row>
    <row r="243" spans="4:17" ht="17.100000000000001" customHeight="1" x14ac:dyDescent="0.2">
      <c r="D243" s="73" t="s">
        <v>108</v>
      </c>
      <c r="E243" s="4">
        <v>33024</v>
      </c>
      <c r="F243" s="4">
        <v>33017</v>
      </c>
      <c r="G243" s="4">
        <v>33163</v>
      </c>
      <c r="H243" s="4">
        <v>36347</v>
      </c>
      <c r="I243" s="4">
        <v>40830</v>
      </c>
      <c r="J243" s="4">
        <v>45400</v>
      </c>
      <c r="K243" s="4">
        <v>55556</v>
      </c>
      <c r="L243" s="4">
        <v>59268</v>
      </c>
      <c r="M243" s="4">
        <v>64166</v>
      </c>
      <c r="N243" s="4">
        <v>68994</v>
      </c>
      <c r="O243" s="4">
        <v>69831</v>
      </c>
      <c r="P243" s="74">
        <v>73386</v>
      </c>
    </row>
    <row r="244" spans="4:17" ht="17.100000000000001" customHeight="1" x14ac:dyDescent="0.2">
      <c r="D244" s="78" t="s">
        <v>51</v>
      </c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7"/>
    </row>
    <row r="245" spans="4:17" ht="17.100000000000001" customHeight="1" x14ac:dyDescent="0.2">
      <c r="D245" s="68" t="s">
        <v>109</v>
      </c>
      <c r="E245" s="50">
        <v>437.76</v>
      </c>
      <c r="F245" s="50">
        <v>437.41</v>
      </c>
      <c r="G245" s="50">
        <v>437.13</v>
      </c>
      <c r="H245" s="50">
        <v>436.99</v>
      </c>
      <c r="I245" s="50">
        <v>438.21</v>
      </c>
      <c r="J245" s="50"/>
      <c r="K245" s="50">
        <v>441.23</v>
      </c>
      <c r="L245" s="50">
        <v>441.82</v>
      </c>
      <c r="M245" s="50">
        <v>442.6</v>
      </c>
      <c r="N245" s="50">
        <v>442.74</v>
      </c>
      <c r="O245" s="50">
        <v>443.07</v>
      </c>
      <c r="P245" s="71">
        <v>443.9</v>
      </c>
    </row>
    <row r="246" spans="4:17" ht="17.100000000000001" customHeight="1" x14ac:dyDescent="0.2">
      <c r="D246" s="68" t="s">
        <v>110</v>
      </c>
      <c r="E246" s="50">
        <v>28.11</v>
      </c>
      <c r="F246" s="50">
        <v>24.24</v>
      </c>
      <c r="G246" s="50">
        <v>27.61</v>
      </c>
      <c r="H246" s="50">
        <v>24.65</v>
      </c>
      <c r="I246" s="50">
        <v>29.21</v>
      </c>
      <c r="J246" s="50">
        <v>34.67</v>
      </c>
      <c r="K246" s="50">
        <v>41.44</v>
      </c>
      <c r="L246" s="50">
        <v>39.75</v>
      </c>
      <c r="M246" s="50">
        <v>46.63</v>
      </c>
      <c r="N246" s="50">
        <v>56.59</v>
      </c>
      <c r="O246" s="50">
        <v>53.31</v>
      </c>
      <c r="P246" s="71">
        <v>55.08</v>
      </c>
    </row>
    <row r="247" spans="4:17" ht="17.100000000000001" customHeight="1" x14ac:dyDescent="0.2">
      <c r="D247" s="68" t="s">
        <v>111</v>
      </c>
      <c r="E247" s="69">
        <v>12303</v>
      </c>
      <c r="F247" s="69">
        <v>10617</v>
      </c>
      <c r="G247" s="69">
        <v>12079</v>
      </c>
      <c r="H247" s="69">
        <v>10778</v>
      </c>
      <c r="I247" s="69">
        <v>12799</v>
      </c>
      <c r="J247" s="69">
        <v>15190</v>
      </c>
      <c r="K247" s="69">
        <v>17296</v>
      </c>
      <c r="L247" s="69">
        <v>16568</v>
      </c>
      <c r="M247" s="69">
        <v>19649</v>
      </c>
      <c r="N247" s="69">
        <v>24064</v>
      </c>
      <c r="O247" s="69">
        <v>22628</v>
      </c>
      <c r="P247" s="70">
        <v>24451</v>
      </c>
    </row>
    <row r="248" spans="4:17" ht="17.100000000000001" customHeight="1" x14ac:dyDescent="0.2">
      <c r="D248" s="68" t="s">
        <v>112</v>
      </c>
      <c r="E248" s="50">
        <v>28.11</v>
      </c>
      <c r="F248" s="50">
        <v>24.24</v>
      </c>
      <c r="G248" s="50">
        <v>27.61</v>
      </c>
      <c r="H248" s="50">
        <v>24.65</v>
      </c>
      <c r="I248" s="50">
        <v>29.21</v>
      </c>
      <c r="J248" s="50">
        <v>34.549999999999997</v>
      </c>
      <c r="K248" s="50">
        <v>39.200000000000003</v>
      </c>
      <c r="L248" s="50">
        <v>37.5</v>
      </c>
      <c r="M248" s="50">
        <v>44.39</v>
      </c>
      <c r="N248" s="50">
        <v>54.35</v>
      </c>
      <c r="O248" s="50">
        <v>51.06</v>
      </c>
      <c r="P248" s="71">
        <v>55.08</v>
      </c>
    </row>
    <row r="249" spans="4:17" ht="17.100000000000001" customHeight="1" x14ac:dyDescent="0.2">
      <c r="D249" s="79" t="s">
        <v>113</v>
      </c>
      <c r="E249" s="80">
        <v>5093</v>
      </c>
      <c r="F249" s="80">
        <v>6135</v>
      </c>
      <c r="G249" s="80">
        <v>5161</v>
      </c>
      <c r="H249" s="80">
        <v>6659</v>
      </c>
      <c r="I249" s="80">
        <v>6577</v>
      </c>
      <c r="J249" s="80">
        <v>7244</v>
      </c>
      <c r="K249" s="80">
        <v>11086</v>
      </c>
      <c r="L249" s="80">
        <v>11407</v>
      </c>
      <c r="M249" s="80">
        <v>10906</v>
      </c>
      <c r="N249" s="80">
        <v>10536</v>
      </c>
      <c r="O249" s="80">
        <v>9949</v>
      </c>
      <c r="P249" s="81">
        <v>8130</v>
      </c>
    </row>
    <row r="250" spans="4:17" ht="17.100000000000001" customHeight="1" x14ac:dyDescent="0.2">
      <c r="D250" s="79" t="s">
        <v>114</v>
      </c>
      <c r="E250" s="82">
        <v>-2222</v>
      </c>
      <c r="F250" s="83">
        <v>-284</v>
      </c>
      <c r="G250" s="53">
        <v>432</v>
      </c>
      <c r="H250" s="53">
        <v>880</v>
      </c>
      <c r="I250" s="83">
        <v>-682</v>
      </c>
      <c r="J250" s="82">
        <v>-2200</v>
      </c>
      <c r="K250" s="82">
        <v>-2219</v>
      </c>
      <c r="L250" s="83">
        <v>-768</v>
      </c>
      <c r="M250" s="83">
        <v>-143</v>
      </c>
      <c r="N250" s="82">
        <v>-4698</v>
      </c>
      <c r="O250" s="82">
        <v>-1195</v>
      </c>
      <c r="P250" s="84">
        <v>-3697</v>
      </c>
    </row>
    <row r="251" spans="4:17" ht="17.100000000000001" customHeight="1" x14ac:dyDescent="0.2">
      <c r="D251" s="68" t="s">
        <v>115</v>
      </c>
      <c r="E251" s="50">
        <v>212</v>
      </c>
      <c r="F251" s="50">
        <v>226</v>
      </c>
      <c r="G251" s="50">
        <v>253</v>
      </c>
      <c r="H251" s="50">
        <v>301</v>
      </c>
      <c r="I251" s="50">
        <v>304</v>
      </c>
      <c r="J251" s="50">
        <v>341</v>
      </c>
      <c r="K251" s="50">
        <v>421</v>
      </c>
      <c r="L251" s="50">
        <v>514</v>
      </c>
      <c r="M251" s="50">
        <v>5</v>
      </c>
      <c r="N251" s="50"/>
      <c r="O251" s="50"/>
      <c r="P251" s="71"/>
    </row>
    <row r="252" spans="4:17" ht="17.100000000000001" customHeight="1" x14ac:dyDescent="0.2">
      <c r="D252" s="68" t="s">
        <v>116</v>
      </c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71"/>
    </row>
    <row r="253" spans="4:17" ht="17.100000000000001" customHeight="1" x14ac:dyDescent="0.2">
      <c r="D253" s="68" t="s">
        <v>117</v>
      </c>
      <c r="E253" s="69">
        <v>4716</v>
      </c>
      <c r="F253" s="69">
        <v>4961</v>
      </c>
      <c r="G253" s="69">
        <v>5395</v>
      </c>
      <c r="H253" s="69">
        <v>5690</v>
      </c>
      <c r="I253" s="69">
        <v>6193</v>
      </c>
      <c r="J253" s="69">
        <v>6417</v>
      </c>
      <c r="K253" s="69">
        <v>6696</v>
      </c>
      <c r="L253" s="69">
        <v>7507</v>
      </c>
      <c r="M253" s="69">
        <v>7955</v>
      </c>
      <c r="N253" s="69">
        <v>8590</v>
      </c>
      <c r="O253" s="69">
        <v>9447</v>
      </c>
      <c r="P253" s="71"/>
    </row>
    <row r="254" spans="4:17" ht="17.100000000000001" customHeight="1" x14ac:dyDescent="0.2">
      <c r="D254" s="68" t="s">
        <v>118</v>
      </c>
      <c r="E254" s="69">
        <v>12522</v>
      </c>
      <c r="F254" s="69">
        <v>12618</v>
      </c>
      <c r="G254" s="69">
        <v>13994</v>
      </c>
      <c r="H254" s="69">
        <v>15127</v>
      </c>
      <c r="I254" s="69">
        <v>16107</v>
      </c>
      <c r="J254" s="69">
        <v>17136</v>
      </c>
      <c r="K254" s="69">
        <v>17982</v>
      </c>
      <c r="L254" s="69">
        <v>19139</v>
      </c>
      <c r="M254" s="69">
        <v>20120</v>
      </c>
      <c r="N254" s="69">
        <v>22001</v>
      </c>
      <c r="O254" s="69">
        <v>23727</v>
      </c>
      <c r="P254" s="71"/>
    </row>
    <row r="255" spans="4:17" ht="17.100000000000001" customHeight="1" x14ac:dyDescent="0.2">
      <c r="D255" s="68" t="s">
        <v>119</v>
      </c>
      <c r="E255" s="50">
        <v>592</v>
      </c>
      <c r="F255" s="50">
        <v>811</v>
      </c>
      <c r="G255" s="50">
        <v>701</v>
      </c>
      <c r="H255" s="50">
        <v>843</v>
      </c>
      <c r="I255" s="69">
        <v>1140</v>
      </c>
      <c r="J255" s="69">
        <v>1272</v>
      </c>
      <c r="K255" s="69">
        <v>1276</v>
      </c>
      <c r="L255" s="69">
        <v>1507</v>
      </c>
      <c r="M255" s="69">
        <v>1582</v>
      </c>
      <c r="N255" s="69">
        <v>1266</v>
      </c>
      <c r="O255" s="69">
        <v>1389</v>
      </c>
      <c r="P255" s="71"/>
    </row>
    <row r="256" spans="4:17" ht="17.100000000000001" customHeight="1" x14ac:dyDescent="0.2">
      <c r="D256" s="85" t="s">
        <v>120</v>
      </c>
      <c r="E256" s="86">
        <v>112000</v>
      </c>
      <c r="F256" s="86">
        <v>117000</v>
      </c>
      <c r="G256" s="86">
        <v>126000</v>
      </c>
      <c r="H256" s="86">
        <v>133000</v>
      </c>
      <c r="I256" s="86">
        <v>143000</v>
      </c>
      <c r="J256" s="86">
        <v>149000</v>
      </c>
      <c r="K256" s="86">
        <v>156000</v>
      </c>
      <c r="L256" s="86">
        <v>288000</v>
      </c>
      <c r="M256" s="86">
        <v>304000</v>
      </c>
      <c r="N256" s="86">
        <v>316000</v>
      </c>
      <c r="O256" s="86">
        <v>333000</v>
      </c>
      <c r="P256" s="87"/>
    </row>
    <row r="259" spans="4:16" ht="17.100000000000001" customHeight="1" thickBot="1" x14ac:dyDescent="0.25">
      <c r="D259" s="63" t="s">
        <v>130</v>
      </c>
      <c r="E259" s="88">
        <v>42004</v>
      </c>
      <c r="F259" s="88">
        <v>42369</v>
      </c>
      <c r="G259" s="88">
        <v>42735</v>
      </c>
      <c r="H259" s="88">
        <v>43100</v>
      </c>
      <c r="I259" s="88">
        <v>43465</v>
      </c>
      <c r="J259" s="88">
        <v>43830</v>
      </c>
      <c r="K259" s="88">
        <v>44196</v>
      </c>
      <c r="L259" s="88">
        <v>44561</v>
      </c>
      <c r="M259" s="88">
        <v>44926</v>
      </c>
      <c r="N259" s="88">
        <v>45291</v>
      </c>
      <c r="O259" s="88">
        <v>45657</v>
      </c>
      <c r="P259" s="89">
        <v>45720</v>
      </c>
    </row>
    <row r="260" spans="4:16" ht="17.100000000000001" hidden="1" customHeight="1" outlineLevel="1" x14ac:dyDescent="0.25">
      <c r="D260" s="78" t="s">
        <v>131</v>
      </c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7"/>
    </row>
    <row r="261" spans="4:16" ht="17.100000000000001" hidden="1" customHeight="1" outlineLevel="1" x14ac:dyDescent="0.25">
      <c r="D261" s="68" t="s">
        <v>132</v>
      </c>
      <c r="E261" s="50">
        <v>2.08</v>
      </c>
      <c r="F261" s="50">
        <v>2.06</v>
      </c>
      <c r="G261" s="50">
        <v>2.35</v>
      </c>
      <c r="H261" s="50">
        <v>2.69</v>
      </c>
      <c r="I261" s="50">
        <v>1.69</v>
      </c>
      <c r="J261" s="50">
        <v>2.33</v>
      </c>
      <c r="K261" s="50">
        <v>1.84</v>
      </c>
      <c r="L261" s="50">
        <v>1.69</v>
      </c>
      <c r="M261" s="50">
        <v>1.1599999999999999</v>
      </c>
      <c r="N261" s="50">
        <v>1.25</v>
      </c>
      <c r="O261" s="50">
        <v>1.62</v>
      </c>
      <c r="P261" s="71">
        <v>1.62</v>
      </c>
    </row>
    <row r="262" spans="4:16" ht="17.100000000000001" hidden="1" customHeight="1" outlineLevel="1" x14ac:dyDescent="0.25">
      <c r="D262" s="68" t="s">
        <v>134</v>
      </c>
      <c r="E262" s="50">
        <v>10.36</v>
      </c>
      <c r="F262" s="50">
        <v>9.3699999999999992</v>
      </c>
      <c r="G262" s="50">
        <v>11.75</v>
      </c>
      <c r="H262" s="50">
        <v>12.95</v>
      </c>
      <c r="I262" s="50">
        <v>7.11</v>
      </c>
      <c r="J262" s="50">
        <v>9.69</v>
      </c>
      <c r="K262" s="50">
        <v>10.64</v>
      </c>
      <c r="L262" s="50">
        <v>7.7</v>
      </c>
      <c r="M262" s="50">
        <v>7.25</v>
      </c>
      <c r="N262" s="50">
        <v>9.42</v>
      </c>
      <c r="O262" s="50">
        <v>10.36</v>
      </c>
      <c r="P262" s="71">
        <v>9.6199999999999992</v>
      </c>
    </row>
    <row r="263" spans="4:16" ht="17.100000000000001" hidden="1" customHeight="1" outlineLevel="1" x14ac:dyDescent="0.25">
      <c r="D263" s="68" t="s">
        <v>135</v>
      </c>
      <c r="E263" s="55">
        <v>3.0000000000000001E-3</v>
      </c>
      <c r="F263" s="55">
        <v>6.0000000000000001E-3</v>
      </c>
      <c r="G263" s="55">
        <v>1.2E-2</v>
      </c>
      <c r="H263" s="55">
        <v>1.7999999999999999E-2</v>
      </c>
      <c r="I263" s="55">
        <v>3.5999999999999997E-2</v>
      </c>
      <c r="J263" s="55">
        <v>2.5999999999999999E-2</v>
      </c>
      <c r="K263" s="55">
        <v>3.4000000000000002E-2</v>
      </c>
      <c r="L263" s="55">
        <v>3.5000000000000003E-2</v>
      </c>
      <c r="M263" s="55">
        <v>4.5999999999999999E-2</v>
      </c>
      <c r="N263" s="55">
        <v>4.2000000000000003E-2</v>
      </c>
      <c r="O263" s="55">
        <v>3.2000000000000001E-2</v>
      </c>
      <c r="P263" s="90">
        <v>3.2000000000000001E-2</v>
      </c>
    </row>
    <row r="264" spans="4:16" ht="17.100000000000001" customHeight="1" collapsed="1" x14ac:dyDescent="0.2">
      <c r="D264" s="91" t="s">
        <v>136</v>
      </c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92"/>
    </row>
    <row r="265" spans="4:16" ht="17.100000000000001" customHeight="1" x14ac:dyDescent="0.2">
      <c r="D265" s="79" t="s">
        <v>137</v>
      </c>
      <c r="E265" s="53">
        <v>2.34</v>
      </c>
      <c r="F265" s="53">
        <v>2.2400000000000002</v>
      </c>
      <c r="G265" s="53">
        <v>2.64</v>
      </c>
      <c r="H265" s="53">
        <v>3.06</v>
      </c>
      <c r="I265" s="53">
        <v>1.96</v>
      </c>
      <c r="J265" s="53">
        <v>2.68</v>
      </c>
      <c r="K265" s="53">
        <v>2.21</v>
      </c>
      <c r="L265" s="53">
        <v>1.63</v>
      </c>
      <c r="M265" s="53">
        <v>1.22</v>
      </c>
      <c r="N265" s="53">
        <v>1.37</v>
      </c>
      <c r="O265" s="53">
        <v>1.92</v>
      </c>
      <c r="P265" s="93">
        <v>1.91</v>
      </c>
    </row>
    <row r="266" spans="4:16" ht="17.100000000000001" customHeight="1" x14ac:dyDescent="0.2">
      <c r="D266" s="79" t="s">
        <v>139</v>
      </c>
      <c r="E266" s="53">
        <v>17.79</v>
      </c>
      <c r="F266" s="53">
        <v>11.67</v>
      </c>
      <c r="G266" s="53">
        <v>12.83</v>
      </c>
      <c r="H266" s="53">
        <v>14.36</v>
      </c>
      <c r="I266" s="83">
        <v>-19.98</v>
      </c>
      <c r="J266" s="53">
        <v>10.61</v>
      </c>
      <c r="K266" s="53">
        <v>11.98</v>
      </c>
      <c r="L266" s="53">
        <v>5.72</v>
      </c>
      <c r="M266" s="53">
        <v>6.1</v>
      </c>
      <c r="N266" s="53">
        <v>8.16</v>
      </c>
      <c r="O266" s="53">
        <v>20.190000000000001</v>
      </c>
      <c r="P266" s="93">
        <v>12.17</v>
      </c>
    </row>
    <row r="267" spans="4:16" ht="17.100000000000001" customHeight="1" x14ac:dyDescent="0.2">
      <c r="D267" s="68" t="s">
        <v>140</v>
      </c>
      <c r="E267" s="50">
        <v>0.8</v>
      </c>
      <c r="F267" s="50">
        <v>0.75</v>
      </c>
      <c r="G267" s="50">
        <v>0.8</v>
      </c>
      <c r="H267" s="50">
        <v>0.94</v>
      </c>
      <c r="I267" s="50">
        <v>0.72</v>
      </c>
      <c r="J267" s="50">
        <v>0.99</v>
      </c>
      <c r="K267" s="50">
        <v>0.73</v>
      </c>
      <c r="L267" s="50">
        <v>0.66</v>
      </c>
      <c r="M267" s="50">
        <v>0.49</v>
      </c>
      <c r="N267" s="50">
        <v>0.52</v>
      </c>
      <c r="O267" s="50">
        <v>0.69</v>
      </c>
      <c r="P267" s="71">
        <v>0.71</v>
      </c>
    </row>
    <row r="268" spans="4:16" ht="17.100000000000001" customHeight="1" x14ac:dyDescent="0.2">
      <c r="D268" s="68" t="s">
        <v>142</v>
      </c>
      <c r="E268" s="50">
        <v>0.94</v>
      </c>
      <c r="F268" s="50">
        <v>0.86</v>
      </c>
      <c r="G268" s="50">
        <v>0.92</v>
      </c>
      <c r="H268" s="50">
        <v>1.0900000000000001</v>
      </c>
      <c r="I268" s="50">
        <v>0.85</v>
      </c>
      <c r="J268" s="50">
        <v>1.1599999999999999</v>
      </c>
      <c r="K268" s="50">
        <v>0.86</v>
      </c>
      <c r="L268" s="50">
        <v>0.76</v>
      </c>
      <c r="M268" s="50">
        <v>0.56000000000000005</v>
      </c>
      <c r="N268" s="50">
        <v>0.59</v>
      </c>
      <c r="O268" s="50">
        <v>0.78</v>
      </c>
      <c r="P268" s="71">
        <v>0.81</v>
      </c>
    </row>
    <row r="269" spans="4:16" ht="17.100000000000001" customHeight="1" x14ac:dyDescent="0.2">
      <c r="D269" s="68" t="s">
        <v>146</v>
      </c>
      <c r="E269" s="51">
        <v>-0.18</v>
      </c>
      <c r="F269" s="51">
        <v>-0.17</v>
      </c>
      <c r="G269" s="51">
        <v>-0.19</v>
      </c>
      <c r="H269" s="51">
        <v>-0.22</v>
      </c>
      <c r="I269" s="51">
        <v>-0.14000000000000001</v>
      </c>
      <c r="J269" s="51">
        <v>-0.19</v>
      </c>
      <c r="K269" s="51">
        <v>-0.12</v>
      </c>
      <c r="L269" s="51">
        <v>-0.11</v>
      </c>
      <c r="M269" s="51">
        <v>-0.08</v>
      </c>
      <c r="N269" s="51">
        <v>-0.09</v>
      </c>
      <c r="O269" s="51">
        <v>-0.12</v>
      </c>
      <c r="P269" s="94">
        <v>-0.13</v>
      </c>
    </row>
    <row r="270" spans="4:16" ht="17.100000000000001" customHeight="1" x14ac:dyDescent="0.2">
      <c r="D270" s="85" t="s">
        <v>150</v>
      </c>
      <c r="E270" s="95">
        <v>1E-3</v>
      </c>
      <c r="F270" s="95">
        <v>2E-3</v>
      </c>
      <c r="G270" s="95">
        <v>5.0000000000000001E-3</v>
      </c>
      <c r="H270" s="95">
        <v>1.0999999999999999E-2</v>
      </c>
      <c r="I270" s="95">
        <v>2.5000000000000001E-2</v>
      </c>
      <c r="J270" s="95">
        <v>2.3E-2</v>
      </c>
      <c r="K270" s="95">
        <v>3.3000000000000002E-2</v>
      </c>
      <c r="L270" s="95">
        <v>3.4000000000000002E-2</v>
      </c>
      <c r="M270" s="95">
        <v>4.4999999999999998E-2</v>
      </c>
      <c r="N270" s="95">
        <v>0.04</v>
      </c>
      <c r="O270" s="95">
        <v>3.1E-2</v>
      </c>
      <c r="P270" s="96">
        <v>0.03</v>
      </c>
    </row>
    <row r="272" spans="4:16" ht="17.100000000000001" customHeight="1" x14ac:dyDescent="0.2">
      <c r="D272" s="45"/>
      <c r="E272" s="45"/>
      <c r="F272" s="45">
        <f t="shared" ref="F272:O272" si="52">_xlfn.DAYS(F273,E273)</f>
        <v>364</v>
      </c>
      <c r="G272" s="45">
        <f t="shared" si="52"/>
        <v>364</v>
      </c>
      <c r="H272" s="45">
        <f t="shared" si="52"/>
        <v>371</v>
      </c>
      <c r="I272" s="45">
        <f t="shared" si="52"/>
        <v>364</v>
      </c>
      <c r="J272" s="45">
        <f t="shared" si="52"/>
        <v>364</v>
      </c>
      <c r="K272" s="45">
        <f t="shared" si="52"/>
        <v>364</v>
      </c>
      <c r="L272" s="45">
        <f t="shared" si="52"/>
        <v>364</v>
      </c>
      <c r="M272" s="45">
        <f t="shared" si="52"/>
        <v>364</v>
      </c>
      <c r="N272" s="45">
        <f t="shared" si="52"/>
        <v>371</v>
      </c>
      <c r="O272" s="45">
        <f t="shared" si="52"/>
        <v>364</v>
      </c>
      <c r="P272" s="45"/>
    </row>
    <row r="273" spans="4:16" ht="17.100000000000001" customHeight="1" thickBot="1" x14ac:dyDescent="0.25">
      <c r="D273" s="97" t="s">
        <v>293</v>
      </c>
      <c r="E273" s="98">
        <v>41882</v>
      </c>
      <c r="F273" s="98">
        <v>42246</v>
      </c>
      <c r="G273" s="98">
        <v>42610</v>
      </c>
      <c r="H273" s="98">
        <v>42981</v>
      </c>
      <c r="I273" s="98">
        <v>43345</v>
      </c>
      <c r="J273" s="98">
        <v>43709</v>
      </c>
      <c r="K273" s="98">
        <v>44073</v>
      </c>
      <c r="L273" s="98">
        <v>44437</v>
      </c>
      <c r="M273" s="98">
        <v>44801</v>
      </c>
      <c r="N273" s="98">
        <v>45172</v>
      </c>
      <c r="O273" s="98">
        <v>45536</v>
      </c>
      <c r="P273" s="99" t="s">
        <v>18</v>
      </c>
    </row>
    <row r="274" spans="4:16" ht="17.100000000000001" customHeight="1" x14ac:dyDescent="0.2">
      <c r="D274" s="100" t="s">
        <v>167</v>
      </c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92"/>
    </row>
    <row r="275" spans="4:16" ht="17.100000000000001" customHeight="1" x14ac:dyDescent="0.2">
      <c r="D275" s="68" t="s">
        <v>168</v>
      </c>
      <c r="E275" s="55">
        <v>6.4000000000000001E-2</v>
      </c>
      <c r="F275" s="55">
        <v>6.9000000000000006E-2</v>
      </c>
      <c r="G275" s="55">
        <v>6.9000000000000006E-2</v>
      </c>
      <c r="H275" s="55">
        <v>7.3999999999999996E-2</v>
      </c>
      <c r="I275" s="55">
        <v>7.2999999999999995E-2</v>
      </c>
      <c r="J275" s="55">
        <v>6.9000000000000006E-2</v>
      </c>
      <c r="K275" s="55">
        <v>6.7000000000000004E-2</v>
      </c>
      <c r="L275" s="55">
        <v>7.3999999999999996E-2</v>
      </c>
      <c r="M275" s="55">
        <v>0.08</v>
      </c>
      <c r="N275" s="55">
        <v>0.08</v>
      </c>
      <c r="O275" s="55">
        <v>8.4000000000000005E-2</v>
      </c>
      <c r="P275" s="90">
        <v>8.1000000000000003E-2</v>
      </c>
    </row>
    <row r="276" spans="4:16" ht="17.100000000000001" customHeight="1" x14ac:dyDescent="0.2">
      <c r="D276" s="79" t="s">
        <v>169</v>
      </c>
      <c r="E276" s="56">
        <v>0.17899999999999999</v>
      </c>
      <c r="F276" s="56">
        <v>0.21299999999999999</v>
      </c>
      <c r="G276" s="56">
        <v>0.20599999999999999</v>
      </c>
      <c r="H276" s="56">
        <v>0.22800000000000001</v>
      </c>
      <c r="I276" s="56">
        <v>0.224</v>
      </c>
      <c r="J276" s="56">
        <v>0.20300000000000001</v>
      </c>
      <c r="K276" s="56">
        <v>0.17799999999999999</v>
      </c>
      <c r="L276" s="56">
        <v>0.22500000000000001</v>
      </c>
      <c r="M276" s="56">
        <v>0.245</v>
      </c>
      <c r="N276" s="56">
        <v>0.23400000000000001</v>
      </c>
      <c r="O276" s="56">
        <v>0.27</v>
      </c>
      <c r="P276" s="101">
        <v>0.29099999999999998</v>
      </c>
    </row>
    <row r="277" spans="4:16" ht="17.100000000000001" customHeight="1" x14ac:dyDescent="0.2">
      <c r="D277" s="79" t="s">
        <v>170</v>
      </c>
      <c r="E277" s="56">
        <v>0.17699999999999999</v>
      </c>
      <c r="F277" s="56">
        <v>0.20599999999999999</v>
      </c>
      <c r="G277" s="56">
        <v>0.20499999999999999</v>
      </c>
      <c r="H277" s="56">
        <v>0.23200000000000001</v>
      </c>
      <c r="I277" s="56">
        <v>0.26300000000000001</v>
      </c>
      <c r="J277" s="56">
        <v>0.25800000000000001</v>
      </c>
      <c r="K277" s="56">
        <v>0.23699999999999999</v>
      </c>
      <c r="L277" s="56">
        <v>0.27600000000000002</v>
      </c>
      <c r="M277" s="56">
        <v>0.30499999999999999</v>
      </c>
      <c r="N277" s="56">
        <v>0.27500000000000002</v>
      </c>
      <c r="O277" s="56">
        <v>0.30299999999999999</v>
      </c>
      <c r="P277" s="101">
        <v>0.29899999999999999</v>
      </c>
    </row>
    <row r="278" spans="4:16" ht="17.100000000000001" customHeight="1" thickBot="1" x14ac:dyDescent="0.25">
      <c r="D278" s="102" t="s">
        <v>171</v>
      </c>
      <c r="E278" s="54">
        <v>0.17799999999999999</v>
      </c>
      <c r="F278" s="54">
        <v>0.20699999999999999</v>
      </c>
      <c r="G278" s="54">
        <v>0.20699999999999999</v>
      </c>
      <c r="H278" s="54">
        <v>0.23400000000000001</v>
      </c>
      <c r="I278" s="54">
        <v>0.26600000000000001</v>
      </c>
      <c r="J278" s="54">
        <v>0.26100000000000001</v>
      </c>
      <c r="K278" s="54">
        <v>0.23899999999999999</v>
      </c>
      <c r="L278" s="54">
        <v>0.27900000000000003</v>
      </c>
      <c r="M278" s="54">
        <v>0.30599999999999999</v>
      </c>
      <c r="N278" s="54">
        <v>0.27500000000000002</v>
      </c>
      <c r="O278" s="54">
        <v>0.30299999999999999</v>
      </c>
      <c r="P278" s="103">
        <v>0.29899999999999999</v>
      </c>
    </row>
    <row r="279" spans="4:16" ht="17.100000000000001" customHeight="1" x14ac:dyDescent="0.2">
      <c r="D279" s="100" t="s">
        <v>172</v>
      </c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92"/>
    </row>
    <row r="280" spans="4:16" ht="17.100000000000001" customHeight="1" x14ac:dyDescent="0.2">
      <c r="D280" s="68" t="s">
        <v>173</v>
      </c>
      <c r="E280" s="55">
        <v>0.126</v>
      </c>
      <c r="F280" s="55">
        <v>0.13</v>
      </c>
      <c r="G280" s="55">
        <v>0.13300000000000001</v>
      </c>
      <c r="H280" s="55">
        <v>0.13300000000000001</v>
      </c>
      <c r="I280" s="55">
        <v>0.13</v>
      </c>
      <c r="J280" s="55">
        <v>0.13</v>
      </c>
      <c r="K280" s="55">
        <v>0.13100000000000001</v>
      </c>
      <c r="L280" s="55">
        <v>0.129</v>
      </c>
      <c r="M280" s="55">
        <v>0.121</v>
      </c>
      <c r="N280" s="55">
        <v>0.124</v>
      </c>
      <c r="O280" s="55">
        <v>0.126</v>
      </c>
      <c r="P280" s="90">
        <v>0.127</v>
      </c>
    </row>
    <row r="281" spans="4:16" ht="17.100000000000001" customHeight="1" x14ac:dyDescent="0.2">
      <c r="D281" s="68" t="s">
        <v>174</v>
      </c>
      <c r="E281" s="55">
        <v>9.7000000000000003E-2</v>
      </c>
      <c r="F281" s="55">
        <v>9.8000000000000004E-2</v>
      </c>
      <c r="G281" s="55">
        <v>0.10199999999999999</v>
      </c>
      <c r="H281" s="55">
        <v>0.1</v>
      </c>
      <c r="I281" s="55">
        <v>9.8000000000000004E-2</v>
      </c>
      <c r="J281" s="55">
        <v>9.8000000000000004E-2</v>
      </c>
      <c r="K281" s="55">
        <v>9.8000000000000004E-2</v>
      </c>
      <c r="L281" s="55">
        <v>9.4E-2</v>
      </c>
      <c r="M281" s="55">
        <v>8.6999999999999994E-2</v>
      </c>
      <c r="N281" s="55">
        <v>8.8999999999999996E-2</v>
      </c>
      <c r="O281" s="55">
        <v>0.09</v>
      </c>
      <c r="P281" s="90">
        <v>0.09</v>
      </c>
    </row>
    <row r="282" spans="4:16" ht="17.100000000000001" customHeight="1" x14ac:dyDescent="0.2">
      <c r="D282" s="68" t="s">
        <v>175</v>
      </c>
      <c r="E282" s="55">
        <v>3.7999999999999999E-2</v>
      </c>
      <c r="F282" s="55">
        <v>4.1000000000000002E-2</v>
      </c>
      <c r="G282" s="55">
        <v>4.2000000000000003E-2</v>
      </c>
      <c r="H282" s="55">
        <v>4.2000000000000003E-2</v>
      </c>
      <c r="I282" s="55">
        <v>4.2000000000000003E-2</v>
      </c>
      <c r="J282" s="55">
        <v>4.1000000000000002E-2</v>
      </c>
      <c r="K282" s="55">
        <v>4.2000000000000003E-2</v>
      </c>
      <c r="L282" s="55">
        <v>4.3999999999999997E-2</v>
      </c>
      <c r="M282" s="55">
        <v>4.2999999999999997E-2</v>
      </c>
      <c r="N282" s="55">
        <v>4.3999999999999997E-2</v>
      </c>
      <c r="O282" s="55">
        <v>4.4999999999999998E-2</v>
      </c>
      <c r="P282" s="90">
        <v>4.5999999999999999E-2</v>
      </c>
    </row>
    <row r="283" spans="4:16" ht="17.100000000000001" customHeight="1" x14ac:dyDescent="0.2">
      <c r="D283" s="68" t="s">
        <v>176</v>
      </c>
      <c r="E283" s="55">
        <v>2.9000000000000001E-2</v>
      </c>
      <c r="F283" s="55">
        <v>3.1E-2</v>
      </c>
      <c r="G283" s="55">
        <v>3.1E-2</v>
      </c>
      <c r="H283" s="55">
        <v>3.2000000000000001E-2</v>
      </c>
      <c r="I283" s="55">
        <v>3.2000000000000001E-2</v>
      </c>
      <c r="J283" s="55">
        <v>3.1E-2</v>
      </c>
      <c r="K283" s="55">
        <v>3.3000000000000002E-2</v>
      </c>
      <c r="L283" s="55">
        <v>3.5000000000000003E-2</v>
      </c>
      <c r="M283" s="55">
        <v>3.5000000000000003E-2</v>
      </c>
      <c r="N283" s="55">
        <v>3.5000000000000003E-2</v>
      </c>
      <c r="O283" s="55">
        <v>3.5999999999999997E-2</v>
      </c>
      <c r="P283" s="90">
        <v>3.6999999999999998E-2</v>
      </c>
    </row>
    <row r="284" spans="4:16" ht="17.100000000000001" customHeight="1" x14ac:dyDescent="0.2">
      <c r="D284" s="68" t="s">
        <v>177</v>
      </c>
      <c r="E284" s="55">
        <v>2.9000000000000001E-2</v>
      </c>
      <c r="F284" s="55">
        <v>3.1E-2</v>
      </c>
      <c r="G284" s="55">
        <v>3.1E-2</v>
      </c>
      <c r="H284" s="55">
        <v>3.2000000000000001E-2</v>
      </c>
      <c r="I284" s="55">
        <v>3.2000000000000001E-2</v>
      </c>
      <c r="J284" s="55">
        <v>3.1E-2</v>
      </c>
      <c r="K284" s="55">
        <v>3.3000000000000002E-2</v>
      </c>
      <c r="L284" s="55">
        <v>3.5000000000000003E-2</v>
      </c>
      <c r="M284" s="55">
        <v>3.5000000000000003E-2</v>
      </c>
      <c r="N284" s="55">
        <v>3.5000000000000003E-2</v>
      </c>
      <c r="O284" s="55">
        <v>3.5999999999999997E-2</v>
      </c>
      <c r="P284" s="90">
        <v>3.6999999999999998E-2</v>
      </c>
    </row>
    <row r="285" spans="4:16" ht="17.100000000000001" customHeight="1" x14ac:dyDescent="0.2">
      <c r="D285" s="68" t="s">
        <v>178</v>
      </c>
      <c r="E285" s="55">
        <v>1.9E-2</v>
      </c>
      <c r="F285" s="55">
        <v>2.1000000000000001E-2</v>
      </c>
      <c r="G285" s="55">
        <v>0.02</v>
      </c>
      <c r="H285" s="55">
        <v>2.1000000000000001E-2</v>
      </c>
      <c r="I285" s="55">
        <v>2.1999999999999999E-2</v>
      </c>
      <c r="J285" s="55">
        <v>2.4E-2</v>
      </c>
      <c r="K285" s="55">
        <v>2.4E-2</v>
      </c>
      <c r="L285" s="55">
        <v>2.5999999999999999E-2</v>
      </c>
      <c r="M285" s="55">
        <v>2.5999999999999999E-2</v>
      </c>
      <c r="N285" s="55">
        <v>2.5999999999999999E-2</v>
      </c>
      <c r="O285" s="55">
        <v>2.9000000000000001E-2</v>
      </c>
      <c r="P285" s="90">
        <v>2.9000000000000001E-2</v>
      </c>
    </row>
    <row r="286" spans="4:16" ht="17.100000000000001" customHeight="1" x14ac:dyDescent="0.2">
      <c r="D286" s="79" t="s">
        <v>179</v>
      </c>
      <c r="E286" s="56">
        <v>1.7999999999999999E-2</v>
      </c>
      <c r="F286" s="56">
        <v>0.02</v>
      </c>
      <c r="G286" s="56">
        <v>0.02</v>
      </c>
      <c r="H286" s="56">
        <v>2.1000000000000001E-2</v>
      </c>
      <c r="I286" s="56">
        <v>2.1999999999999999E-2</v>
      </c>
      <c r="J286" s="56">
        <v>2.4E-2</v>
      </c>
      <c r="K286" s="56">
        <v>2.4E-2</v>
      </c>
      <c r="L286" s="56">
        <v>2.5999999999999999E-2</v>
      </c>
      <c r="M286" s="56">
        <v>2.5999999999999999E-2</v>
      </c>
      <c r="N286" s="56">
        <v>2.5999999999999999E-2</v>
      </c>
      <c r="O286" s="56">
        <v>2.9000000000000001E-2</v>
      </c>
      <c r="P286" s="101">
        <v>2.9000000000000001E-2</v>
      </c>
    </row>
    <row r="287" spans="4:16" ht="17.100000000000001" customHeight="1" x14ac:dyDescent="0.2">
      <c r="D287" s="68" t="s">
        <v>180</v>
      </c>
      <c r="E287" s="55">
        <v>1.7000000000000001E-2</v>
      </c>
      <c r="F287" s="55">
        <v>1.9E-2</v>
      </c>
      <c r="G287" s="55">
        <v>1.9E-2</v>
      </c>
      <c r="H287" s="55">
        <v>1.9E-2</v>
      </c>
      <c r="I287" s="55">
        <v>1.9E-2</v>
      </c>
      <c r="J287" s="55">
        <v>1.9E-2</v>
      </c>
      <c r="K287" s="55">
        <v>0.02</v>
      </c>
      <c r="L287" s="55">
        <v>2.1000000000000001E-2</v>
      </c>
      <c r="M287" s="55">
        <v>2.1999999999999999E-2</v>
      </c>
      <c r="N287" s="55">
        <v>2.3E-2</v>
      </c>
      <c r="O287" s="55">
        <v>2.4E-2</v>
      </c>
      <c r="P287" s="90">
        <v>2.4E-2</v>
      </c>
    </row>
    <row r="288" spans="4:16" ht="17.100000000000001" customHeight="1" x14ac:dyDescent="0.2">
      <c r="D288" s="68" t="s">
        <v>181</v>
      </c>
      <c r="E288" s="55">
        <v>1.7999999999999999E-2</v>
      </c>
      <c r="F288" s="55">
        <v>0.02</v>
      </c>
      <c r="G288" s="55">
        <v>0.02</v>
      </c>
      <c r="H288" s="55">
        <v>2.1000000000000001E-2</v>
      </c>
      <c r="I288" s="55">
        <v>2.1999999999999999E-2</v>
      </c>
      <c r="J288" s="55">
        <v>2.4E-2</v>
      </c>
      <c r="K288" s="55">
        <v>2.4E-2</v>
      </c>
      <c r="L288" s="55">
        <v>2.5999999999999999E-2</v>
      </c>
      <c r="M288" s="55">
        <v>2.5999999999999999E-2</v>
      </c>
      <c r="N288" s="55">
        <v>2.5999999999999999E-2</v>
      </c>
      <c r="O288" s="55">
        <v>2.9000000000000001E-2</v>
      </c>
      <c r="P288" s="90">
        <v>2.9000000000000001E-2</v>
      </c>
    </row>
    <row r="289" spans="4:16" ht="17.100000000000001" customHeight="1" x14ac:dyDescent="0.2">
      <c r="D289" s="68" t="s">
        <v>182</v>
      </c>
      <c r="E289" s="55">
        <v>1.7000000000000001E-2</v>
      </c>
      <c r="F289" s="55">
        <v>1.7999999999999999E-2</v>
      </c>
      <c r="G289" s="55">
        <v>3.0000000000000001E-3</v>
      </c>
      <c r="H289" s="55">
        <v>2.9000000000000001E-2</v>
      </c>
      <c r="I289" s="55">
        <v>1.9E-2</v>
      </c>
      <c r="J289" s="55">
        <v>1.7000000000000001E-2</v>
      </c>
      <c r="K289" s="55">
        <v>0.03</v>
      </c>
      <c r="L289" s="55">
        <v>2.1999999999999999E-2</v>
      </c>
      <c r="M289" s="55">
        <v>0.01</v>
      </c>
      <c r="N289" s="55">
        <v>2.3E-2</v>
      </c>
      <c r="O289" s="55">
        <v>1.7999999999999999E-2</v>
      </c>
      <c r="P289" s="90">
        <v>1.2E-2</v>
      </c>
    </row>
    <row r="290" spans="4:16" ht="17.100000000000001" customHeight="1" thickBot="1" x14ac:dyDescent="0.25">
      <c r="D290" s="102" t="s">
        <v>183</v>
      </c>
      <c r="E290" s="54">
        <v>1.7999999999999999E-2</v>
      </c>
      <c r="F290" s="54">
        <v>1.9E-2</v>
      </c>
      <c r="G290" s="54">
        <v>4.0000000000000001E-3</v>
      </c>
      <c r="H290" s="54">
        <v>0.03</v>
      </c>
      <c r="I290" s="54">
        <v>1.9E-2</v>
      </c>
      <c r="J290" s="54">
        <v>1.7999999999999999E-2</v>
      </c>
      <c r="K290" s="54">
        <v>0.03</v>
      </c>
      <c r="L290" s="54">
        <v>2.3E-2</v>
      </c>
      <c r="M290" s="54">
        <v>1.0999999999999999E-2</v>
      </c>
      <c r="N290" s="54">
        <v>2.3E-2</v>
      </c>
      <c r="O290" s="54">
        <v>1.7999999999999999E-2</v>
      </c>
      <c r="P290" s="103">
        <v>1.2E-2</v>
      </c>
    </row>
    <row r="291" spans="4:16" ht="17.100000000000001" customHeight="1" x14ac:dyDescent="0.2">
      <c r="D291" s="100" t="s">
        <v>184</v>
      </c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92"/>
    </row>
    <row r="292" spans="4:16" ht="17.100000000000001" customHeight="1" x14ac:dyDescent="0.2">
      <c r="D292" s="68" t="s">
        <v>185</v>
      </c>
      <c r="E292" s="47">
        <v>3.41</v>
      </c>
      <c r="F292" s="47">
        <v>3.52</v>
      </c>
      <c r="G292" s="47">
        <v>3.58</v>
      </c>
      <c r="H292" s="47">
        <v>3.55</v>
      </c>
      <c r="I292" s="47">
        <v>3.47</v>
      </c>
      <c r="J292" s="47">
        <v>3.36</v>
      </c>
      <c r="K292" s="47">
        <v>3</v>
      </c>
      <c r="L292" s="47">
        <v>3.31</v>
      </c>
      <c r="M292" s="47">
        <v>3.54</v>
      </c>
      <c r="N292" s="47">
        <v>3.51</v>
      </c>
      <c r="O292" s="47">
        <v>3.64</v>
      </c>
      <c r="P292" s="104">
        <v>3.53</v>
      </c>
    </row>
    <row r="293" spans="4:16" ht="17.100000000000001" customHeight="1" x14ac:dyDescent="0.2">
      <c r="D293" s="68" t="s">
        <v>186</v>
      </c>
      <c r="E293" s="47">
        <v>7.85</v>
      </c>
      <c r="F293" s="47">
        <v>7.69</v>
      </c>
      <c r="G293" s="47">
        <v>7.32</v>
      </c>
      <c r="H293" s="47">
        <v>7.33</v>
      </c>
      <c r="I293" s="47">
        <v>7.48</v>
      </c>
      <c r="J293" s="47">
        <v>7.53</v>
      </c>
      <c r="K293" s="47">
        <v>7.24</v>
      </c>
      <c r="L293" s="47">
        <v>7.45</v>
      </c>
      <c r="M293" s="47">
        <v>8.0399999999999991</v>
      </c>
      <c r="N293" s="47">
        <v>8.11</v>
      </c>
      <c r="O293" s="47">
        <v>7.98</v>
      </c>
      <c r="P293" s="104">
        <v>8.39</v>
      </c>
    </row>
    <row r="294" spans="4:16" ht="17.100000000000001" customHeight="1" x14ac:dyDescent="0.2">
      <c r="D294" s="68" t="s">
        <v>187</v>
      </c>
      <c r="E294" s="47">
        <v>114.65</v>
      </c>
      <c r="F294" s="47">
        <v>108.14</v>
      </c>
      <c r="G294" s="47">
        <v>100.74</v>
      </c>
      <c r="H294" s="47">
        <v>96.14</v>
      </c>
      <c r="I294" s="47">
        <v>91.31</v>
      </c>
      <c r="J294" s="47">
        <v>95.32</v>
      </c>
      <c r="K294" s="47">
        <v>108.11</v>
      </c>
      <c r="L294" s="47">
        <v>116.87</v>
      </c>
      <c r="M294" s="47">
        <v>112.24</v>
      </c>
      <c r="N294" s="47">
        <v>107.07</v>
      </c>
      <c r="O294" s="47">
        <v>101.66</v>
      </c>
      <c r="P294" s="104">
        <v>94.03</v>
      </c>
    </row>
    <row r="295" spans="4:16" ht="17.100000000000001" customHeight="1" x14ac:dyDescent="0.2">
      <c r="D295" s="68" t="s">
        <v>188</v>
      </c>
      <c r="E295" s="47">
        <v>12.04</v>
      </c>
      <c r="F295" s="47">
        <v>11.64</v>
      </c>
      <c r="G295" s="47">
        <v>11.51</v>
      </c>
      <c r="H295" s="47">
        <v>11.9</v>
      </c>
      <c r="I295" s="47">
        <v>11.8</v>
      </c>
      <c r="J295" s="47">
        <v>11.85</v>
      </c>
      <c r="K295" s="47">
        <v>12.26</v>
      </c>
      <c r="L295" s="47">
        <v>12.9</v>
      </c>
      <c r="M295" s="47">
        <v>12.41</v>
      </c>
      <c r="N295" s="47">
        <v>12.28</v>
      </c>
      <c r="O295" s="47">
        <v>12.6</v>
      </c>
      <c r="P295" s="104">
        <v>11.6</v>
      </c>
    </row>
    <row r="296" spans="4:16" ht="17.100000000000001" customHeight="1" thickBot="1" x14ac:dyDescent="0.25">
      <c r="D296" s="102" t="s">
        <v>189</v>
      </c>
      <c r="E296" s="48">
        <v>35.47</v>
      </c>
      <c r="F296" s="48">
        <v>484.16</v>
      </c>
      <c r="G296" s="49">
        <v>-332.55</v>
      </c>
      <c r="H296" s="49">
        <v>-724.86</v>
      </c>
      <c r="I296" s="48">
        <v>390.02</v>
      </c>
      <c r="J296" s="48">
        <v>615.74</v>
      </c>
      <c r="K296" s="48">
        <v>50.9</v>
      </c>
      <c r="L296" s="48">
        <v>3061.39</v>
      </c>
      <c r="M296" s="48">
        <v>325.14999999999998</v>
      </c>
      <c r="N296" s="48">
        <v>105.53</v>
      </c>
      <c r="O296" s="49">
        <v>-208.91</v>
      </c>
      <c r="P296" s="105">
        <v>-337.87</v>
      </c>
    </row>
    <row r="297" spans="4:16" ht="17.100000000000001" customHeight="1" x14ac:dyDescent="0.2">
      <c r="D297" s="100" t="s">
        <v>190</v>
      </c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92"/>
    </row>
    <row r="298" spans="4:16" ht="17.100000000000001" customHeight="1" x14ac:dyDescent="0.2">
      <c r="D298" s="68" t="s">
        <v>191</v>
      </c>
      <c r="E298" s="50">
        <v>1.22</v>
      </c>
      <c r="F298" s="50">
        <v>1.01</v>
      </c>
      <c r="G298" s="50">
        <v>0.98</v>
      </c>
      <c r="H298" s="50">
        <v>0.99</v>
      </c>
      <c r="I298" s="50">
        <v>1.02</v>
      </c>
      <c r="J298" s="50">
        <v>1.01</v>
      </c>
      <c r="K298" s="50">
        <v>1.1299999999999999</v>
      </c>
      <c r="L298" s="50">
        <v>1</v>
      </c>
      <c r="M298" s="50">
        <v>1.02</v>
      </c>
      <c r="N298" s="50">
        <v>1.07</v>
      </c>
      <c r="O298" s="50">
        <v>0.97</v>
      </c>
      <c r="P298" s="71">
        <v>0.98</v>
      </c>
    </row>
    <row r="299" spans="4:16" ht="17.100000000000001" customHeight="1" x14ac:dyDescent="0.2">
      <c r="D299" s="68" t="s">
        <v>194</v>
      </c>
      <c r="E299" s="50">
        <v>0.59</v>
      </c>
      <c r="F299" s="50">
        <v>0.46</v>
      </c>
      <c r="G299" s="50">
        <v>0.38</v>
      </c>
      <c r="H299" s="50">
        <v>0.41</v>
      </c>
      <c r="I299" s="50">
        <v>0.45</v>
      </c>
      <c r="J299" s="50">
        <v>0.47</v>
      </c>
      <c r="K299" s="50">
        <v>0.6</v>
      </c>
      <c r="L299" s="50">
        <v>0.47</v>
      </c>
      <c r="M299" s="50">
        <v>0.42</v>
      </c>
      <c r="N299" s="50">
        <v>0.52</v>
      </c>
      <c r="O299" s="50">
        <v>0.39</v>
      </c>
      <c r="P299" s="71">
        <v>0.39</v>
      </c>
    </row>
    <row r="300" spans="4:16" ht="17.100000000000001" customHeight="1" thickBot="1" x14ac:dyDescent="0.25">
      <c r="D300" s="68" t="s">
        <v>195</v>
      </c>
      <c r="E300" s="50">
        <v>0.28000000000000003</v>
      </c>
      <c r="F300" s="50">
        <v>0.26</v>
      </c>
      <c r="G300" s="50">
        <v>0.21</v>
      </c>
      <c r="H300" s="50">
        <v>0.38</v>
      </c>
      <c r="I300" s="50">
        <v>0.28999999999999998</v>
      </c>
      <c r="J300" s="50">
        <v>0.27</v>
      </c>
      <c r="K300" s="50">
        <v>0.36</v>
      </c>
      <c r="L300" s="50">
        <v>0.3</v>
      </c>
      <c r="M300" s="50">
        <v>0.23</v>
      </c>
      <c r="N300" s="50">
        <v>0.33</v>
      </c>
      <c r="O300" s="50">
        <v>0.32</v>
      </c>
      <c r="P300" s="71">
        <v>0.26</v>
      </c>
    </row>
    <row r="301" spans="4:16" ht="17.100000000000001" customHeight="1" thickBot="1" x14ac:dyDescent="0.25">
      <c r="D301" s="106" t="s">
        <v>197</v>
      </c>
      <c r="E301" s="57">
        <v>3.32</v>
      </c>
      <c r="F301" s="57">
        <v>3.26</v>
      </c>
      <c r="G301" s="57">
        <v>5.85</v>
      </c>
      <c r="H301" s="57">
        <v>6.7</v>
      </c>
      <c r="I301" s="57">
        <v>4.33</v>
      </c>
      <c r="J301" s="57">
        <v>3.24</v>
      </c>
      <c r="K301" s="57">
        <v>0.78</v>
      </c>
      <c r="L301" s="58">
        <v>-0.77</v>
      </c>
      <c r="M301" s="57">
        <v>1.98</v>
      </c>
      <c r="N301" s="57">
        <v>2.61</v>
      </c>
      <c r="O301" s="57">
        <v>2.5299999999999998</v>
      </c>
      <c r="P301" s="107">
        <v>1.76</v>
      </c>
    </row>
    <row r="302" spans="4:16" ht="17.100000000000001" customHeight="1" x14ac:dyDescent="0.2">
      <c r="D302" s="68" t="s">
        <v>198</v>
      </c>
      <c r="E302" s="50">
        <v>3.17</v>
      </c>
      <c r="F302" s="50">
        <v>3.37</v>
      </c>
      <c r="G302" s="50">
        <v>3.61</v>
      </c>
      <c r="H302" s="50">
        <v>3.86</v>
      </c>
      <c r="I302" s="50">
        <v>3.99</v>
      </c>
      <c r="J302" s="50">
        <v>3.82</v>
      </c>
      <c r="K302" s="50">
        <v>3.37</v>
      </c>
      <c r="L302" s="50">
        <v>3.11</v>
      </c>
      <c r="M302" s="50">
        <v>3.24</v>
      </c>
      <c r="N302" s="50">
        <v>3.47</v>
      </c>
      <c r="O302" s="50">
        <v>3.58</v>
      </c>
      <c r="P302" s="71">
        <v>3.87</v>
      </c>
    </row>
    <row r="303" spans="4:16" ht="17.100000000000001" customHeight="1" x14ac:dyDescent="0.2">
      <c r="D303" s="68" t="s">
        <v>199</v>
      </c>
      <c r="E303" s="50">
        <v>30.22</v>
      </c>
      <c r="F303" s="50">
        <v>31.27</v>
      </c>
      <c r="G303" s="50">
        <v>31.62</v>
      </c>
      <c r="H303" s="50">
        <v>31.18</v>
      </c>
      <c r="I303" s="50">
        <v>30.85</v>
      </c>
      <c r="J303" s="50">
        <v>30.73</v>
      </c>
      <c r="K303" s="50">
        <v>29.68</v>
      </c>
      <c r="L303" s="50">
        <v>28.21</v>
      </c>
      <c r="M303" s="50">
        <v>29.32</v>
      </c>
      <c r="N303" s="50">
        <v>30.21</v>
      </c>
      <c r="O303" s="50">
        <v>28.89</v>
      </c>
      <c r="P303" s="71">
        <v>31.39</v>
      </c>
    </row>
    <row r="304" spans="4:16" ht="17.100000000000001" customHeight="1" thickBot="1" x14ac:dyDescent="0.25">
      <c r="D304" s="102" t="s">
        <v>200</v>
      </c>
      <c r="E304" s="52">
        <v>30.08</v>
      </c>
      <c r="F304" s="52">
        <v>31.38</v>
      </c>
      <c r="G304" s="52">
        <v>29.38</v>
      </c>
      <c r="H304" s="52">
        <v>28.33</v>
      </c>
      <c r="I304" s="52">
        <v>30.51</v>
      </c>
      <c r="J304" s="52">
        <v>31.3</v>
      </c>
      <c r="K304" s="52">
        <v>32.270000000000003</v>
      </c>
      <c r="L304" s="52">
        <v>32.1</v>
      </c>
      <c r="M304" s="52">
        <v>30.58</v>
      </c>
      <c r="N304" s="52">
        <v>31.07</v>
      </c>
      <c r="O304" s="52">
        <v>29.94</v>
      </c>
      <c r="P304" s="108">
        <v>33.5</v>
      </c>
    </row>
    <row r="305" spans="4:16" ht="17.100000000000001" customHeight="1" x14ac:dyDescent="0.2">
      <c r="D305" s="100" t="s">
        <v>201</v>
      </c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92"/>
    </row>
    <row r="306" spans="4:16" ht="17.100000000000001" customHeight="1" x14ac:dyDescent="0.2">
      <c r="D306" s="68" t="s">
        <v>202</v>
      </c>
      <c r="E306" s="55">
        <v>0.40699999999999997</v>
      </c>
      <c r="F306" s="55">
        <v>0.56599999999999995</v>
      </c>
      <c r="G306" s="55">
        <v>0.41899999999999998</v>
      </c>
      <c r="H306" s="55">
        <v>0.60099999999999998</v>
      </c>
      <c r="I306" s="55">
        <v>0.502</v>
      </c>
      <c r="J306" s="55">
        <v>0.46500000000000002</v>
      </c>
      <c r="K306" s="55">
        <v>0.59299999999999997</v>
      </c>
      <c r="L306" s="55">
        <v>0.63100000000000001</v>
      </c>
      <c r="M306" s="55">
        <v>0.52800000000000002</v>
      </c>
      <c r="N306" s="55">
        <v>0.42</v>
      </c>
      <c r="O306" s="55">
        <v>0.42099999999999999</v>
      </c>
      <c r="P306" s="90">
        <v>0.33300000000000002</v>
      </c>
    </row>
    <row r="307" spans="4:16" ht="17.100000000000001" customHeight="1" x14ac:dyDescent="0.2">
      <c r="D307" s="68" t="s">
        <v>203</v>
      </c>
      <c r="E307" s="55">
        <v>0.28199999999999997</v>
      </c>
      <c r="F307" s="55">
        <v>0.36</v>
      </c>
      <c r="G307" s="55">
        <v>0.28999999999999998</v>
      </c>
      <c r="H307" s="55">
        <v>0.36899999999999999</v>
      </c>
      <c r="I307" s="55">
        <v>0.32900000000000001</v>
      </c>
      <c r="J307" s="55">
        <v>0.31</v>
      </c>
      <c r="K307" s="55">
        <v>0.36399999999999999</v>
      </c>
      <c r="L307" s="55">
        <v>0.377</v>
      </c>
      <c r="M307" s="55">
        <v>0.33800000000000002</v>
      </c>
      <c r="N307" s="55">
        <v>0.28999999999999998</v>
      </c>
      <c r="O307" s="55">
        <v>0.28999999999999998</v>
      </c>
      <c r="P307" s="90">
        <v>0.25</v>
      </c>
    </row>
    <row r="308" spans="4:16" ht="17.100000000000001" customHeight="1" x14ac:dyDescent="0.2">
      <c r="D308" s="68" t="s">
        <v>204</v>
      </c>
      <c r="E308" s="55">
        <v>0.621</v>
      </c>
      <c r="F308" s="55">
        <v>0.67200000000000004</v>
      </c>
      <c r="G308" s="55">
        <v>0.628</v>
      </c>
      <c r="H308" s="55">
        <v>0.69499999999999995</v>
      </c>
      <c r="I308" s="55">
        <v>0.67900000000000005</v>
      </c>
      <c r="J308" s="55">
        <v>0.65700000000000003</v>
      </c>
      <c r="K308" s="55">
        <v>0.66300000000000003</v>
      </c>
      <c r="L308" s="55">
        <v>0.69499999999999995</v>
      </c>
      <c r="M308" s="55">
        <v>0.67800000000000005</v>
      </c>
      <c r="N308" s="55">
        <v>0.63700000000000001</v>
      </c>
      <c r="O308" s="55">
        <v>0.66200000000000003</v>
      </c>
      <c r="P308" s="90">
        <v>0.66700000000000004</v>
      </c>
    </row>
    <row r="309" spans="4:16" ht="17.100000000000001" customHeight="1" x14ac:dyDescent="0.2">
      <c r="D309" s="68" t="s">
        <v>205</v>
      </c>
      <c r="E309" s="50" t="s">
        <v>206</v>
      </c>
      <c r="F309" s="50" t="s">
        <v>207</v>
      </c>
      <c r="G309" s="50" t="s">
        <v>208</v>
      </c>
      <c r="H309" s="50" t="s">
        <v>209</v>
      </c>
      <c r="I309" s="50" t="s">
        <v>210</v>
      </c>
      <c r="J309" s="50" t="s">
        <v>211</v>
      </c>
      <c r="K309" s="50" t="s">
        <v>212</v>
      </c>
      <c r="L309" s="50" t="s">
        <v>213</v>
      </c>
      <c r="M309" s="50" t="s">
        <v>214</v>
      </c>
      <c r="N309" s="50" t="s">
        <v>215</v>
      </c>
      <c r="O309" s="50" t="s">
        <v>216</v>
      </c>
      <c r="P309" s="71" t="s">
        <v>217</v>
      </c>
    </row>
    <row r="310" spans="4:16" ht="17.100000000000001" customHeight="1" x14ac:dyDescent="0.2">
      <c r="D310" s="68" t="s">
        <v>218</v>
      </c>
      <c r="E310" s="50" t="s">
        <v>219</v>
      </c>
      <c r="F310" s="50" t="s">
        <v>220</v>
      </c>
      <c r="G310" s="50" t="s">
        <v>221</v>
      </c>
      <c r="H310" s="50" t="s">
        <v>222</v>
      </c>
      <c r="I310" s="50" t="s">
        <v>223</v>
      </c>
      <c r="J310" s="50" t="s">
        <v>224</v>
      </c>
      <c r="K310" s="50" t="s">
        <v>225</v>
      </c>
      <c r="L310" s="50" t="s">
        <v>226</v>
      </c>
      <c r="M310" s="50" t="s">
        <v>227</v>
      </c>
      <c r="N310" s="50" t="s">
        <v>228</v>
      </c>
      <c r="O310" s="50" t="s">
        <v>229</v>
      </c>
      <c r="P310" s="71" t="s">
        <v>230</v>
      </c>
    </row>
    <row r="311" spans="4:16" ht="17.100000000000001" customHeight="1" x14ac:dyDescent="0.2">
      <c r="D311" s="68" t="s">
        <v>231</v>
      </c>
      <c r="E311" s="50" t="s">
        <v>232</v>
      </c>
      <c r="F311" s="50" t="s">
        <v>233</v>
      </c>
      <c r="G311" s="50" t="s">
        <v>234</v>
      </c>
      <c r="H311" s="50" t="s">
        <v>235</v>
      </c>
      <c r="I311" s="50" t="s">
        <v>236</v>
      </c>
      <c r="J311" s="50" t="s">
        <v>237</v>
      </c>
      <c r="K311" s="50" t="s">
        <v>238</v>
      </c>
      <c r="L311" s="50" t="s">
        <v>239</v>
      </c>
      <c r="M311" s="50" t="s">
        <v>240</v>
      </c>
      <c r="N311" s="50" t="s">
        <v>241</v>
      </c>
      <c r="O311" s="50" t="s">
        <v>242</v>
      </c>
      <c r="P311" s="71" t="s">
        <v>243</v>
      </c>
    </row>
    <row r="312" spans="4:16" ht="17.100000000000001" customHeight="1" x14ac:dyDescent="0.2">
      <c r="D312" s="68" t="s">
        <v>244</v>
      </c>
      <c r="E312" s="50" t="s">
        <v>245</v>
      </c>
      <c r="F312" s="50" t="s">
        <v>246</v>
      </c>
      <c r="G312" s="50" t="s">
        <v>247</v>
      </c>
      <c r="H312" s="50" t="s">
        <v>248</v>
      </c>
      <c r="I312" s="50" t="s">
        <v>249</v>
      </c>
      <c r="J312" s="50" t="s">
        <v>250</v>
      </c>
      <c r="K312" s="50" t="s">
        <v>251</v>
      </c>
      <c r="L312" s="50" t="s">
        <v>252</v>
      </c>
      <c r="M312" s="50" t="s">
        <v>253</v>
      </c>
      <c r="N312" s="50" t="s">
        <v>254</v>
      </c>
      <c r="O312" s="50" t="s">
        <v>255</v>
      </c>
      <c r="P312" s="71" t="s">
        <v>256</v>
      </c>
    </row>
    <row r="313" spans="4:16" ht="17.100000000000001" customHeight="1" x14ac:dyDescent="0.2">
      <c r="D313" s="68" t="s">
        <v>257</v>
      </c>
      <c r="E313" s="50" t="s">
        <v>145</v>
      </c>
      <c r="F313" s="50" t="s">
        <v>259</v>
      </c>
      <c r="G313" s="50" t="s">
        <v>260</v>
      </c>
      <c r="H313" s="50" t="s">
        <v>193</v>
      </c>
      <c r="I313" s="50" t="s">
        <v>261</v>
      </c>
      <c r="J313" s="50" t="s">
        <v>261</v>
      </c>
      <c r="K313" s="50" t="s">
        <v>141</v>
      </c>
      <c r="L313" s="50" t="s">
        <v>262</v>
      </c>
      <c r="M313" s="50" t="s">
        <v>263</v>
      </c>
      <c r="N313" s="50" t="s">
        <v>264</v>
      </c>
      <c r="O313" s="50" t="s">
        <v>192</v>
      </c>
      <c r="P313" s="71" t="s">
        <v>138</v>
      </c>
    </row>
    <row r="314" spans="4:16" ht="17.100000000000001" customHeight="1" x14ac:dyDescent="0.2">
      <c r="D314" s="68" t="s">
        <v>265</v>
      </c>
      <c r="E314" s="50" t="s">
        <v>266</v>
      </c>
      <c r="F314" s="50" t="s">
        <v>267</v>
      </c>
      <c r="G314" s="50" t="s">
        <v>264</v>
      </c>
      <c r="H314" s="50" t="s">
        <v>268</v>
      </c>
      <c r="I314" s="50" t="s">
        <v>269</v>
      </c>
      <c r="J314" s="50" t="s">
        <v>133</v>
      </c>
      <c r="K314" s="50" t="s">
        <v>258</v>
      </c>
      <c r="L314" s="50" t="s">
        <v>270</v>
      </c>
      <c r="M314" s="50" t="s">
        <v>143</v>
      </c>
      <c r="N314" s="50" t="s">
        <v>144</v>
      </c>
      <c r="O314" s="50" t="s">
        <v>271</v>
      </c>
      <c r="P314" s="71" t="s">
        <v>272</v>
      </c>
    </row>
    <row r="315" spans="4:16" ht="17.100000000000001" customHeight="1" x14ac:dyDescent="0.2">
      <c r="D315" s="68" t="s">
        <v>273</v>
      </c>
      <c r="E315" s="51" t="s">
        <v>274</v>
      </c>
      <c r="F315" s="51" t="s">
        <v>275</v>
      </c>
      <c r="G315" s="50" t="s">
        <v>276</v>
      </c>
      <c r="H315" s="50" t="s">
        <v>277</v>
      </c>
      <c r="I315" s="51" t="s">
        <v>149</v>
      </c>
      <c r="J315" s="51" t="s">
        <v>278</v>
      </c>
      <c r="K315" s="51" t="s">
        <v>279</v>
      </c>
      <c r="L315" s="51" t="s">
        <v>147</v>
      </c>
      <c r="M315" s="51" t="s">
        <v>280</v>
      </c>
      <c r="N315" s="51" t="s">
        <v>281</v>
      </c>
      <c r="O315" s="51" t="s">
        <v>282</v>
      </c>
      <c r="P315" s="94" t="s">
        <v>279</v>
      </c>
    </row>
    <row r="316" spans="4:16" ht="17.100000000000001" customHeight="1" x14ac:dyDescent="0.2">
      <c r="D316" s="85" t="s">
        <v>283</v>
      </c>
      <c r="E316" s="109" t="s">
        <v>284</v>
      </c>
      <c r="F316" s="109" t="s">
        <v>149</v>
      </c>
      <c r="G316" s="110" t="s">
        <v>285</v>
      </c>
      <c r="H316" s="110" t="s">
        <v>196</v>
      </c>
      <c r="I316" s="109" t="s">
        <v>286</v>
      </c>
      <c r="J316" s="109" t="s">
        <v>287</v>
      </c>
      <c r="K316" s="109" t="s">
        <v>288</v>
      </c>
      <c r="L316" s="109" t="s">
        <v>148</v>
      </c>
      <c r="M316" s="109" t="s">
        <v>289</v>
      </c>
      <c r="N316" s="109" t="s">
        <v>290</v>
      </c>
      <c r="O316" s="109" t="s">
        <v>291</v>
      </c>
      <c r="P316" s="111" t="s">
        <v>292</v>
      </c>
    </row>
  </sheetData>
  <mergeCells count="4">
    <mergeCell ref="N45:T45"/>
    <mergeCell ref="N61:T61"/>
    <mergeCell ref="N92:T92"/>
    <mergeCell ref="N77:T77"/>
  </mergeCells>
  <phoneticPr fontId="2" type="noConversion"/>
  <conditionalFormatting sqref="N79:T85">
    <cfRule type="expression" dxfId="2" priority="1">
      <formula>N79&gt;=$M$78</formula>
    </cfRule>
  </conditionalFormatting>
  <conditionalFormatting sqref="O64:T69">
    <cfRule type="expression" dxfId="1" priority="3">
      <formula>O64&gt;=$N$63</formula>
    </cfRule>
  </conditionalFormatting>
  <conditionalFormatting sqref="O95:T100">
    <cfRule type="expression" dxfId="0" priority="2">
      <formula>O95&gt;=$N$63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A&amp;R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다.채동우</dc:creator>
  <cp:lastModifiedBy>채동우</cp:lastModifiedBy>
  <dcterms:created xsi:type="dcterms:W3CDTF">2025-02-24T07:12:59Z</dcterms:created>
  <dcterms:modified xsi:type="dcterms:W3CDTF">2025-03-25T01:39:55Z</dcterms:modified>
</cp:coreProperties>
</file>