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ate1904="1"/>
  <mc:AlternateContent xmlns:mc="http://schemas.openxmlformats.org/markup-compatibility/2006">
    <mc:Choice Requires="x15">
      <x15ac:absPath xmlns:x15ac="http://schemas.microsoft.com/office/spreadsheetml/2010/11/ac" url="C:\Users\dwchae23\Desktop\★★대체평가3팀 세미나 자료\채동우\ch12 Closure in Valuation _ Estimating Terminal Value\"/>
    </mc:Choice>
  </mc:AlternateContent>
  <xr:revisionPtr revIDLastSave="0" documentId="13_ncr:1_{D9C2DC21-F83A-4B58-A910-A5A600A683B9}" xr6:coauthVersionLast="47" xr6:coauthVersionMax="47" xr10:uidLastSave="{00000000-0000-0000-0000-000000000000}"/>
  <bookViews>
    <workbookView xWindow="-20520" yWindow="15" windowWidth="20625" windowHeight="15585" activeTab="1" xr2:uid="{FBE4DE43-46F0-4D85-967E-A7A71AFF1F7E}"/>
  </bookViews>
  <sheets>
    <sheet name="Read me first" sheetId="3" r:id="rId1"/>
    <sheet name="Inputs" sheetId="2" r:id="rId2"/>
    <sheet name="Normalized Earnings" sheetId="4" r:id="rId3"/>
    <sheet name="valuation" sheetId="1" r:id="rId4"/>
    <sheet name="Industry averages" sheetId="5" r:id="rId5"/>
    <sheet name="Augmented Dividend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E20" i="2"/>
  <c r="F19" i="2"/>
  <c r="E19" i="2"/>
  <c r="F9" i="1"/>
  <c r="E5" i="2"/>
  <c r="G5" i="4"/>
  <c r="B19" i="2"/>
  <c r="B20" i="2"/>
  <c r="B34" i="2"/>
  <c r="D26" i="1" s="1"/>
  <c r="B40" i="2"/>
  <c r="D9" i="1"/>
  <c r="G9" i="1" s="1"/>
  <c r="D10" i="1"/>
  <c r="D11" i="1"/>
  <c r="D12" i="1"/>
  <c r="D13" i="1"/>
  <c r="C16" i="1"/>
  <c r="C19" i="1" s="1"/>
  <c r="D16" i="1"/>
  <c r="D19" i="1" s="1"/>
  <c r="E16" i="1"/>
  <c r="E19" i="1" s="1"/>
  <c r="F16" i="1"/>
  <c r="F19" i="1" s="1"/>
  <c r="G16" i="1"/>
  <c r="G19" i="1" s="1"/>
  <c r="I16" i="1"/>
  <c r="I20" i="1" s="1"/>
  <c r="J16" i="1"/>
  <c r="J17" i="1" s="1"/>
  <c r="K16" i="1"/>
  <c r="K19" i="1" s="1"/>
  <c r="L16" i="1"/>
  <c r="L17" i="1" s="1"/>
  <c r="M16" i="1"/>
  <c r="M17" i="1" s="1"/>
  <c r="N16" i="1"/>
  <c r="N21" i="1" s="1"/>
  <c r="O16" i="1"/>
  <c r="O21" i="1" s="1"/>
  <c r="P16" i="1"/>
  <c r="P21" i="1" s="1"/>
  <c r="Q16" i="1"/>
  <c r="D25" i="1"/>
  <c r="H17" i="1"/>
  <c r="P17" i="1"/>
  <c r="Q17" i="1"/>
  <c r="H18" i="1"/>
  <c r="P18" i="1"/>
  <c r="Q18" i="1"/>
  <c r="H19" i="1"/>
  <c r="P19" i="1"/>
  <c r="Q19" i="1"/>
  <c r="H20" i="1"/>
  <c r="P20" i="1"/>
  <c r="Q20" i="1"/>
  <c r="D27" i="1"/>
  <c r="H21" i="1"/>
  <c r="Q21" i="1"/>
  <c r="H22" i="1"/>
  <c r="P22" i="1"/>
  <c r="Q22" i="1"/>
  <c r="P23" i="1"/>
  <c r="Q23" i="1"/>
  <c r="K21" i="1" l="1"/>
  <c r="J21" i="1"/>
  <c r="I21" i="1"/>
  <c r="O20" i="1"/>
  <c r="O19" i="1"/>
  <c r="O23" i="1"/>
  <c r="O18" i="1"/>
  <c r="O22" i="1"/>
  <c r="O17" i="1"/>
  <c r="M21" i="1"/>
  <c r="L21" i="1"/>
  <c r="D17" i="1"/>
  <c r="C18" i="1" s="1"/>
  <c r="D18" i="1" s="1"/>
  <c r="N23" i="1"/>
  <c r="M18" i="1"/>
  <c r="M23" i="1"/>
  <c r="L18" i="1"/>
  <c r="K18" i="1"/>
  <c r="K23" i="1"/>
  <c r="J23" i="1"/>
  <c r="I18" i="1"/>
  <c r="K20" i="1"/>
  <c r="K22" i="1"/>
  <c r="K17" i="1"/>
  <c r="M19" i="1"/>
  <c r="I22" i="1"/>
  <c r="L19" i="1"/>
  <c r="I17" i="1"/>
  <c r="J19" i="1"/>
  <c r="I19" i="1"/>
  <c r="N18" i="1"/>
  <c r="L23" i="1"/>
  <c r="N20" i="1"/>
  <c r="M20" i="1"/>
  <c r="J18" i="1"/>
  <c r="L20" i="1"/>
  <c r="I23" i="1"/>
  <c r="J20" i="1"/>
  <c r="N22" i="1"/>
  <c r="N17" i="1"/>
  <c r="M22" i="1"/>
  <c r="L22" i="1"/>
  <c r="N19" i="1"/>
  <c r="J22" i="1"/>
  <c r="C20" i="1"/>
  <c r="C17" i="1"/>
  <c r="F17" i="1"/>
  <c r="G17" i="1"/>
  <c r="E17" i="1"/>
  <c r="G21" i="1"/>
  <c r="F21" i="1"/>
  <c r="E21" i="1"/>
  <c r="D21" i="1"/>
  <c r="C21" i="1"/>
  <c r="C22" i="1"/>
  <c r="C23" i="1"/>
  <c r="D31" i="1"/>
  <c r="D32" i="1" s="1"/>
  <c r="E18" i="1" l="1"/>
  <c r="D20" i="1"/>
  <c r="G22" i="1"/>
  <c r="F22" i="1"/>
  <c r="E22" i="1"/>
  <c r="D22" i="1"/>
  <c r="F18" i="1" l="1"/>
  <c r="E20" i="1"/>
  <c r="E23" i="1" s="1"/>
  <c r="D23" i="1"/>
  <c r="G18" i="1" l="1"/>
  <c r="F20" i="1"/>
  <c r="F23" i="1" s="1"/>
  <c r="G20" i="1" l="1"/>
  <c r="G23" i="1" s="1"/>
  <c r="I25" i="1" s="1"/>
  <c r="D28" i="1"/>
  <c r="I26" i="1" s="1"/>
  <c r="I27" i="1" l="1"/>
  <c r="D33" i="1" s="1"/>
  <c r="D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B2" authorId="0" shapeId="0" xr:uid="{166B9411-C0A7-41FE-AD74-D7A53B0AC911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Current net income of the firm should be entered here. If it is negative, you will have to normalize the earnings.</t>
        </r>
      </text>
    </comment>
    <comment ref="B3" authorId="0" shapeId="0" xr:uid="{814C9386-6F41-4BB4-9319-8902CCB1E87C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book value of common equity. If you have more than one class of shares, enter the book value of all classes of common stock.</t>
        </r>
      </text>
    </comment>
    <comment ref="C3" authorId="0" shapeId="0" xr:uid="{51163E4E-A300-4681-91A5-CFA8AF7A17E0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book value of equity from the end of last year. If you do not have this number, enter this year's number here as well.</t>
        </r>
      </text>
    </comment>
    <comment ref="B4" authorId="0" shapeId="0" xr:uid="{1A8AB7B9-100F-49F3-9689-142792FB637D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earnings per share of the class of stock that you want to value, from the most recent period.</t>
        </r>
      </text>
    </comment>
    <comment ref="B5" authorId="0" shapeId="0" xr:uid="{9F9699BF-5258-4782-BE94-7D71837F3413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dividends per share in the most recent period for the class of stock that you want to value. (this can be zero)</t>
        </r>
      </text>
    </comment>
    <comment ref="B6" authorId="0" shapeId="0" xr:uid="{EA9834C0-072E-4429-9645-E470A8734A9C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you have negative earnings or if your firm had an abnormal year, you can normalize. If you choose this option, go into the normalized earnings worksheet and select your options.</t>
        </r>
      </text>
    </comment>
    <comment ref="B9" authorId="0" shapeId="0" xr:uid="{291098F6-B969-4765-A134-DDFB6E5B0EF7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beta for your stock. It can be a regression beta or a bottom-up beta.</t>
        </r>
      </text>
    </comment>
    <comment ref="B10" authorId="0" shapeId="0" xr:uid="{32E17263-409E-475D-A1D8-E61580C59AB8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current long term government bond rate.</t>
        </r>
      </text>
    </comment>
    <comment ref="B11" authorId="0" shapeId="0" xr:uid="{813B2C37-3FD8-429B-A1F2-321B490402E0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risk premium to use to compute your cost of equity.</t>
        </r>
      </text>
    </comment>
    <comment ref="B14" authorId="0" shapeId="0" xr:uid="{FFFFC3A0-64EB-444E-A64D-AA70B77513BF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Number of years of high growth. (Restricted to 15 years or less)</t>
        </r>
      </text>
    </comment>
    <comment ref="B16" authorId="0" shapeId="0" xr:uid="{25CB2C4F-4CC9-4CD0-8BB5-EB6A8F7AA20D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you answer "yes",
g = Retention ratio * ROE
If no, you have to input the growth rate.</t>
        </r>
      </text>
    </comment>
    <comment ref="B17" authorId="0" shapeId="0" xr:uid="{573B3F8F-78B6-48C2-A69C-66C5E6F66763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Input a growth rate to use for high growth period. This can be an analyst estimate of growth in EPS or historical growth in EPS.</t>
        </r>
      </text>
    </comment>
    <comment ref="B19" authorId="0" shapeId="0" xr:uid="{1A2DA152-CB39-46B6-8A65-01C228A0E175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DO NOT INPUT. This number is calculated based upon your inputs above.</t>
        </r>
      </text>
    </comment>
    <comment ref="B20" authorId="0" shapeId="0" xr:uid="{50F7A672-604B-4316-8F19-4305E75AFAA1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DO NOT INPUT. This number is calculated based upon your inputs above.</t>
        </r>
      </text>
    </comment>
    <comment ref="B21" authorId="0" shapeId="0" xr:uid="{A507D2E2-7176-4972-98A9-82D6F9B9A5CB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you believe that the fundamentals for your firm in the future will be different from the base year numbers above, answer yes.</t>
        </r>
      </text>
    </comment>
    <comment ref="B23" authorId="0" shapeId="0" xr:uid="{99FF31FD-0946-47BD-96B4-564A441922DD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return on equity to use for the high growth period. This can be an industry average or your firm's historical ROE.</t>
        </r>
      </text>
    </comment>
    <comment ref="B24" authorId="0" shapeId="0" xr:uid="{9740AD1D-9F87-418C-BF35-290B48AD6A71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retention ratio to use for the high growth period. This can be an industry average or your firm's historical retention ratio.</t>
        </r>
      </text>
    </comment>
    <comment ref="B25" authorId="0" shapeId="0" xr:uid="{5B5F85A4-6AFF-42E3-9CCD-02B7E62DEDC7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In stable growth, your fundamentals may change. This is your chance to reset them.</t>
        </r>
      </text>
    </comment>
    <comment ref="B27" authorId="0" shapeId="0" xr:uid="{4081EE3F-696B-46D3-9622-ECF47A1B02DE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return on equity to use for the stable growth period. Check industry averages.</t>
        </r>
      </text>
    </comment>
    <comment ref="B29" authorId="0" shapeId="0" xr:uid="{3C73A993-9B5D-4044-96E4-B459F3273005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you want to me adjust the beta, payout ratio and growth rate gradually towards stable growth levels in the second half of your high growth phase, answer yes.</t>
        </r>
      </text>
    </comment>
    <comment ref="B32" authorId="0" shapeId="0" xr:uid="{965B7D05-EB3A-4771-98DD-EE7A5EFBBAF8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a growth rate that can be sustained forever. It cannot be greater than the growth rate of the economy.</t>
        </r>
      </text>
    </comment>
    <comment ref="B34" authorId="0" shapeId="0" xr:uid="{4E101CC5-9DE9-4F4D-83CB-8DDD60F3492C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DO NOT INPUT. This number is computed based upon your stable growth rate and ROE.</t>
        </r>
      </text>
    </comment>
    <comment ref="B35" authorId="0" shapeId="0" xr:uid="{AE0CE06D-82E1-48CA-83D2-C889EE1B262E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you feel the stable payout ratio is inappropriate, you can change it here. You might be better off adjusting the ROE in stable growth instead, though.</t>
        </r>
      </text>
    </comment>
    <comment ref="B36" authorId="0" shapeId="0" xr:uid="{0D9A71F3-538A-4BA3-9437-1BFB235531AD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payout ratio in stable growth, if you want to override the fundamentals.</t>
        </r>
      </text>
    </comment>
    <comment ref="B38" authorId="0" shapeId="0" xr:uid="{BC5E26AD-1D2D-4A97-A196-94DE125BC961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Generally, stable growth beta should be between 0.8 and 1.20. If your firm's beta is higher or lower, you should answer yes.</t>
        </r>
      </text>
    </comment>
    <comment ref="B39" authorId="0" shapeId="0" xr:uid="{949202A8-269F-4311-8973-0CBC12C28A24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The beta in stable growth should be between 0.8 and 1.2. If this is different from your high growth beta, I will adjust the cost of equity gradually over the last half of the high growth period.</t>
        </r>
      </text>
    </comment>
    <comment ref="B40" authorId="0" shapeId="0" xr:uid="{215020DB-686E-4E83-80BB-92258C4152B0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As a default, I have set this equal to the high growth premium. You can change it, if you want.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B2" authorId="0" shapeId="0" xr:uid="{F60A8E25-1960-4DC9-8B35-0D5FC81666FD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1: Average net income over last 5 years
2: Normalized ROE</t>
        </r>
      </text>
    </comment>
    <comment ref="B8" authorId="0" shapeId="0" xr:uid="{8B697B5B-EFF0-4173-9A1C-2C9F3455CE48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You can either use an average return on equity for this firm from past years or an industry average.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다.채동우</author>
  </authors>
  <commentList>
    <comment ref="D28" authorId="0" shapeId="0" xr:uid="{8038B0B8-53A0-4CC8-BE5B-B6D810B44187}">
      <text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채동우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Terminal Value </t>
        </r>
        <r>
          <rPr>
            <sz val="9"/>
            <color indexed="81"/>
            <rFont val="돋움"/>
            <family val="3"/>
            <charset val="129"/>
          </rPr>
          <t>개념</t>
        </r>
      </text>
    </comment>
  </commentList>
</comments>
</file>

<file path=xl/sharedStrings.xml><?xml version="1.0" encoding="utf-8"?>
<sst xmlns="http://schemas.openxmlformats.org/spreadsheetml/2006/main" count="332" uniqueCount="239">
  <si>
    <t>Dividend Discount Model</t>
  </si>
  <si>
    <t>Assumptions</t>
  </si>
  <si>
    <t>1. The firm is expected to grow at a higher growth rate in the first period.</t>
  </si>
  <si>
    <t>2. The growth rate will drop at the end of the first period to the stable growth rate.</t>
  </si>
  <si>
    <t>3. The dividend payout ratio is consistent with the expected growth rate.</t>
  </si>
  <si>
    <t>Inputs needed</t>
  </si>
  <si>
    <t>1. Length of high growth period</t>
  </si>
  <si>
    <t>2. Expected growth rate in earnings during the high growth period.</t>
  </si>
  <si>
    <t>3. Dividend payout ratio during the high growth period.</t>
  </si>
  <si>
    <t>4. Expected growth rate in earnings during the stable growth period.</t>
  </si>
  <si>
    <t>5. Expected payout ratio during the stable growth period.</t>
  </si>
  <si>
    <t>6. Current Earnings per share</t>
  </si>
  <si>
    <t>7. Inputs for the Cost of Equity</t>
  </si>
  <si>
    <t>How the model works</t>
  </si>
  <si>
    <t>The expected dividends are estimated for the high growth period, using the payout</t>
  </si>
  <si>
    <t>ratio for the high growth period and the expected growth rate in earnings per share.</t>
  </si>
  <si>
    <t>The expected growth rate is estimated either using fundamentals:</t>
  </si>
  <si>
    <t>Expected growth = Retention Ratio * Return on Equity</t>
  </si>
  <si>
    <t>Alternatively, you can input the expected growth rate.</t>
  </si>
  <si>
    <t>At the end of the high growth phase, the expected terminal price is estimated using</t>
  </si>
  <si>
    <t>dividends per share one year after the high growth period, using the growth rate</t>
  </si>
  <si>
    <t>in stable growth, the payout ratio in stable growth and the cost of equity in stable</t>
  </si>
  <si>
    <t xml:space="preserve">growth. </t>
  </si>
  <si>
    <t>The dividends per share and the terminal price are discounted back to the present at</t>
  </si>
  <si>
    <t>the cost of equity changes.</t>
  </si>
  <si>
    <t>If your cost of equity in stable growth is different from your cost of equity in high</t>
  </si>
  <si>
    <t>growth, the cost of equity in the second half of the stable growth period will be</t>
  </si>
  <si>
    <t xml:space="preserve">adjusted gradually from the high growth cost of equity to a stable growth cost of </t>
  </si>
  <si>
    <t>equity.</t>
  </si>
  <si>
    <t>Options Available</t>
  </si>
  <si>
    <t>You can make this model into a three stage model by answering yes to the question</t>
  </si>
  <si>
    <t>of whether you want me to adjust the inputs in the second half of the high growth</t>
  </si>
  <si>
    <t xml:space="preserve">period. If you do, I will adjust the growth rate, the payout ratio and the cost of </t>
  </si>
  <si>
    <t>equity from high-growth levels to stable growth levels gradually.</t>
  </si>
  <si>
    <t>You can also make this a stable growth model by setting the high</t>
  </si>
  <si>
    <t>growth period to zero.</t>
  </si>
  <si>
    <t>Inputs from current financials</t>
  </si>
  <si>
    <t>Net Income  =</t>
  </si>
  <si>
    <t>Last year</t>
  </si>
  <si>
    <t>(in currency)</t>
  </si>
  <si>
    <t>Book Value of Equity =</t>
  </si>
  <si>
    <t>Current Earnings per share =</t>
  </si>
  <si>
    <t>Current Dividends per share =</t>
  </si>
  <si>
    <t>Do you want to normalize the net income/earnings per share?</t>
  </si>
  <si>
    <t>No</t>
  </si>
  <si>
    <t>Inputs for Discount Rate</t>
  </si>
  <si>
    <t>Beta of the stock =</t>
  </si>
  <si>
    <t>Riskfree rate=</t>
  </si>
  <si>
    <t>(in percent)</t>
  </si>
  <si>
    <t>Risk Premium=</t>
  </si>
  <si>
    <t>Inputs for High Growth Period</t>
  </si>
  <si>
    <t>Length of high growth period</t>
  </si>
  <si>
    <t>Do you want to calculate the growth rate from fundamentals?</t>
  </si>
  <si>
    <t>Yes</t>
  </si>
  <si>
    <t>(Yes or No)</t>
  </si>
  <si>
    <t>If no, enter the expected growth rate in earnings in high growth period=</t>
  </si>
  <si>
    <t>If yes, the following will be the inputs to the fundamental growth formulation:</t>
  </si>
  <si>
    <t>ROE =</t>
  </si>
  <si>
    <t>Retention =</t>
  </si>
  <si>
    <t>Do you want to change any of these inputs for the high growth period?</t>
  </si>
  <si>
    <t>If yes, specify the values for these inputs (Please enter all variables)</t>
  </si>
  <si>
    <t>Do you want to change any of these inputs for the stable growth period?</t>
  </si>
  <si>
    <t xml:space="preserve">If yes, specify the values for these inputs </t>
  </si>
  <si>
    <t>Do you want me to gradually adjust your inputs during the second half?</t>
  </si>
  <si>
    <t>Inputs for Stable Growth Period</t>
  </si>
  <si>
    <t>Enter growth rate in stable growth period?</t>
  </si>
  <si>
    <t>Stable payout ratio from fundamentals is =</t>
  </si>
  <si>
    <t>Do you want to change this payout ratio?</t>
  </si>
  <si>
    <t>If yes, enter the stable payout ratio=</t>
  </si>
  <si>
    <t>Will the beta to change in the stable period?</t>
  </si>
  <si>
    <t>If yes, enter the beta for stable period =</t>
  </si>
  <si>
    <t>Enter the risk premium to use in stable period =</t>
  </si>
  <si>
    <t>Normalized Earnings Calculation</t>
  </si>
  <si>
    <t>Choose the approach to normalized earnings</t>
  </si>
  <si>
    <t>Approach 1: Average Net Income over last 5 years</t>
  </si>
  <si>
    <t>Current</t>
  </si>
  <si>
    <t>Average</t>
  </si>
  <si>
    <t>Net Income</t>
  </si>
  <si>
    <t>Approach 2: Normalized return on equity</t>
  </si>
  <si>
    <t>Normalized ROE =</t>
  </si>
  <si>
    <t>Output from the program</t>
  </si>
  <si>
    <t>Cost of Equity =</t>
  </si>
  <si>
    <t>Net Income =</t>
  </si>
  <si>
    <t>Earnings per Share =</t>
  </si>
  <si>
    <t>Growth rate in EPS =</t>
  </si>
  <si>
    <t>Payout Ratio for high growth phase=</t>
  </si>
  <si>
    <t>Sum</t>
  </si>
  <si>
    <t>Expected Growth Rate</t>
  </si>
  <si>
    <t>Earnings per share</t>
  </si>
  <si>
    <t>Payout ratio</t>
  </si>
  <si>
    <t>Dividends per share</t>
  </si>
  <si>
    <t>Cost of Equity</t>
  </si>
  <si>
    <t>Cumulative Cost of Equity</t>
  </si>
  <si>
    <t>Present Value</t>
  </si>
  <si>
    <t>Growth Rate in Stable Phase =</t>
  </si>
  <si>
    <t>Payout Ratio in Stable Phase =</t>
  </si>
  <si>
    <t>Cost of Equity in Stable Phase =</t>
  </si>
  <si>
    <t>Price at the end of growth phase =</t>
  </si>
  <si>
    <t>Present Value of dividends in high growth phase =</t>
  </si>
  <si>
    <t>Present Value of Terminal Price =</t>
  </si>
  <si>
    <t>Value of the stock =</t>
  </si>
  <si>
    <t>Estimating the value of growth</t>
  </si>
  <si>
    <t>Value of assets in place =</t>
  </si>
  <si>
    <t>Value of stable growth =</t>
  </si>
  <si>
    <t>Value of extraordinary growth =</t>
  </si>
  <si>
    <t>Industry Name</t>
  </si>
  <si>
    <t>Number of firms</t>
  </si>
  <si>
    <t>Levered Beta</t>
  </si>
  <si>
    <t>Unlevered Beta</t>
  </si>
  <si>
    <t>Std Dev: Equity</t>
  </si>
  <si>
    <t>Market D/E</t>
  </si>
  <si>
    <t>Market Debt/Capital</t>
  </si>
  <si>
    <t>ROE</t>
  </si>
  <si>
    <t>ROC</t>
  </si>
  <si>
    <t>Effective Tax Rate</t>
  </si>
  <si>
    <t>Pre-tax Operating Margin</t>
  </si>
  <si>
    <t>After-tax Operating Margin</t>
  </si>
  <si>
    <t>Net Margin</t>
  </si>
  <si>
    <t>Cap Ex/ Depreciation</t>
  </si>
  <si>
    <t>Non-cash WC/ Revenues</t>
  </si>
  <si>
    <t>Payout Ratio</t>
  </si>
  <si>
    <t>Reinvestment Rate</t>
  </si>
  <si>
    <t>Sales/Capital</t>
  </si>
  <si>
    <t>EV/Sales</t>
  </si>
  <si>
    <t>Advertising</t>
  </si>
  <si>
    <t>NA</t>
  </si>
  <si>
    <t>Aerospace/Defense</t>
  </si>
  <si>
    <t>Air Transport</t>
  </si>
  <si>
    <t>Apparel</t>
  </si>
  <si>
    <t>Auto Parts</t>
  </si>
  <si>
    <t>Automotive</t>
  </si>
  <si>
    <t>Bank</t>
  </si>
  <si>
    <t>Bank (Canadian)</t>
  </si>
  <si>
    <t>Bank (Midwest)</t>
  </si>
  <si>
    <t>Beverage</t>
  </si>
  <si>
    <t>Biotechnology</t>
  </si>
  <si>
    <t>Building Materials</t>
  </si>
  <si>
    <t>Cable TV</t>
  </si>
  <si>
    <t>Canadian Energy</t>
  </si>
  <si>
    <t>Chemical (Basic)</t>
  </si>
  <si>
    <t>Chemical (Diversified)</t>
  </si>
  <si>
    <t>Chemical (Specialty)</t>
  </si>
  <si>
    <t>Coal</t>
  </si>
  <si>
    <t>Computer Software/Svcs</t>
  </si>
  <si>
    <t>Computers/Peripherals</t>
  </si>
  <si>
    <t>Diversified Co.</t>
  </si>
  <si>
    <t>Drug</t>
  </si>
  <si>
    <t>E-Commerce</t>
  </si>
  <si>
    <t>Educational Services</t>
  </si>
  <si>
    <t>Electric Util. (Central)</t>
  </si>
  <si>
    <t>Electric Utility (East)</t>
  </si>
  <si>
    <t>Electric Utility (West)</t>
  </si>
  <si>
    <t>Electrical Equipment</t>
  </si>
  <si>
    <t>Electronics</t>
  </si>
  <si>
    <t>Engineering &amp; Const</t>
  </si>
  <si>
    <t>Entertainment</t>
  </si>
  <si>
    <t>Entertainment Tech</t>
  </si>
  <si>
    <t>Environmental</t>
  </si>
  <si>
    <t>Financial Svcs. (Div.)</t>
  </si>
  <si>
    <t>Food Processing</t>
  </si>
  <si>
    <t>Foreign Electronics</t>
  </si>
  <si>
    <t>Funeral Services</t>
  </si>
  <si>
    <t>Furn/Home Furnishings</t>
  </si>
  <si>
    <t>Healthcare Information</t>
  </si>
  <si>
    <t>Heavy Truck/Equip Makers</t>
  </si>
  <si>
    <t>Homebuilding</t>
  </si>
  <si>
    <t>Hotel/Gaming</t>
  </si>
  <si>
    <t>Household Products</t>
  </si>
  <si>
    <t>Human Resources</t>
  </si>
  <si>
    <t>Industrial Services</t>
  </si>
  <si>
    <t>Information Services</t>
  </si>
  <si>
    <t>Insurance (Life)</t>
  </si>
  <si>
    <t>Insurance (Prop/Cas.)</t>
  </si>
  <si>
    <t>Internet</t>
  </si>
  <si>
    <t>Machinery</t>
  </si>
  <si>
    <t>Maritime</t>
  </si>
  <si>
    <t>Medical Services</t>
  </si>
  <si>
    <t>Medical Supplies</t>
  </si>
  <si>
    <t>Metal Fabricating</t>
  </si>
  <si>
    <t>Metals &amp; Mining (Div.)</t>
  </si>
  <si>
    <t>Natural Gas (Div.)</t>
  </si>
  <si>
    <t>Natural Gas Utility</t>
  </si>
  <si>
    <t>Newspaper</t>
  </si>
  <si>
    <t>Office Equip/Supplies</t>
  </si>
  <si>
    <t>Oil/Gas Distribution</t>
  </si>
  <si>
    <t>Oilfield Svcs/Equip.</t>
  </si>
  <si>
    <t>Packaging &amp; Container</t>
  </si>
  <si>
    <t>Paper/Forest Products</t>
  </si>
  <si>
    <t>Petroleum (Integrated)</t>
  </si>
  <si>
    <t>Petroleum (Producing)</t>
  </si>
  <si>
    <t>Pharmacy Services</t>
  </si>
  <si>
    <t>Pipeline MLPs</t>
  </si>
  <si>
    <t>Power</t>
  </si>
  <si>
    <t>Precious Metals</t>
  </si>
  <si>
    <t>Precision Instrument</t>
  </si>
  <si>
    <t>Property Management</t>
  </si>
  <si>
    <t>Public/Private Equity</t>
  </si>
  <si>
    <t>Publishing</t>
  </si>
  <si>
    <t>R.E.I.T.</t>
  </si>
  <si>
    <t>Railroad</t>
  </si>
  <si>
    <t>Recreation</t>
  </si>
  <si>
    <t>Reinsurance</t>
  </si>
  <si>
    <t>Restaurant</t>
  </si>
  <si>
    <t>Retail (Special Lines)</t>
  </si>
  <si>
    <t>Retail Automotive</t>
  </si>
  <si>
    <t>Retail Building Supply</t>
  </si>
  <si>
    <t>Retail Store</t>
  </si>
  <si>
    <t>Retail/Wholesale Food</t>
  </si>
  <si>
    <t>Securities Brokerage</t>
  </si>
  <si>
    <t>Semiconductor</t>
  </si>
  <si>
    <t>Semiconductor Equip</t>
  </si>
  <si>
    <t>Shoe</t>
  </si>
  <si>
    <t>Steel (General)</t>
  </si>
  <si>
    <t>Steel (Integrated)</t>
  </si>
  <si>
    <t>Telecom. Equipment</t>
  </si>
  <si>
    <t>Telecom. Services</t>
  </si>
  <si>
    <t>Telecom. Utility</t>
  </si>
  <si>
    <t>Thrift</t>
  </si>
  <si>
    <t>Tobacco</t>
  </si>
  <si>
    <t>Toiletries/Cosmetics</t>
  </si>
  <si>
    <t>Trucking</t>
  </si>
  <si>
    <t>Utility (Foreign)</t>
  </si>
  <si>
    <t>Water Utility</t>
  </si>
  <si>
    <t>Wireless Networking</t>
  </si>
  <si>
    <t>Total Market</t>
  </si>
  <si>
    <t>RF + Beta*Risk Premium</t>
    <phoneticPr fontId="5" type="noConversion"/>
  </si>
  <si>
    <t>Yes</t>
    <phoneticPr fontId="5" type="noConversion"/>
  </si>
  <si>
    <r>
      <rPr>
        <sz val="9"/>
        <rFont val="맑은 고딕"/>
        <family val="2"/>
        <charset val="129"/>
      </rPr>
      <t xml:space="preserve">조정 이익을 사용하지 않았으므로 실제 </t>
    </r>
    <r>
      <rPr>
        <sz val="9"/>
        <rFont val="helvetica"/>
        <family val="2"/>
      </rPr>
      <t>NI</t>
    </r>
    <phoneticPr fontId="5" type="noConversion"/>
  </si>
  <si>
    <r>
      <rPr>
        <sz val="9"/>
        <rFont val="맑은 고딕"/>
        <family val="2"/>
        <charset val="129"/>
      </rPr>
      <t>조정</t>
    </r>
    <r>
      <rPr>
        <sz val="9"/>
        <rFont val="helvetica"/>
        <family val="2"/>
      </rPr>
      <t xml:space="preserve"> EPS</t>
    </r>
    <r>
      <rPr>
        <sz val="9"/>
        <rFont val="맑은 고딕"/>
        <family val="2"/>
        <charset val="129"/>
      </rPr>
      <t xml:space="preserve">를 사용하지 않았으므로 실제 </t>
    </r>
    <r>
      <rPr>
        <sz val="9"/>
        <rFont val="helvetica"/>
        <family val="2"/>
      </rPr>
      <t>EPS</t>
    </r>
    <phoneticPr fontId="5" type="noConversion"/>
  </si>
  <si>
    <r>
      <rPr>
        <sz val="9"/>
        <rFont val="맑은 고딕"/>
        <family val="2"/>
        <charset val="129"/>
      </rPr>
      <t>유보율*</t>
    </r>
    <r>
      <rPr>
        <sz val="9"/>
        <rFont val="helvetica"/>
        <family val="2"/>
      </rPr>
      <t>ROE</t>
    </r>
    <r>
      <rPr>
        <sz val="9"/>
        <rFont val="맑은 고딕"/>
        <family val="2"/>
        <charset val="129"/>
      </rPr>
      <t>로 성장률 도출</t>
    </r>
    <phoneticPr fontId="5" type="noConversion"/>
  </si>
  <si>
    <t>The dividends for the high growth phase are shown below (up to 10 years)</t>
    <phoneticPr fontId="5" type="noConversion"/>
  </si>
  <si>
    <t>추정기간동안의 현금흐름 + 추정기간 이후 TV를 통해 현재 주가를 산출하는 전통적인 방법</t>
    <phoneticPr fontId="5" type="noConversion"/>
  </si>
  <si>
    <t>잔여분 차감 방식으로 고성장기간의 가치 산출</t>
    <phoneticPr fontId="5" type="noConversion"/>
  </si>
  <si>
    <t>현재 NI를 토대로 안정성장률, 안정배당, 할인율을 적용하여 가치 산출, 그리고 현재 영업자산의 가치를 차감하여 안정성장기간의 Value 도출</t>
    <phoneticPr fontId="5" type="noConversion"/>
  </si>
  <si>
    <t>NOTES</t>
    <phoneticPr fontId="5" type="noConversion"/>
  </si>
  <si>
    <r>
      <t xml:space="preserve">DDM </t>
    </r>
    <r>
      <rPr>
        <sz val="9"/>
        <rFont val="맑은 고딕"/>
        <family val="2"/>
        <charset val="129"/>
      </rPr>
      <t>모형의 핵심 요소</t>
    </r>
    <phoneticPr fontId="5" type="noConversion"/>
  </si>
  <si>
    <r>
      <t xml:space="preserve">2. Expected Return on Equity : </t>
    </r>
    <r>
      <rPr>
        <sz val="9"/>
        <rFont val="맑은 고딕"/>
        <family val="2"/>
        <charset val="129"/>
      </rPr>
      <t>기대성장률 결정</t>
    </r>
    <phoneticPr fontId="5" type="noConversion"/>
  </si>
  <si>
    <r>
      <t xml:space="preserve">3. Beta : Cost of Equity </t>
    </r>
    <r>
      <rPr>
        <sz val="9"/>
        <rFont val="맑은 고딕"/>
        <family val="2"/>
        <charset val="129"/>
      </rPr>
      <t>결정</t>
    </r>
    <phoneticPr fontId="5" type="noConversion"/>
  </si>
  <si>
    <r>
      <t>1. Payout Ratio</t>
    </r>
    <r>
      <rPr>
        <sz val="9"/>
        <rFont val="맑은 고딕"/>
        <family val="2"/>
        <charset val="129"/>
      </rPr>
      <t xml:space="preserve"> : 배당 결정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</si>
</sst>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_);[Red]\(&quot;$&quot;#,##0\)"/>
    <numFmt numFmtId="177" formatCode="&quot;$&quot;#,##0.00_);[Red]\(&quot;$&quot;#,##0.00\)"/>
    <numFmt numFmtId="185" formatCode="0.000_);[Red]\(0.000\)"/>
  </numFmts>
  <fonts count="23">
    <font>
      <sz val="10"/>
      <name val="Geneva"/>
    </font>
    <font>
      <sz val="10"/>
      <name val="Geneva"/>
    </font>
    <font>
      <sz val="9"/>
      <color indexed="81"/>
      <name val="Geneva"/>
    </font>
    <font>
      <b/>
      <sz val="9"/>
      <color indexed="81"/>
      <name val="Geneva"/>
    </font>
    <font>
      <sz val="8"/>
      <name val="Geneva"/>
    </font>
    <font>
      <sz val="8"/>
      <name val="돋움"/>
      <family val="3"/>
      <charset val="129"/>
    </font>
    <font>
      <sz val="9"/>
      <color indexed="10"/>
      <name val="helvetica"/>
    </font>
    <font>
      <sz val="9"/>
      <name val="helvetica"/>
      <family val="2"/>
    </font>
    <font>
      <b/>
      <sz val="9"/>
      <color indexed="10"/>
      <name val="helvetica"/>
      <family val="2"/>
    </font>
    <font>
      <sz val="9"/>
      <color indexed="10"/>
      <name val="helvetica"/>
      <family val="2"/>
    </font>
    <font>
      <i/>
      <sz val="9"/>
      <name val="helvetica"/>
      <family val="2"/>
    </font>
    <font>
      <b/>
      <sz val="9"/>
      <name val="helvetica"/>
      <family val="2"/>
    </font>
    <font>
      <sz val="9"/>
      <name val="맑은 고딕"/>
      <family val="2"/>
      <charset val="129"/>
    </font>
    <font>
      <sz val="9"/>
      <name val="helvetica"/>
      <family val="2"/>
      <charset val="129"/>
    </font>
    <font>
      <b/>
      <sz val="9"/>
      <name val="helvetica"/>
    </font>
    <font>
      <sz val="9"/>
      <color indexed="81"/>
      <name val="Tahoma"/>
      <family val="2"/>
    </font>
    <font>
      <b/>
      <sz val="9"/>
      <color theme="0"/>
      <name val="helvetica"/>
      <family val="2"/>
    </font>
    <font>
      <sz val="9"/>
      <color theme="0"/>
      <name val="helvetic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9"/>
      <color theme="0"/>
      <name val="helvetica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 style="thin">
        <color indexed="64"/>
      </left>
      <right style="mediumDashed">
        <color rgb="FFFF0000"/>
      </right>
      <top style="mediumDashed">
        <color rgb="FFFF0000"/>
      </top>
      <bottom style="thin">
        <color indexed="64"/>
      </bottom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 style="mediumDashed">
        <color rgb="FFFF0000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6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7" fillId="2" borderId="1" xfId="1" applyFont="1" applyFill="1" applyBorder="1" applyAlignment="1">
      <alignment vertical="center"/>
    </xf>
    <xf numFmtId="177" fontId="7" fillId="2" borderId="1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3" borderId="1" xfId="2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7" fillId="3" borderId="1" xfId="1" applyFont="1" applyFill="1" applyBorder="1" applyAlignment="1">
      <alignment horizontal="center" vertical="center"/>
    </xf>
    <xf numFmtId="10" fontId="10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0" fontId="7" fillId="0" borderId="1" xfId="2" applyNumberFormat="1" applyFont="1" applyBorder="1" applyAlignment="1">
      <alignment horizontal="center" vertical="center"/>
    </xf>
    <xf numFmtId="177" fontId="7" fillId="4" borderId="1" xfId="1" applyFont="1" applyFill="1" applyBorder="1" applyAlignment="1">
      <alignment horizontal="center" vertical="center"/>
    </xf>
    <xf numFmtId="10" fontId="7" fillId="4" borderId="1" xfId="2" applyNumberFormat="1" applyFont="1" applyFill="1" applyBorder="1" applyAlignment="1">
      <alignment horizontal="center" vertical="center"/>
    </xf>
    <xf numFmtId="177" fontId="11" fillId="3" borderId="1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9" fillId="3" borderId="1" xfId="1" applyFont="1" applyFill="1" applyBorder="1" applyAlignment="1">
      <alignment horizontal="center" vertical="center"/>
    </xf>
    <xf numFmtId="177" fontId="7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9" fontId="7" fillId="2" borderId="1" xfId="0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0" fontId="7" fillId="0" borderId="0" xfId="2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10" fontId="7" fillId="0" borderId="0" xfId="0" applyNumberFormat="1" applyFont="1" applyBorder="1" applyAlignment="1">
      <alignment horizontal="center" vertical="center"/>
    </xf>
    <xf numFmtId="0" fontId="16" fillId="5" borderId="6" xfId="0" applyFont="1" applyFill="1" applyBorder="1" applyAlignment="1">
      <alignment vertical="center"/>
    </xf>
    <xf numFmtId="0" fontId="16" fillId="5" borderId="10" xfId="0" applyFont="1" applyFill="1" applyBorder="1" applyAlignment="1">
      <alignment vertical="center"/>
    </xf>
    <xf numFmtId="0" fontId="16" fillId="5" borderId="7" xfId="0" applyFont="1" applyFill="1" applyBorder="1" applyAlignment="1">
      <alignment vertical="center"/>
    </xf>
    <xf numFmtId="0" fontId="17" fillId="5" borderId="10" xfId="0" applyFont="1" applyFill="1" applyBorder="1" applyAlignment="1">
      <alignment vertical="center"/>
    </xf>
    <xf numFmtId="10" fontId="17" fillId="5" borderId="10" xfId="0" applyNumberFormat="1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vertical="center"/>
    </xf>
    <xf numFmtId="185" fontId="7" fillId="4" borderId="1" xfId="2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17" fillId="5" borderId="10" xfId="0" applyFont="1" applyFill="1" applyBorder="1" applyAlignment="1">
      <alignment horizontal="centerContinuous" vertical="center"/>
    </xf>
    <xf numFmtId="0" fontId="17" fillId="5" borderId="7" xfId="0" applyFont="1" applyFill="1" applyBorder="1" applyAlignment="1">
      <alignment horizontal="centerContinuous" vertical="center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14" fillId="6" borderId="8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177" fontId="11" fillId="6" borderId="1" xfId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77" fontId="7" fillId="3" borderId="14" xfId="1" applyFont="1" applyFill="1" applyBorder="1" applyAlignment="1">
      <alignment horizontal="center" vertical="center"/>
    </xf>
    <xf numFmtId="177" fontId="11" fillId="6" borderId="5" xfId="1" applyFont="1" applyFill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177" fontId="7" fillId="3" borderId="17" xfId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177" fontId="7" fillId="3" borderId="20" xfId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1" fillId="5" borderId="10" xfId="0" applyFont="1" applyFill="1" applyBorder="1" applyAlignment="1">
      <alignment vertical="center"/>
    </xf>
    <xf numFmtId="0" fontId="21" fillId="5" borderId="7" xfId="0" applyFont="1" applyFill="1" applyBorder="1" applyAlignment="1">
      <alignment vertical="center"/>
    </xf>
  </cellXfs>
  <cellStyles count="3">
    <cellStyle name="백분율" xfId="2" builtinId="5"/>
    <cellStyle name="통화" xfId="1" builtinId="4"/>
    <cellStyle name="표준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4EF-01CD-477D-A1D1-AE98E8B2773D}">
  <dimension ref="A1:H32"/>
  <sheetViews>
    <sheetView showGridLines="0" topLeftCell="A10" zoomScale="145" zoomScaleNormal="145" workbookViewId="0">
      <selection activeCell="B17" sqref="B17"/>
    </sheetView>
  </sheetViews>
  <sheetFormatPr defaultRowHeight="15" customHeight="1"/>
  <cols>
    <col min="1" max="1" width="23.140625" style="4" customWidth="1"/>
    <col min="2" max="2" width="48" style="3" bestFit="1" customWidth="1"/>
    <col min="3" max="256" width="11.42578125" style="3" customWidth="1"/>
    <col min="257" max="16384" width="9.140625" style="3"/>
  </cols>
  <sheetData>
    <row r="1" spans="1:8" ht="15" customHeight="1">
      <c r="A1" s="1" t="s">
        <v>0</v>
      </c>
      <c r="B1" s="2"/>
      <c r="C1" s="2"/>
      <c r="D1" s="2"/>
      <c r="E1" s="2"/>
      <c r="F1" s="2"/>
      <c r="G1" s="2"/>
      <c r="H1" s="2"/>
    </row>
    <row r="2" spans="1:8" ht="15" customHeight="1">
      <c r="A2" s="5" t="s">
        <v>1</v>
      </c>
      <c r="B2" s="6" t="s">
        <v>2</v>
      </c>
      <c r="C2" s="6"/>
      <c r="D2" s="6"/>
    </row>
    <row r="3" spans="1:8" ht="15" customHeight="1">
      <c r="A3" s="7"/>
      <c r="B3" s="8" t="s">
        <v>3</v>
      </c>
      <c r="C3" s="8"/>
      <c r="D3" s="8"/>
    </row>
    <row r="4" spans="1:8" ht="15" customHeight="1">
      <c r="A4" s="9"/>
      <c r="B4" s="10" t="s">
        <v>4</v>
      </c>
      <c r="C4" s="10"/>
      <c r="D4" s="10"/>
    </row>
    <row r="5" spans="1:8" ht="15" customHeight="1">
      <c r="A5" s="5" t="s">
        <v>5</v>
      </c>
      <c r="B5" s="6" t="s">
        <v>6</v>
      </c>
      <c r="C5" s="6"/>
      <c r="D5" s="6"/>
    </row>
    <row r="6" spans="1:8" ht="15" customHeight="1">
      <c r="A6" s="7"/>
      <c r="B6" s="8" t="s">
        <v>7</v>
      </c>
      <c r="C6" s="8"/>
      <c r="D6" s="8"/>
    </row>
    <row r="7" spans="1:8" ht="15" customHeight="1">
      <c r="A7" s="11"/>
      <c r="B7" s="8" t="s">
        <v>8</v>
      </c>
      <c r="C7" s="8"/>
      <c r="D7" s="8"/>
    </row>
    <row r="8" spans="1:8" ht="15" customHeight="1">
      <c r="A8" s="7"/>
      <c r="B8" s="8" t="s">
        <v>9</v>
      </c>
      <c r="C8" s="8"/>
      <c r="D8" s="8"/>
    </row>
    <row r="9" spans="1:8" ht="15" customHeight="1">
      <c r="A9" s="7"/>
      <c r="B9" s="8" t="s">
        <v>10</v>
      </c>
      <c r="C9" s="8"/>
      <c r="D9" s="8"/>
    </row>
    <row r="10" spans="1:8" ht="15" customHeight="1">
      <c r="A10" s="7"/>
      <c r="B10" s="8" t="s">
        <v>11</v>
      </c>
      <c r="C10" s="8"/>
      <c r="D10" s="8"/>
    </row>
    <row r="11" spans="1:8" ht="15" customHeight="1">
      <c r="A11" s="9"/>
      <c r="B11" s="10" t="s">
        <v>12</v>
      </c>
      <c r="C11" s="10"/>
      <c r="D11" s="10"/>
    </row>
    <row r="12" spans="1:8" ht="15" customHeight="1">
      <c r="A12" s="5" t="s">
        <v>13</v>
      </c>
      <c r="B12" s="6" t="s">
        <v>14</v>
      </c>
      <c r="C12" s="6"/>
      <c r="D12" s="6"/>
    </row>
    <row r="13" spans="1:8" ht="15" customHeight="1">
      <c r="A13" s="7"/>
      <c r="B13" s="8" t="s">
        <v>15</v>
      </c>
      <c r="C13" s="8"/>
      <c r="D13" s="8"/>
    </row>
    <row r="14" spans="1:8" ht="15" customHeight="1">
      <c r="A14" s="7"/>
      <c r="B14" s="8" t="s">
        <v>16</v>
      </c>
      <c r="C14" s="8"/>
      <c r="D14" s="8"/>
    </row>
    <row r="15" spans="1:8" ht="15" customHeight="1">
      <c r="A15" s="7"/>
      <c r="B15" s="8" t="s">
        <v>17</v>
      </c>
      <c r="C15" s="8"/>
      <c r="D15" s="8"/>
    </row>
    <row r="16" spans="1:8" ht="15" customHeight="1">
      <c r="A16" s="7"/>
      <c r="B16" s="8" t="s">
        <v>18</v>
      </c>
      <c r="C16" s="8"/>
      <c r="D16" s="8"/>
    </row>
    <row r="17" spans="1:4" ht="15" customHeight="1">
      <c r="A17" s="7"/>
      <c r="B17" s="8" t="s">
        <v>19</v>
      </c>
      <c r="C17" s="8"/>
      <c r="D17" s="8"/>
    </row>
    <row r="18" spans="1:4" ht="15" customHeight="1">
      <c r="A18" s="7"/>
      <c r="B18" s="8" t="s">
        <v>20</v>
      </c>
      <c r="C18" s="8"/>
      <c r="D18" s="8"/>
    </row>
    <row r="19" spans="1:4" ht="15" customHeight="1">
      <c r="A19" s="7"/>
      <c r="B19" s="8" t="s">
        <v>21</v>
      </c>
      <c r="C19" s="8"/>
      <c r="D19" s="8"/>
    </row>
    <row r="20" spans="1:4" ht="15" customHeight="1">
      <c r="A20" s="7"/>
      <c r="B20" s="8" t="s">
        <v>22</v>
      </c>
      <c r="C20" s="8"/>
      <c r="D20" s="8"/>
    </row>
    <row r="21" spans="1:4" ht="15" customHeight="1">
      <c r="A21" s="7"/>
      <c r="B21" s="8" t="s">
        <v>23</v>
      </c>
      <c r="C21" s="8"/>
      <c r="D21" s="8"/>
    </row>
    <row r="22" spans="1:4" ht="15" customHeight="1">
      <c r="A22" s="7"/>
      <c r="B22" s="8" t="s">
        <v>24</v>
      </c>
      <c r="C22" s="8"/>
      <c r="D22" s="8"/>
    </row>
    <row r="23" spans="1:4" ht="15" customHeight="1">
      <c r="A23" s="7"/>
      <c r="B23" s="8" t="s">
        <v>25</v>
      </c>
      <c r="C23" s="8"/>
      <c r="D23" s="8"/>
    </row>
    <row r="24" spans="1:4" ht="15" customHeight="1">
      <c r="A24" s="7"/>
      <c r="B24" s="8" t="s">
        <v>26</v>
      </c>
      <c r="C24" s="8"/>
      <c r="D24" s="8"/>
    </row>
    <row r="25" spans="1:4" ht="15" customHeight="1">
      <c r="A25" s="7"/>
      <c r="B25" s="8" t="s">
        <v>27</v>
      </c>
      <c r="C25" s="8"/>
      <c r="D25" s="8"/>
    </row>
    <row r="26" spans="1:4" ht="15" customHeight="1">
      <c r="A26" s="9"/>
      <c r="B26" s="10" t="s">
        <v>28</v>
      </c>
      <c r="C26" s="10"/>
      <c r="D26" s="10"/>
    </row>
    <row r="27" spans="1:4" ht="15" customHeight="1">
      <c r="A27" s="5" t="s">
        <v>29</v>
      </c>
      <c r="B27" s="6" t="s">
        <v>30</v>
      </c>
      <c r="C27" s="6"/>
      <c r="D27" s="6"/>
    </row>
    <row r="28" spans="1:4" ht="15" customHeight="1">
      <c r="A28" s="7"/>
      <c r="B28" s="8" t="s">
        <v>31</v>
      </c>
      <c r="C28" s="8"/>
      <c r="D28" s="8"/>
    </row>
    <row r="29" spans="1:4" ht="15" customHeight="1">
      <c r="A29" s="7"/>
      <c r="B29" s="8" t="s">
        <v>32</v>
      </c>
      <c r="C29" s="8"/>
      <c r="D29" s="8"/>
    </row>
    <row r="30" spans="1:4" ht="15" customHeight="1">
      <c r="A30" s="7"/>
      <c r="B30" s="8" t="s">
        <v>33</v>
      </c>
      <c r="C30" s="8"/>
      <c r="D30" s="8"/>
    </row>
    <row r="31" spans="1:4" ht="15" customHeight="1">
      <c r="A31" s="7"/>
      <c r="B31" s="8" t="s">
        <v>34</v>
      </c>
      <c r="C31" s="8"/>
      <c r="D31" s="8"/>
    </row>
    <row r="32" spans="1:4" ht="15" customHeight="1">
      <c r="A32" s="9"/>
      <c r="B32" s="10" t="s">
        <v>35</v>
      </c>
      <c r="C32" s="10"/>
      <c r="D32" s="10"/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E3BD-8B0C-4C92-B530-6878D2221910}">
  <dimension ref="A1:F40"/>
  <sheetViews>
    <sheetView showGridLines="0" tabSelected="1" zoomScaleNormal="100" workbookViewId="0">
      <selection activeCell="D16" sqref="D16"/>
    </sheetView>
  </sheetViews>
  <sheetFormatPr defaultRowHeight="15" customHeight="1"/>
  <cols>
    <col min="1" max="1" width="69.5703125" style="3" customWidth="1"/>
    <col min="2" max="256" width="11.42578125" style="3" customWidth="1"/>
    <col min="257" max="16384" width="9.140625" style="3"/>
  </cols>
  <sheetData>
    <row r="1" spans="1:5" s="12" customFormat="1" ht="15" customHeight="1">
      <c r="A1" s="67" t="s">
        <v>36</v>
      </c>
      <c r="B1" s="68"/>
      <c r="C1" s="69"/>
    </row>
    <row r="2" spans="1:5" ht="15" customHeight="1">
      <c r="A2" s="59" t="s">
        <v>37</v>
      </c>
      <c r="B2" s="13">
        <v>12736</v>
      </c>
      <c r="C2" s="63" t="s">
        <v>38</v>
      </c>
      <c r="D2" s="14" t="s">
        <v>39</v>
      </c>
    </row>
    <row r="3" spans="1:5" ht="15" customHeight="1">
      <c r="A3" s="59" t="s">
        <v>40</v>
      </c>
      <c r="B3" s="13">
        <v>61439</v>
      </c>
      <c r="C3" s="15">
        <v>63382</v>
      </c>
      <c r="D3" s="14" t="s">
        <v>39</v>
      </c>
    </row>
    <row r="4" spans="1:5" ht="15" customHeight="1">
      <c r="A4" s="59" t="s">
        <v>41</v>
      </c>
      <c r="B4" s="16">
        <v>3.82</v>
      </c>
      <c r="C4" s="60" t="s">
        <v>39</v>
      </c>
    </row>
    <row r="5" spans="1:5" ht="15" customHeight="1">
      <c r="A5" s="59" t="s">
        <v>42</v>
      </c>
      <c r="B5" s="16">
        <v>1.92</v>
      </c>
      <c r="C5" s="60" t="s">
        <v>39</v>
      </c>
      <c r="E5" s="3">
        <f>B5/B4</f>
        <v>0.50261780104712039</v>
      </c>
    </row>
    <row r="6" spans="1:5" ht="15" customHeight="1">
      <c r="A6" s="59" t="s">
        <v>43</v>
      </c>
      <c r="B6" s="16" t="s">
        <v>44</v>
      </c>
      <c r="C6" s="60"/>
    </row>
    <row r="7" spans="1:5" ht="15" customHeight="1">
      <c r="A7" s="59"/>
      <c r="B7" s="64"/>
      <c r="C7" s="60"/>
    </row>
    <row r="8" spans="1:5" ht="15" customHeight="1">
      <c r="A8" s="65" t="s">
        <v>45</v>
      </c>
      <c r="B8" s="64"/>
      <c r="C8" s="63"/>
      <c r="D8" s="14"/>
    </row>
    <row r="9" spans="1:5" ht="15" customHeight="1">
      <c r="A9" s="59" t="s">
        <v>46</v>
      </c>
      <c r="B9" s="18">
        <v>0.9</v>
      </c>
      <c r="C9" s="63"/>
      <c r="D9" s="14"/>
    </row>
    <row r="10" spans="1:5" ht="15" customHeight="1">
      <c r="A10" s="59" t="s">
        <v>47</v>
      </c>
      <c r="B10" s="19">
        <v>3.5000000000000003E-2</v>
      </c>
      <c r="C10" s="60" t="s">
        <v>48</v>
      </c>
      <c r="D10" s="14"/>
    </row>
    <row r="11" spans="1:5" ht="15" customHeight="1">
      <c r="A11" s="51" t="s">
        <v>49</v>
      </c>
      <c r="B11" s="19">
        <v>0.05</v>
      </c>
      <c r="C11" s="52" t="s">
        <v>48</v>
      </c>
      <c r="D11" s="14"/>
    </row>
    <row r="12" spans="1:5" ht="15" customHeight="1">
      <c r="D12" s="14"/>
    </row>
    <row r="13" spans="1:5" ht="15" customHeight="1">
      <c r="A13" s="67" t="s">
        <v>50</v>
      </c>
      <c r="B13" s="68"/>
      <c r="C13" s="69"/>
      <c r="D13" s="14"/>
    </row>
    <row r="14" spans="1:5" ht="15" customHeight="1">
      <c r="A14" s="59" t="s">
        <v>51</v>
      </c>
      <c r="B14" s="18">
        <v>5</v>
      </c>
      <c r="C14" s="63"/>
      <c r="D14" s="14"/>
    </row>
    <row r="15" spans="1:5" ht="15" customHeight="1">
      <c r="A15" s="59"/>
      <c r="B15" s="64"/>
      <c r="C15" s="63"/>
      <c r="E15" s="14"/>
    </row>
    <row r="16" spans="1:5" ht="15" customHeight="1">
      <c r="A16" s="59" t="s">
        <v>52</v>
      </c>
      <c r="B16" s="18" t="s">
        <v>226</v>
      </c>
      <c r="C16" s="60" t="s">
        <v>54</v>
      </c>
      <c r="E16" s="53" t="s">
        <v>229</v>
      </c>
    </row>
    <row r="17" spans="1:6" ht="15" customHeight="1">
      <c r="A17" s="59" t="s">
        <v>55</v>
      </c>
      <c r="B17" s="18"/>
      <c r="C17" s="60"/>
    </row>
    <row r="18" spans="1:6" ht="15" customHeight="1">
      <c r="A18" s="65" t="s">
        <v>56</v>
      </c>
      <c r="B18" s="64"/>
      <c r="C18" s="63"/>
      <c r="E18" s="14"/>
    </row>
    <row r="19" spans="1:6" ht="15" customHeight="1">
      <c r="A19" s="56" t="s">
        <v>57</v>
      </c>
      <c r="B19" s="20">
        <f>IF(B6="No",B2/C3,IF('Normalized Earnings'!B2=1,'Normalized Earnings'!G5/C3,'Normalized Earnings'!B8))</f>
        <v>0.20094033006216275</v>
      </c>
      <c r="C19" s="50" t="s">
        <v>48</v>
      </c>
      <c r="E19" s="54">
        <f>B2/C3</f>
        <v>0.20094033006216275</v>
      </c>
      <c r="F19" s="3" t="b">
        <f>B19=E19</f>
        <v>1</v>
      </c>
    </row>
    <row r="20" spans="1:6" ht="15" customHeight="1">
      <c r="A20" s="57" t="s">
        <v>58</v>
      </c>
      <c r="B20" s="20">
        <f>1-B5/B4</f>
        <v>0.49738219895287961</v>
      </c>
      <c r="C20" s="52" t="s">
        <v>48</v>
      </c>
      <c r="E20" s="54">
        <f>1-(B5/B4)</f>
        <v>0.49738219895287961</v>
      </c>
      <c r="F20" s="3" t="b">
        <f>B20=E20</f>
        <v>1</v>
      </c>
    </row>
    <row r="21" spans="1:6" ht="15" customHeight="1">
      <c r="A21" s="59" t="s">
        <v>59</v>
      </c>
      <c r="B21" s="48" t="s">
        <v>53</v>
      </c>
      <c r="C21" s="63"/>
      <c r="E21" s="54"/>
      <c r="F21" s="55"/>
    </row>
    <row r="22" spans="1:6" ht="15" customHeight="1">
      <c r="A22" s="65" t="s">
        <v>60</v>
      </c>
      <c r="B22" s="64"/>
      <c r="C22" s="63"/>
      <c r="E22" s="14"/>
    </row>
    <row r="23" spans="1:6" ht="15" customHeight="1">
      <c r="A23" s="56" t="s">
        <v>57</v>
      </c>
      <c r="B23" s="19">
        <v>0.2</v>
      </c>
      <c r="C23" s="50" t="s">
        <v>48</v>
      </c>
    </row>
    <row r="24" spans="1:6" ht="15" customHeight="1">
      <c r="A24" s="57" t="s">
        <v>58</v>
      </c>
      <c r="B24" s="19">
        <v>0.5</v>
      </c>
      <c r="C24" s="52" t="s">
        <v>48</v>
      </c>
    </row>
    <row r="25" spans="1:6" ht="15" customHeight="1">
      <c r="A25" s="59" t="s">
        <v>61</v>
      </c>
      <c r="B25" s="48" t="s">
        <v>53</v>
      </c>
      <c r="C25" s="63"/>
    </row>
    <row r="26" spans="1:6" ht="15" customHeight="1">
      <c r="A26" s="65" t="s">
        <v>62</v>
      </c>
      <c r="B26" s="61"/>
      <c r="C26" s="63"/>
      <c r="D26" s="14"/>
      <c r="E26" s="14"/>
    </row>
    <row r="27" spans="1:6" ht="15" customHeight="1">
      <c r="A27" s="59" t="s">
        <v>57</v>
      </c>
      <c r="B27" s="19">
        <v>0.12</v>
      </c>
      <c r="C27" s="60" t="s">
        <v>48</v>
      </c>
    </row>
    <row r="28" spans="1:6" ht="15" customHeight="1">
      <c r="A28" s="59"/>
      <c r="B28" s="66"/>
      <c r="C28" s="60"/>
    </row>
    <row r="29" spans="1:6" ht="15" customHeight="1">
      <c r="A29" s="51" t="s">
        <v>63</v>
      </c>
      <c r="B29" s="19" t="s">
        <v>44</v>
      </c>
      <c r="C29" s="52"/>
    </row>
    <row r="30" spans="1:6" ht="15" customHeight="1">
      <c r="B30" s="21"/>
      <c r="C30" s="14"/>
    </row>
    <row r="31" spans="1:6" ht="15" customHeight="1">
      <c r="A31" s="67" t="s">
        <v>64</v>
      </c>
      <c r="B31" s="68"/>
      <c r="C31" s="69"/>
      <c r="D31" s="14"/>
    </row>
    <row r="32" spans="1:6" ht="15" customHeight="1">
      <c r="A32" s="59" t="s">
        <v>65</v>
      </c>
      <c r="B32" s="19">
        <v>0.03</v>
      </c>
      <c r="C32" s="60" t="s">
        <v>48</v>
      </c>
    </row>
    <row r="33" spans="1:3" ht="15" customHeight="1">
      <c r="A33" s="59"/>
      <c r="B33" s="61"/>
      <c r="C33" s="60"/>
    </row>
    <row r="34" spans="1:3" ht="15" customHeight="1">
      <c r="A34" s="59" t="s">
        <v>66</v>
      </c>
      <c r="B34" s="22">
        <f>IF(B25="Yes",1-B32/B27,IF(B21="Yes",1-B32/B23,1-B32/B19))</f>
        <v>0.75</v>
      </c>
      <c r="C34" s="60" t="s">
        <v>48</v>
      </c>
    </row>
    <row r="35" spans="1:3" ht="15" customHeight="1">
      <c r="A35" s="59" t="s">
        <v>67</v>
      </c>
      <c r="B35" s="18" t="s">
        <v>44</v>
      </c>
      <c r="C35" s="60" t="s">
        <v>54</v>
      </c>
    </row>
    <row r="36" spans="1:3" ht="15" customHeight="1">
      <c r="A36" s="59" t="s">
        <v>68</v>
      </c>
      <c r="B36" s="19"/>
      <c r="C36" s="60" t="s">
        <v>48</v>
      </c>
    </row>
    <row r="37" spans="1:3" ht="15" customHeight="1">
      <c r="A37" s="59"/>
      <c r="B37" s="61"/>
      <c r="C37" s="60"/>
    </row>
    <row r="38" spans="1:3" ht="15" customHeight="1">
      <c r="A38" s="59" t="s">
        <v>69</v>
      </c>
      <c r="B38" s="18" t="s">
        <v>53</v>
      </c>
      <c r="C38" s="60" t="s">
        <v>54</v>
      </c>
    </row>
    <row r="39" spans="1:3" ht="15" customHeight="1">
      <c r="A39" s="59" t="s">
        <v>70</v>
      </c>
      <c r="B39" s="23">
        <v>1</v>
      </c>
      <c r="C39" s="60"/>
    </row>
    <row r="40" spans="1:3" ht="15" customHeight="1">
      <c r="A40" s="51" t="s">
        <v>71</v>
      </c>
      <c r="B40" s="19">
        <f>B11</f>
        <v>0.05</v>
      </c>
      <c r="C40" s="62"/>
    </row>
  </sheetData>
  <phoneticPr fontId="5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5EB2-DF21-4883-B580-EBD419300E8A}">
  <dimension ref="A1:J8"/>
  <sheetViews>
    <sheetView showGridLines="0" zoomScale="115" zoomScaleNormal="115" workbookViewId="0">
      <selection activeCell="B8" sqref="B8"/>
    </sheetView>
  </sheetViews>
  <sheetFormatPr defaultRowHeight="15" customHeight="1"/>
  <cols>
    <col min="1" max="1" width="50.5703125" style="3" customWidth="1"/>
    <col min="2" max="256" width="11.42578125" style="3" customWidth="1"/>
    <col min="257" max="16384" width="9.140625" style="3"/>
  </cols>
  <sheetData>
    <row r="1" spans="1:10" ht="15" customHeight="1">
      <c r="A1" s="46" t="s">
        <v>72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5" customHeight="1">
      <c r="A2" s="3" t="s">
        <v>73</v>
      </c>
      <c r="B2" s="18">
        <v>1</v>
      </c>
    </row>
    <row r="3" spans="1:10" ht="15" customHeight="1">
      <c r="A3" s="3" t="s">
        <v>74</v>
      </c>
    </row>
    <row r="4" spans="1:10" ht="15" customHeight="1">
      <c r="B4" s="28">
        <v>-5</v>
      </c>
      <c r="C4" s="28">
        <v>-4</v>
      </c>
      <c r="D4" s="28">
        <v>-3</v>
      </c>
      <c r="E4" s="28">
        <v>-2</v>
      </c>
      <c r="F4" s="28" t="s">
        <v>75</v>
      </c>
      <c r="G4" s="28" t="s">
        <v>76</v>
      </c>
    </row>
    <row r="5" spans="1:10" ht="15" customHeight="1">
      <c r="A5" s="3" t="s">
        <v>77</v>
      </c>
      <c r="B5" s="16">
        <v>1662</v>
      </c>
      <c r="C5" s="16">
        <v>2533</v>
      </c>
      <c r="D5" s="16">
        <v>1876</v>
      </c>
      <c r="E5" s="16">
        <v>1933</v>
      </c>
      <c r="F5" s="16">
        <v>2122</v>
      </c>
      <c r="G5" s="36">
        <f>AVERAGE(B5:F5)</f>
        <v>2025.2</v>
      </c>
    </row>
    <row r="7" spans="1:10" ht="15" customHeight="1">
      <c r="A7" s="3" t="s">
        <v>78</v>
      </c>
    </row>
    <row r="8" spans="1:10" ht="15" customHeight="1">
      <c r="A8" s="3" t="s">
        <v>79</v>
      </c>
      <c r="B8" s="47">
        <v>0.22</v>
      </c>
    </row>
  </sheetData>
  <mergeCells count="1">
    <mergeCell ref="A1:J1"/>
  </mergeCells>
  <phoneticPr fontId="5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27CE-FB5E-48C6-A197-55E53038CFFD}">
  <dimension ref="A2:Q40"/>
  <sheetViews>
    <sheetView showGridLines="0" zoomScale="115" zoomScaleNormal="115" workbookViewId="0">
      <selection activeCell="D19" sqref="D19"/>
    </sheetView>
  </sheetViews>
  <sheetFormatPr defaultColWidth="12.42578125" defaultRowHeight="15" customHeight="1"/>
  <cols>
    <col min="1" max="1" width="2.7109375" style="3" customWidth="1"/>
    <col min="2" max="2" width="38.140625" style="3" customWidth="1"/>
    <col min="3" max="4" width="12.42578125" style="3"/>
    <col min="5" max="5" width="36.7109375" style="3" bestFit="1" customWidth="1"/>
    <col min="6" max="6" width="18" style="3" customWidth="1"/>
    <col min="7" max="16384" width="12.42578125" style="3"/>
  </cols>
  <sheetData>
    <row r="2" spans="1:17" ht="15" customHeight="1">
      <c r="B2" s="80" t="s">
        <v>234</v>
      </c>
      <c r="C2" s="103"/>
      <c r="D2" s="103"/>
      <c r="E2" s="103"/>
      <c r="F2" s="103"/>
      <c r="G2" s="104"/>
    </row>
    <row r="3" spans="1:17" ht="15" customHeight="1">
      <c r="B3" s="59" t="s">
        <v>235</v>
      </c>
      <c r="C3" s="64"/>
      <c r="D3" s="64"/>
      <c r="E3" s="64"/>
      <c r="F3" s="64"/>
      <c r="G3" s="63"/>
    </row>
    <row r="4" spans="1:17" ht="15" customHeight="1">
      <c r="B4" s="59" t="s">
        <v>238</v>
      </c>
      <c r="C4" s="64"/>
      <c r="D4" s="64"/>
      <c r="E4" s="64"/>
      <c r="F4" s="64"/>
      <c r="G4" s="63"/>
    </row>
    <row r="5" spans="1:17" ht="15" customHeight="1">
      <c r="B5" s="59" t="s">
        <v>236</v>
      </c>
      <c r="C5" s="64"/>
      <c r="D5" s="64"/>
      <c r="E5" s="64"/>
      <c r="F5" s="64"/>
      <c r="G5" s="63"/>
    </row>
    <row r="6" spans="1:17" ht="15" customHeight="1">
      <c r="B6" s="51" t="s">
        <v>237</v>
      </c>
      <c r="C6" s="87"/>
      <c r="D6" s="87"/>
      <c r="E6" s="87"/>
      <c r="F6" s="87"/>
      <c r="G6" s="62"/>
    </row>
    <row r="8" spans="1:17" ht="15" customHeight="1">
      <c r="A8" s="2"/>
      <c r="B8" s="67" t="s">
        <v>80</v>
      </c>
      <c r="C8" s="81"/>
      <c r="D8" s="81"/>
      <c r="E8" s="81"/>
      <c r="F8" s="81"/>
      <c r="G8" s="82"/>
      <c r="H8" s="2"/>
      <c r="I8" s="2"/>
    </row>
    <row r="9" spans="1:17" ht="15" customHeight="1">
      <c r="B9" s="59" t="s">
        <v>81</v>
      </c>
      <c r="C9" s="64"/>
      <c r="D9" s="20">
        <f>Inputs!B10+Inputs!B9*Inputs!B11</f>
        <v>8.0000000000000016E-2</v>
      </c>
      <c r="E9" s="61" t="s">
        <v>225</v>
      </c>
      <c r="F9" s="66">
        <f>Inputs!B10+Inputs!B11*Inputs!B9</f>
        <v>8.0000000000000016E-2</v>
      </c>
      <c r="G9" s="63" t="b">
        <f>D9=F9</f>
        <v>1</v>
      </c>
    </row>
    <row r="10" spans="1:17" ht="15" customHeight="1">
      <c r="B10" s="59" t="s">
        <v>82</v>
      </c>
      <c r="C10" s="64"/>
      <c r="D10" s="35">
        <f>IF(Inputs!B6="No",Inputs!B2,IF('Normalized Earnings'!B2=1,'Normalized Earnings'!G5,'Normalized Earnings'!B8*Inputs!C3))</f>
        <v>12736</v>
      </c>
      <c r="E10" s="83" t="s">
        <v>227</v>
      </c>
      <c r="F10" s="61"/>
      <c r="G10" s="63"/>
    </row>
    <row r="11" spans="1:17" ht="15" customHeight="1">
      <c r="B11" s="59" t="s">
        <v>83</v>
      </c>
      <c r="C11" s="64"/>
      <c r="D11" s="36">
        <f>IF(Inputs!B6="No",Inputs!B4,IF('Normalized Earnings'!B2=1,('Normalized Earnings'!G5/Inputs!B2)*Inputs!B4,(('Normalized Earnings'!B8*Inputs!C3)/Inputs!B2)*Inputs!B4))</f>
        <v>3.82</v>
      </c>
      <c r="E11" s="83" t="s">
        <v>228</v>
      </c>
      <c r="F11" s="61"/>
      <c r="G11" s="63"/>
    </row>
    <row r="12" spans="1:17" s="17" customFormat="1" ht="15" customHeight="1">
      <c r="B12" s="59" t="s">
        <v>84</v>
      </c>
      <c r="C12" s="84"/>
      <c r="D12" s="37">
        <f>IF(Inputs!B16="Yes",IF(Inputs!B21="Yes",Inputs!B23*Inputs!B24,Inputs!B19*Inputs!B20),Inputs!B17)</f>
        <v>0.1</v>
      </c>
      <c r="E12" s="85"/>
      <c r="F12" s="85"/>
      <c r="G12" s="86"/>
    </row>
    <row r="13" spans="1:17" ht="15" customHeight="1">
      <c r="B13" s="51" t="s">
        <v>85</v>
      </c>
      <c r="C13" s="87"/>
      <c r="D13" s="20">
        <f>IF(Inputs!B21="Yes",1-Inputs!B24,1-Inputs!B20)</f>
        <v>0.5</v>
      </c>
      <c r="E13" s="88"/>
      <c r="F13" s="87"/>
      <c r="G13" s="62"/>
    </row>
    <row r="14" spans="1:17" ht="15" customHeight="1">
      <c r="E14" s="21"/>
      <c r="F14" s="14"/>
    </row>
    <row r="15" spans="1:17" ht="15" customHeight="1">
      <c r="B15" s="80" t="s">
        <v>230</v>
      </c>
      <c r="C15" s="70"/>
      <c r="D15" s="70"/>
      <c r="E15" s="71"/>
      <c r="F15" s="72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3"/>
    </row>
    <row r="16" spans="1:17" ht="15" customHeight="1">
      <c r="B16" s="28"/>
      <c r="C16" s="28">
        <f>IF(Inputs!B14=0," ",1)</f>
        <v>1</v>
      </c>
      <c r="D16" s="28">
        <f>IF(Inputs!B14&lt;2," ",2)</f>
        <v>2</v>
      </c>
      <c r="E16" s="28">
        <f>IF(Inputs!B14&lt;3," ",3)</f>
        <v>3</v>
      </c>
      <c r="F16" s="28">
        <f>IF(Inputs!B14&lt;4," ",4)</f>
        <v>4</v>
      </c>
      <c r="G16" s="28">
        <f>IF(Inputs!B14&lt;5," ",5)</f>
        <v>5</v>
      </c>
      <c r="H16" s="28" t="s">
        <v>86</v>
      </c>
      <c r="I16" s="28" t="str">
        <f>IF(Inputs!B14&lt;7," ",7)</f>
        <v xml:space="preserve"> </v>
      </c>
      <c r="J16" s="28" t="str">
        <f>IF(Inputs!B14&lt;8," ",8)</f>
        <v xml:space="preserve"> </v>
      </c>
      <c r="K16" s="28" t="str">
        <f>IF(Inputs!B14&lt;9," ",9)</f>
        <v xml:space="preserve"> </v>
      </c>
      <c r="L16" s="28" t="str">
        <f>IF(Inputs!B14&lt;10," ",10)</f>
        <v xml:space="preserve"> </v>
      </c>
      <c r="M16" s="28" t="str">
        <f>IF(Inputs!B14&lt;11," ",11)</f>
        <v xml:space="preserve"> </v>
      </c>
      <c r="N16" s="28" t="str">
        <f>IF(Inputs!B14&lt;12," ",12)</f>
        <v xml:space="preserve"> </v>
      </c>
      <c r="O16" s="28" t="str">
        <f>IF(Inputs!B14&lt;13," ",13)</f>
        <v xml:space="preserve"> </v>
      </c>
      <c r="P16" s="28" t="str">
        <f>IF(Inputs!B14&lt;14," ",14)</f>
        <v xml:space="preserve"> </v>
      </c>
      <c r="Q16" s="28" t="str">
        <f>IF(Inputs!B14&lt;15," ",15)</f>
        <v xml:space="preserve"> </v>
      </c>
    </row>
    <row r="17" spans="2:17" ht="15" customHeight="1">
      <c r="B17" s="38" t="s">
        <v>87</v>
      </c>
      <c r="C17" s="39">
        <f>IF(Inputs!$B$14&lt;C16," ",IF(Inputs!$B$29="Yes",IF(C16&lt;(Inputs!$B$14/2),$D$12,$D$25+(($D$12-$D$25)/(Inputs!$B$14/2))*(Inputs!$B$14-C16)),$D$12))</f>
        <v>0.1</v>
      </c>
      <c r="D17" s="39">
        <f>IF(Inputs!$B$14&lt;D16," ",IF(Inputs!$B$29="Yes",IF(D16&lt;(Inputs!$B$14/2),$D$12,$D$25+(($D$12-$D$25)/(Inputs!$B$14/2))*(Inputs!$B$14-D16)),$D$12))</f>
        <v>0.1</v>
      </c>
      <c r="E17" s="39">
        <f>IF(Inputs!$B$14&lt;E16," ",IF(Inputs!$B$29="Yes",IF(E16&lt;(Inputs!$B$14/2),$D$12,$D$25+(($D$12-$D$25)/(Inputs!$B$14/2))*(Inputs!$B$14-E16)),$D$12))</f>
        <v>0.1</v>
      </c>
      <c r="F17" s="39">
        <f>IF(Inputs!$B$14&lt;F16," ",IF(Inputs!$B$29="Yes",IF(F16&lt;(Inputs!$B$14/2),$D$12,$D$25+(($D$12-$D$25)/(Inputs!$B$14/2))*(Inputs!$B$14-F16)),$D$12))</f>
        <v>0.1</v>
      </c>
      <c r="G17" s="39">
        <f>IF(Inputs!$B$14&lt;G16," ",IF(Inputs!$B$29="Yes",IF(G16&lt;(Inputs!$B$14/2),$D$12,$D$25+(($D$12-$D$25)/(Inputs!$B$14/2))*(Inputs!$B$14-G16)),$D$12))</f>
        <v>0.1</v>
      </c>
      <c r="H17" s="39" t="str">
        <f>IF(Inputs!$B$14&lt;H16," ",IF(Inputs!$B$29="Yes",IF(H16&lt;(Inputs!$B$14/2),$D$12,$D$25+(($D$12-$D$25)/(Inputs!$B$14/2))*(Inputs!$B$14-H16)),$D$12))</f>
        <v xml:space="preserve"> </v>
      </c>
      <c r="I17" s="39" t="str">
        <f>IF(Inputs!$B$14&lt;I16," ",IF(Inputs!$B$29="Yes",IF(I16&lt;(Inputs!$B$14/2),$D$12,$D$25+(($D$12-$D$25)/(Inputs!$B$14/2))*(Inputs!$B$14-I16)),$D$12))</f>
        <v xml:space="preserve"> </v>
      </c>
      <c r="J17" s="39" t="str">
        <f>IF(Inputs!$B$14&lt;J16," ",IF(Inputs!$B$29="Yes",IF(J16&lt;(Inputs!$B$14/2),$D$12,$D$25+(($D$12-$D$25)/(Inputs!$B$14/2))*(Inputs!$B$14-J16)),$D$12))</f>
        <v xml:space="preserve"> </v>
      </c>
      <c r="K17" s="39" t="str">
        <f>IF(Inputs!$B$14&lt;K16," ",IF(Inputs!$B$29="Yes",IF(K16&lt;(Inputs!$B$14/2),$D$12,$D$25+(($D$12-$D$25)/(Inputs!$B$14/2))*(Inputs!$B$14-K16)),$D$12))</f>
        <v xml:space="preserve"> </v>
      </c>
      <c r="L17" s="39" t="str">
        <f>IF(Inputs!$B$14&lt;L16," ",IF(Inputs!$B$29="Yes",IF(L16&lt;(Inputs!$B$14/2),$D$12,$D$25+(($D$12-$D$25)/(Inputs!$B$14/2))*(Inputs!$B$14-L16)),$D$12))</f>
        <v xml:space="preserve"> </v>
      </c>
      <c r="M17" s="39" t="str">
        <f>IF(Inputs!$B$14&lt;M16," ",IF(Inputs!$B$29="Yes",IF(M16&lt;(Inputs!$B$14/2),$D$12,$D$25+(($D$12-$D$25)/(Inputs!$B$14/2))*(Inputs!$B$14-M16)),$D$12))</f>
        <v xml:space="preserve"> </v>
      </c>
      <c r="N17" s="39" t="str">
        <f>IF(Inputs!$B$14&lt;N16," ",IF(Inputs!$B$29="Yes",IF(N16&lt;(Inputs!$B$14/2),$D$12,$D$25+(($D$12-$D$25)/(Inputs!$B$14/2))*(Inputs!$B$14-N16)),$D$12))</f>
        <v xml:space="preserve"> </v>
      </c>
      <c r="O17" s="39" t="str">
        <f>IF(Inputs!$B$14&lt;O16," ",IF(Inputs!$B$29="Yes",IF(O16&lt;(Inputs!$B$14/2),$D$12,$D$25+(($D$12-$D$25)/(Inputs!$B$14/2))*(Inputs!$B$14-O16)),$D$12))</f>
        <v xml:space="preserve"> </v>
      </c>
      <c r="P17" s="39" t="str">
        <f>IF(Inputs!$B$14&lt;P16," ",IF(Inputs!$B$29="Yes",IF(P16&lt;(Inputs!$B$14/2),$D$12,$D$25+(($D$12-$D$25)/(Inputs!$B$14/2))*(Inputs!$B$14-P16)),$D$12))</f>
        <v xml:space="preserve"> </v>
      </c>
      <c r="Q17" s="39" t="str">
        <f>IF(Inputs!$B$14&lt;Q16," ",IF(Inputs!$B$29="Yes",IF(Q16&lt;(Inputs!$B$14/2),$D$12,$D$25+(($D$12-$D$25)/(Inputs!$B$14/2))*(Inputs!$B$14-Q16)),$D$12))</f>
        <v xml:space="preserve"> </v>
      </c>
    </row>
    <row r="18" spans="2:17" ht="15" customHeight="1">
      <c r="B18" s="38" t="s">
        <v>88</v>
      </c>
      <c r="C18" s="40">
        <f>IF(Inputs!$B$14&lt;C16," ",D11*(1+D17))</f>
        <v>4.202</v>
      </c>
      <c r="D18" s="40">
        <f>IF(Inputs!$B$14&lt;D16," ",C18*(1+D17))</f>
        <v>4.6222000000000003</v>
      </c>
      <c r="E18" s="40">
        <f>IF(Inputs!$B$14&lt;E16," ",D18*(1+E17))</f>
        <v>5.0844200000000006</v>
      </c>
      <c r="F18" s="40">
        <f>IF(Inputs!$B$14&lt;F16," ",E18*(1+F17))</f>
        <v>5.5928620000000011</v>
      </c>
      <c r="G18" s="40">
        <f>IF(Inputs!$B$14&lt;G16," ",F18*(1+G17))</f>
        <v>6.1521482000000018</v>
      </c>
      <c r="H18" s="40" t="str">
        <f>IF(Inputs!$B$14&lt;H16," ",G18*(1+H17))</f>
        <v xml:space="preserve"> </v>
      </c>
      <c r="I18" s="36" t="str">
        <f>IF(Inputs!$B$14&lt;I16," ",H18*(1+I17))</f>
        <v xml:space="preserve"> </v>
      </c>
      <c r="J18" s="36" t="str">
        <f>IF(Inputs!$B$14&lt;J16," ",I18*(1+J17))</f>
        <v xml:space="preserve"> </v>
      </c>
      <c r="K18" s="36" t="str">
        <f>IF(Inputs!$B$14&lt;K16," ",J18*(1+K17))</f>
        <v xml:space="preserve"> </v>
      </c>
      <c r="L18" s="36" t="str">
        <f>IF(Inputs!$B$14&lt;L16," ",K18*(1+L17))</f>
        <v xml:space="preserve"> </v>
      </c>
      <c r="M18" s="36" t="str">
        <f>IF(Inputs!$B$14&lt;M16," ",L18*(1+M17))</f>
        <v xml:space="preserve"> </v>
      </c>
      <c r="N18" s="36" t="str">
        <f>IF(Inputs!$B$14&lt;N16," ",M18*(1+N17))</f>
        <v xml:space="preserve"> </v>
      </c>
      <c r="O18" s="36" t="str">
        <f>IF(Inputs!$B$14&lt;O16," ",N18*(1+O17))</f>
        <v xml:space="preserve"> </v>
      </c>
      <c r="P18" s="36" t="str">
        <f>IF(Inputs!$B$14&lt;P16," ",O18*(1+P17))</f>
        <v xml:space="preserve"> </v>
      </c>
      <c r="Q18" s="36" t="str">
        <f>IF(Inputs!$B$14&lt;Q16," ",P18*(1+Q17))</f>
        <v xml:space="preserve"> </v>
      </c>
    </row>
    <row r="19" spans="2:17" ht="15" customHeight="1">
      <c r="B19" s="38" t="s">
        <v>89</v>
      </c>
      <c r="C19" s="41">
        <f>IF(Inputs!$B$14&lt;C16," ",IF(Inputs!$B$29="Yes",IF(C16&lt;(Inputs!$B$14/2),$D$13,$D$26+(($D$13-$D$26)/(Inputs!$B$14/2))*(Inputs!$B$14-C16)),$D$13))</f>
        <v>0.5</v>
      </c>
      <c r="D19" s="41">
        <f>IF(Inputs!$B$14&lt;D16," ",IF(Inputs!$B$29="Yes",IF(D16&lt;(Inputs!$B$14/2),$D$13,$D$26+(($D$13-$D$26)/(Inputs!$B$14/2))*(Inputs!$B$14-D16)),$D$13))</f>
        <v>0.5</v>
      </c>
      <c r="E19" s="41">
        <f>IF(Inputs!$B$14&lt;E16," ",IF(Inputs!$B$29="Yes",IF(E16&lt;(Inputs!$B$14/2),$D$13,$D$26+(($D$13-$D$26)/(Inputs!$B$14/2))*(Inputs!$B$14-E16)),$D$13))</f>
        <v>0.5</v>
      </c>
      <c r="F19" s="41">
        <f>IF(Inputs!$B$14&lt;F16," ",IF(Inputs!$B$29="Yes",IF(F16&lt;(Inputs!$B$14/2),$D$13,$D$26+(($D$13-$D$26)/(Inputs!$B$14/2))*(Inputs!$B$14-F16)),$D$13))</f>
        <v>0.5</v>
      </c>
      <c r="G19" s="41">
        <f>IF(Inputs!$B$14&lt;G16," ",IF(Inputs!$B$29="Yes",IF(G16&lt;(Inputs!$B$14/2),$D$13,$D$26+(($D$13-$D$26)/(Inputs!$B$14/2))*(Inputs!$B$14-G16)),$D$13))</f>
        <v>0.5</v>
      </c>
      <c r="H19" s="41" t="str">
        <f>IF(Inputs!$B$14&lt;H16," ",IF(Inputs!$B$29="Yes",IF(H16&lt;(Inputs!$B$14/2),$D$13,$D$26+(($D$13-$D$26)/(Inputs!$B$14/2))*(Inputs!$B$14-H16)),$D$13))</f>
        <v xml:space="preserve"> </v>
      </c>
      <c r="I19" s="22" t="str">
        <f>IF(Inputs!$B$14&lt;I16," ",IF(Inputs!$B$29="Yes",IF(I16&lt;(Inputs!$B$14/2),$D$13,$D$26+(($D$13-$D$26)/(Inputs!$B$14/2))*(Inputs!$B$14-I16)),$D$13))</f>
        <v xml:space="preserve"> </v>
      </c>
      <c r="J19" s="22" t="str">
        <f>IF(Inputs!$B$14&lt;J16," ",IF(Inputs!$B$29="Yes",IF(J16&lt;(Inputs!$B$14/2),$D$13,$D$26+(($D$13-$D$26)/(Inputs!$B$14/2))*(Inputs!$B$14-J16)),$D$13))</f>
        <v xml:space="preserve"> </v>
      </c>
      <c r="K19" s="22" t="str">
        <f>IF(Inputs!$B$14&lt;K16," ",IF(Inputs!$B$29="Yes",IF(K16&lt;(Inputs!$B$14/2),$D$13,$D$26+(($D$13-$D$26)/(Inputs!$B$14/2))*(Inputs!$B$14-K16)),$D$13))</f>
        <v xml:space="preserve"> </v>
      </c>
      <c r="L19" s="22" t="str">
        <f>IF(Inputs!$B$14&lt;L16," ",IF(Inputs!$B$29="Yes",IF(L16&lt;(Inputs!$B$14/2),$D$13,$D$26+(($D$13-$D$26)/(Inputs!$B$14/2))*(Inputs!$B$14-L16)),$D$13))</f>
        <v xml:space="preserve"> </v>
      </c>
      <c r="M19" s="22" t="str">
        <f>IF(Inputs!$B$14&lt;M16," ",IF(Inputs!$B$29="Yes",IF(M16&lt;(Inputs!$B$14/2),$D$13,$D$26+(($D$13-$D$26)/(Inputs!$B$14/2))*(Inputs!$B$14-M16)),$D$13))</f>
        <v xml:space="preserve"> </v>
      </c>
      <c r="N19" s="22" t="str">
        <f>IF(Inputs!$B$14&lt;N16," ",IF(Inputs!$B$29="Yes",IF(N16&lt;(Inputs!$B$14/2),$D$13,$D$26+(($D$13-$D$26)/(Inputs!$B$14/2))*(Inputs!$B$14-N16)),$D$13))</f>
        <v xml:space="preserve"> </v>
      </c>
      <c r="O19" s="22" t="str">
        <f>IF(Inputs!$B$14&lt;O16," ",IF(Inputs!$B$29="Yes",IF(O16&lt;(Inputs!$B$14/2),$D$13,$D$26+(($D$13-$D$26)/(Inputs!$B$14/2))*(Inputs!$B$14-O16)),$D$13))</f>
        <v xml:space="preserve"> </v>
      </c>
      <c r="P19" s="22" t="str">
        <f>IF(Inputs!$B$14&lt;P16," ",IF(Inputs!$B$29="Yes",IF(P16&lt;(Inputs!$B$14/2),$D$13,$D$26+(($D$13-$D$26)/(Inputs!$B$14/2))*(Inputs!$B$14-P16)),$D$13))</f>
        <v xml:space="preserve"> </v>
      </c>
      <c r="Q19" s="22" t="str">
        <f>IF(Inputs!$B$14&lt;Q16," ",IF(Inputs!$B$29="Yes",IF(Q16&lt;(Inputs!$B$14/2),$D$13,$D$26+(($D$13-$D$26)/(Inputs!$B$14/2))*(Inputs!$B$14-Q16)),$D$13))</f>
        <v xml:space="preserve"> </v>
      </c>
    </row>
    <row r="20" spans="2:17" ht="15" customHeight="1">
      <c r="B20" s="38" t="s">
        <v>90</v>
      </c>
      <c r="C20" s="40">
        <f>IF(Inputs!$B$14&lt;C16," ",C18*C19)</f>
        <v>2.101</v>
      </c>
      <c r="D20" s="40">
        <f>IF(Inputs!$B$14&lt;D16," ",D18*D19)</f>
        <v>2.3111000000000002</v>
      </c>
      <c r="E20" s="40">
        <f>IF(Inputs!$B$14&lt;E16," ",E18*E19)</f>
        <v>2.5422100000000003</v>
      </c>
      <c r="F20" s="40">
        <f>IF(Inputs!$B$14&lt;F16," ",F18*F19)</f>
        <v>2.7964310000000006</v>
      </c>
      <c r="G20" s="40">
        <f>IF(Inputs!$B$14&lt;G16," ",G18*G19)</f>
        <v>3.0760741000000009</v>
      </c>
      <c r="H20" s="40" t="str">
        <f>IF(Inputs!$B$14&lt;H16," ",H18*H19)</f>
        <v xml:space="preserve"> </v>
      </c>
      <c r="I20" s="36" t="str">
        <f>IF(Inputs!$B$14&lt;I16," ",I18*I19)</f>
        <v xml:space="preserve"> </v>
      </c>
      <c r="J20" s="36" t="str">
        <f>IF(Inputs!$B$14&lt;J16," ",J18*J19)</f>
        <v xml:space="preserve"> </v>
      </c>
      <c r="K20" s="36" t="str">
        <f>IF(Inputs!$B$14&lt;K16," ",K18*K19)</f>
        <v xml:space="preserve"> </v>
      </c>
      <c r="L20" s="36" t="str">
        <f>IF(Inputs!$B$14&lt;L16," ",L18*L19)</f>
        <v xml:space="preserve"> </v>
      </c>
      <c r="M20" s="36" t="str">
        <f>IF(Inputs!$B$14&lt;M16," ",M18*M19)</f>
        <v xml:space="preserve"> </v>
      </c>
      <c r="N20" s="36" t="str">
        <f>IF(Inputs!$B$14&lt;N16," ",N18*N19)</f>
        <v xml:space="preserve"> </v>
      </c>
      <c r="O20" s="36" t="str">
        <f>IF(Inputs!$B$14&lt;O16," ",O18*O19)</f>
        <v xml:space="preserve"> </v>
      </c>
      <c r="P20" s="36" t="str">
        <f>IF(Inputs!$B$14&lt;P16," ",P18*P19)</f>
        <v xml:space="preserve"> </v>
      </c>
      <c r="Q20" s="36" t="str">
        <f>IF(Inputs!$B$14&lt;Q16," ",Q18*Q19)</f>
        <v xml:space="preserve"> </v>
      </c>
    </row>
    <row r="21" spans="2:17" ht="15" customHeight="1">
      <c r="B21" s="38" t="s">
        <v>91</v>
      </c>
      <c r="C21" s="41">
        <f>IF(Inputs!$B$14&lt;C16," ",IF(Inputs!$B$29="Yes",IF(C16&lt;(Inputs!$B$14/2),$D$9,$D$27+(($D$9-$D$27)/(Inputs!$B$14/2))*(Inputs!$B$14-C16)),$D$9))</f>
        <v>8.0000000000000016E-2</v>
      </c>
      <c r="D21" s="41">
        <f>IF(Inputs!$B$14&lt;D16," ",IF(Inputs!$B$29="Yes",IF(D16&lt;(Inputs!$B$14/2),$D$9,$D$27+(($D$9-$D$27)/(Inputs!$B$14/2))*(Inputs!$B$14-D16)),$D$9))</f>
        <v>8.0000000000000016E-2</v>
      </c>
      <c r="E21" s="41">
        <f>IF(Inputs!$B$14&lt;E16," ",IF(Inputs!$B$29="Yes",IF(E16&lt;(Inputs!$B$14/2),$D$9,$D$27+(($D$9-$D$27)/(Inputs!$B$14/2))*(Inputs!$B$14-E16)),$D$9))</f>
        <v>8.0000000000000016E-2</v>
      </c>
      <c r="F21" s="41">
        <f>IF(Inputs!$B$14&lt;F16," ",IF(Inputs!$B$29="Yes",IF(F16&lt;(Inputs!$B$14/2),$D$9,$D$27+(($D$9-$D$27)/(Inputs!$B$14/2))*(Inputs!$B$14-F16)),$D$9))</f>
        <v>8.0000000000000016E-2</v>
      </c>
      <c r="G21" s="41">
        <f>IF(Inputs!$B$14&lt;G16," ",IF(Inputs!$B$29="Yes",IF(G16&lt;(Inputs!$B$14/2),$D$9,$D$27+(($D$9-$D$27)/(Inputs!$B$14/2))*(Inputs!$B$14-G16)),$D$9))</f>
        <v>8.0000000000000016E-2</v>
      </c>
      <c r="H21" s="41" t="str">
        <f>IF(Inputs!$B$14&lt;H16," ",IF(Inputs!$B$29="Yes",IF(H16&lt;(Inputs!$B$14/2),$D$9,$D$27+(($D$9-$D$27)/(Inputs!$B$14/2))*(Inputs!$B$14-H16)),$D$9))</f>
        <v xml:space="preserve"> </v>
      </c>
      <c r="I21" s="22" t="str">
        <f>IF(Inputs!$B$14&lt;I16," ",IF(Inputs!$B$29="Yes",IF(I16&lt;(Inputs!$B$14/2),$D$9,$D$27+(($D$9-$D$27)/(Inputs!$B$14/2))*(Inputs!$B$14-I16)),$D$9))</f>
        <v xml:space="preserve"> </v>
      </c>
      <c r="J21" s="22" t="str">
        <f>IF(Inputs!$B$14&lt;J16," ",IF(Inputs!$B$29="Yes",IF(J16&lt;(Inputs!$B$14/2),$D$9,$D$27+(($D$9-$D$27)/(Inputs!$B$14/2))*(Inputs!$B$14-J16)),$D$9))</f>
        <v xml:space="preserve"> </v>
      </c>
      <c r="K21" s="22" t="str">
        <f>IF(Inputs!$B$14&lt;K16," ",IF(Inputs!$B$29="Yes",IF(K16&lt;(Inputs!$B$14/2),$D$9,$D$27+(($D$9-$D$27)/(Inputs!$B$14/2))*(Inputs!$B$14-K16)),$D$9))</f>
        <v xml:space="preserve"> </v>
      </c>
      <c r="L21" s="22" t="str">
        <f>IF(Inputs!$B$14&lt;L16," ",IF(Inputs!$B$29="Yes",IF(L16&lt;(Inputs!$B$14/2),$D$9,$D$27+(($D$9-$D$27)/(Inputs!$B$14/2))*(Inputs!$B$14-L16)),$D$9))</f>
        <v xml:space="preserve"> </v>
      </c>
      <c r="M21" s="22" t="str">
        <f>IF(Inputs!$B$14&lt;M16," ",IF(Inputs!$B$29="Yes",IF(M16&lt;(Inputs!$B$14/2),$D$9,$D$27+(($D$9-$D$27)/(Inputs!$B$14/2))*(Inputs!$B$14-M16)),$D$9))</f>
        <v xml:space="preserve"> </v>
      </c>
      <c r="N21" s="22" t="str">
        <f>IF(Inputs!$B$14&lt;N16," ",IF(Inputs!$B$29="Yes",IF(N16&lt;(Inputs!$B$14/2),$D$9,$D$27+(($D$9-$D$27)/(Inputs!$B$14/2))*(Inputs!$B$14-N16)),$D$9))</f>
        <v xml:space="preserve"> </v>
      </c>
      <c r="O21" s="22" t="str">
        <f>IF(Inputs!$B$14&lt;O16," ",IF(Inputs!$B$29="Yes",IF(O16&lt;(Inputs!$B$14/2),$D$9,$D$27+(($D$9-$D$27)/(Inputs!$B$14/2))*(Inputs!$B$14-O16)),$D$9))</f>
        <v xml:space="preserve"> </v>
      </c>
      <c r="P21" s="22" t="str">
        <f>IF(Inputs!$B$14&lt;P16," ",IF(Inputs!$B$29="Yes",IF(P16&lt;(Inputs!$B$14/2),$D$9,$D$27+(($D$9-$D$27)/(Inputs!$B$14/2))*(Inputs!$B$14-P16)),$D$9))</f>
        <v xml:space="preserve"> </v>
      </c>
      <c r="Q21" s="22" t="str">
        <f>IF(Inputs!$B$14&lt;Q16," ",IF(Inputs!$B$29="Yes",IF(Q16&lt;(Inputs!$B$14/2),$D$9,$D$27+(($D$9-$D$27)/(Inputs!$B$14/2))*(Inputs!$B$14-Q16)),$D$9))</f>
        <v xml:space="preserve"> </v>
      </c>
    </row>
    <row r="22" spans="2:17" ht="15" customHeight="1">
      <c r="B22" s="38" t="s">
        <v>92</v>
      </c>
      <c r="C22" s="74">
        <f>IF(Inputs!$B$14&lt;C16," ",(1+C21))</f>
        <v>1.08</v>
      </c>
      <c r="D22" s="74">
        <f>IF(Inputs!$B$14&lt;D16," ",(1+C21)*(1+D21))</f>
        <v>1.1664000000000001</v>
      </c>
      <c r="E22" s="74">
        <f>IF(Inputs!$B$14&lt;E16," ",(1+C21)*(1+D21)*(1+E21))</f>
        <v>1.2597120000000002</v>
      </c>
      <c r="F22" s="74">
        <f>IF(Inputs!$B$14&lt;F16," ",(1+C21)*(1+D21)*(1+E21)*(1+F21))</f>
        <v>1.3604889600000003</v>
      </c>
      <c r="G22" s="74">
        <f>IF(Inputs!$B$14&lt;G16," ",(1+C21)*(1+D21)*(1+E21)*(1+F21)*(1+G21))</f>
        <v>1.4693280768000003</v>
      </c>
      <c r="H22" s="41" t="str">
        <f>IF(Inputs!$B$14&lt;H16," ",(1+C21)*(1+D21)*(1+E21)*(1+F21)*(1+G21)*(1+H21))</f>
        <v xml:space="preserve"> </v>
      </c>
      <c r="I22" s="22" t="str">
        <f>IF(Inputs!$B$14&lt;I16," ",(1+C21)*(1+D21)*(1+E21)*(1+F21)*(1+G21)*(1+H21)*(1+I21))</f>
        <v xml:space="preserve"> </v>
      </c>
      <c r="J22" s="22" t="str">
        <f>IF(Inputs!$B$14&lt;J16," ",(1+C21)*(1+D21)*(1+E21)*(1+F21)*(1+G21)*(1+H21)*(1+I21)*(1+J21))</f>
        <v xml:space="preserve"> </v>
      </c>
      <c r="K22" s="22" t="str">
        <f>IF(Inputs!$B$14&lt;K16," ",(1+C21)*(1+D21)*(1+E21)*(1+F21)*(1+G21)*(1+H21)*(1+I21)*(1+J21)*(1+K21))</f>
        <v xml:space="preserve"> </v>
      </c>
      <c r="L22" s="22" t="str">
        <f>IF(Inputs!$B$14&lt;L16," ",(1+C21)*(1+D21)*(1+E21)*(1+F21)*(1+G21)*(1+H21)*(1+I21)*(1+J21)*(1+K21)*(1+L21))</f>
        <v xml:space="preserve"> </v>
      </c>
      <c r="M22" s="22" t="str">
        <f>IF(Inputs!$B$14&lt;M16," ",(1+C21)*(1+D21)*(1+E21)*(1+F21)*(1+G21)*(1+H21)*(1+I21)*(1+J21)*(1+K21)*(1+L21)*(1+M21))</f>
        <v xml:space="preserve"> </v>
      </c>
      <c r="N22" s="22" t="str">
        <f>IF(Inputs!$B$14&lt;N16," ",(1+C21)*(1+D21)*(1+E21)*(1+F21)*(1+G21)*(1+H21)*(1+I21)*(1+J21)*(1+K21)*(1+L21)*(1+M21)*(1+N21))</f>
        <v xml:space="preserve"> </v>
      </c>
      <c r="O22" s="22" t="str">
        <f>IF(Inputs!$B$14&lt;O16," ",(1+C21)*(1+D21)*(1+E21)*(1+F21)*(1+G21)*(1+H21)*(1+I21)*(1+J21)*(1+K21)*(1+L21)*(1+M21)*(1+N21)*(1+O21))</f>
        <v xml:space="preserve"> </v>
      </c>
      <c r="P22" s="22" t="str">
        <f>IF(Inputs!$B$14&lt;P16," ",(1+C21)*(1+D21)*(1+E21)*(1+F21)*(1+G21)*(1+H21)*(1+I21)*(1+J21)*(1+K21)*(1+L21)*(1+M21)*(1+N21)*(1+O21)*(1+P21))</f>
        <v xml:space="preserve"> </v>
      </c>
      <c r="Q22" s="22" t="str">
        <f>IF(Inputs!$B$14&lt;Q16," ",(1+C21)*(1+D21)*(1+E21)*(1+F21)*(1+G21)*(1+H21)*(1+I21)*(1+J21)*(1+K21)*(1+L21)*(1+M21)*(1+N21)*(1+O21)*(1+P21)*(1+Q21))</f>
        <v xml:space="preserve"> </v>
      </c>
    </row>
    <row r="23" spans="2:17" ht="15" customHeight="1">
      <c r="B23" s="38" t="s">
        <v>93</v>
      </c>
      <c r="C23" s="40">
        <f>IF(Inputs!$B$14&lt;C16," ",C20/C22)</f>
        <v>1.9453703703703702</v>
      </c>
      <c r="D23" s="40">
        <f>IF(Inputs!$B$14&lt;D16," ",D20/D22)</f>
        <v>1.9813957475994513</v>
      </c>
      <c r="E23" s="40">
        <f>IF(Inputs!$B$14&lt;E16," ",E20/E22)</f>
        <v>2.0180882614438858</v>
      </c>
      <c r="F23" s="40">
        <f>IF(Inputs!$B$14&lt;F16," ",F20/F22)</f>
        <v>2.0554602662854391</v>
      </c>
      <c r="G23" s="40">
        <f>IF(Inputs!$B$14&lt;G16," ",G20/G22)</f>
        <v>2.0935243452907253</v>
      </c>
      <c r="H23" s="40"/>
      <c r="I23" s="36" t="str">
        <f>IF(Inputs!$B$14&lt;I16," ",I20/I22)</f>
        <v xml:space="preserve"> </v>
      </c>
      <c r="J23" s="36" t="str">
        <f>IF(Inputs!$B$14&lt;J16," ",J20/J22)</f>
        <v xml:space="preserve"> </v>
      </c>
      <c r="K23" s="36" t="str">
        <f>IF(Inputs!$B$14&lt;K16," ",K20/K22)</f>
        <v xml:space="preserve"> </v>
      </c>
      <c r="L23" s="36" t="str">
        <f>IF(Inputs!$B$14&lt;L16," ",L20/L22)</f>
        <v xml:space="preserve"> </v>
      </c>
      <c r="M23" s="36" t="str">
        <f>IF(Inputs!$B$14&lt;M16," ",M20/M22)</f>
        <v xml:space="preserve"> </v>
      </c>
      <c r="N23" s="36" t="str">
        <f>IF(Inputs!$B$14&lt;N16," ",N20/N22)</f>
        <v xml:space="preserve"> </v>
      </c>
      <c r="O23" s="36" t="str">
        <f>IF(Inputs!$B$14&lt;O16," ",O20/O22)</f>
        <v xml:space="preserve"> </v>
      </c>
      <c r="P23" s="36" t="str">
        <f>IF(Inputs!$B$14&lt;P16," ",P20/P22)</f>
        <v xml:space="preserve"> </v>
      </c>
      <c r="Q23" s="36" t="str">
        <f>IF(Inputs!$B$14&lt;Q16," ",Q20/Q22)</f>
        <v xml:space="preserve"> </v>
      </c>
    </row>
    <row r="24" spans="2:17" ht="15" customHeight="1">
      <c r="E24" s="14"/>
      <c r="F24" s="14"/>
    </row>
    <row r="25" spans="2:17" ht="15" customHeight="1">
      <c r="B25" s="49" t="s">
        <v>94</v>
      </c>
      <c r="C25" s="58"/>
      <c r="D25" s="20">
        <f>Inputs!B32</f>
        <v>0.03</v>
      </c>
      <c r="E25" s="14"/>
      <c r="F25" s="76" t="s">
        <v>98</v>
      </c>
      <c r="G25" s="77"/>
      <c r="H25" s="77"/>
      <c r="I25" s="44">
        <f>SUM(C23:Q23)</f>
        <v>10.09383899098987</v>
      </c>
    </row>
    <row r="26" spans="2:17" ht="15" customHeight="1">
      <c r="B26" s="59" t="s">
        <v>95</v>
      </c>
      <c r="C26" s="64"/>
      <c r="D26" s="20">
        <f>IF(Inputs!B35="No",Inputs!B34,Inputs!B36)</f>
        <v>0.75</v>
      </c>
      <c r="E26" s="14"/>
      <c r="F26" s="78" t="s">
        <v>99</v>
      </c>
      <c r="G26" s="79"/>
      <c r="H26" s="79"/>
      <c r="I26" s="44">
        <f>IF(Inputs!B14=0,valuation!D28,D28/MAX(C22:Q22))</f>
        <v>58.80900206316673</v>
      </c>
    </row>
    <row r="27" spans="2:17" ht="15" customHeight="1">
      <c r="B27" s="59" t="s">
        <v>96</v>
      </c>
      <c r="C27" s="64"/>
      <c r="D27" s="20">
        <f>IF(Inputs!B38="No",Inputs!B10+Inputs!B9*Inputs!B40,Inputs!B10+Inputs!B39*Inputs!B40)</f>
        <v>8.5000000000000006E-2</v>
      </c>
      <c r="E27" s="14"/>
      <c r="F27" s="89" t="s">
        <v>100</v>
      </c>
      <c r="G27" s="90"/>
      <c r="H27" s="90"/>
      <c r="I27" s="91">
        <f>I25+I26</f>
        <v>68.902841054156596</v>
      </c>
    </row>
    <row r="28" spans="2:17" s="12" customFormat="1" ht="15" customHeight="1">
      <c r="B28" s="57" t="s">
        <v>97</v>
      </c>
      <c r="C28" s="75"/>
      <c r="D28" s="42">
        <f>IF(Inputs!B14=0,D11*D26*(1+D25)/(D27-D25),MAX(C18:Q18)*(1+D25)*D26/(D27-D25))</f>
        <v>86.409717900000018</v>
      </c>
      <c r="E28" s="43"/>
    </row>
    <row r="29" spans="2:17" ht="15" customHeight="1">
      <c r="D29" s="45"/>
      <c r="E29" s="14"/>
      <c r="F29" s="92" t="s">
        <v>231</v>
      </c>
    </row>
    <row r="30" spans="2:17" s="4" customFormat="1" ht="15" customHeight="1">
      <c r="B30" s="67" t="s">
        <v>101</v>
      </c>
      <c r="C30" s="70"/>
      <c r="D30" s="73"/>
    </row>
    <row r="31" spans="2:17" s="4" customFormat="1" ht="15" customHeight="1" thickBot="1">
      <c r="B31" s="59" t="s">
        <v>102</v>
      </c>
      <c r="C31" s="64"/>
      <c r="D31" s="93">
        <f>D11/D27</f>
        <v>44.941176470588232</v>
      </c>
    </row>
    <row r="32" spans="2:17" s="4" customFormat="1" ht="15" customHeight="1">
      <c r="B32" s="95" t="s">
        <v>103</v>
      </c>
      <c r="C32" s="96"/>
      <c r="D32" s="97">
        <f>D11*D26*(1+D25)/(D27-D25)-D31</f>
        <v>8.7124598930481199</v>
      </c>
      <c r="E32" s="102" t="s">
        <v>233</v>
      </c>
    </row>
    <row r="33" spans="2:12" ht="15" customHeight="1" thickBot="1">
      <c r="B33" s="98" t="s">
        <v>104</v>
      </c>
      <c r="C33" s="99"/>
      <c r="D33" s="100">
        <f>I27-D32-D31</f>
        <v>15.249204690520244</v>
      </c>
      <c r="E33" s="101" t="s">
        <v>232</v>
      </c>
      <c r="F33" s="21"/>
    </row>
    <row r="34" spans="2:12" ht="15" customHeight="1">
      <c r="B34" s="89" t="s">
        <v>100</v>
      </c>
      <c r="C34" s="90"/>
      <c r="D34" s="94">
        <f>SUM(D31:D33)</f>
        <v>68.902841054156596</v>
      </c>
      <c r="E34" s="14"/>
      <c r="F34" s="14"/>
    </row>
    <row r="35" spans="2:12" ht="15" customHeight="1">
      <c r="E35" s="14"/>
      <c r="F35" s="14"/>
    </row>
    <row r="36" spans="2:12" ht="15" customHeight="1">
      <c r="E36" s="14"/>
    </row>
    <row r="37" spans="2:12" ht="15" customHeight="1">
      <c r="E37" s="14"/>
    </row>
    <row r="38" spans="2:12" ht="15" customHeight="1">
      <c r="E38" s="14"/>
      <c r="L38" s="45"/>
    </row>
    <row r="39" spans="2:12" ht="15" customHeight="1">
      <c r="E39" s="14"/>
    </row>
    <row r="40" spans="2:12" ht="15" customHeight="1">
      <c r="L40" s="45"/>
    </row>
  </sheetData>
  <phoneticPr fontId="5" type="noConversion"/>
  <printOptions gridLinesSet="0"/>
  <pageMargins left="0.75" right="0.75" top="1" bottom="1" header="0.5" footer="0.5"/>
  <pageSetup orientation="portrait" horizontalDpi="4294967292" verticalDpi="4294967292"/>
  <headerFooter alignWithMargins="0">
    <oddHeader>&amp;C Two-Stage Dividend Discount Model</oddHeader>
    <oddFooter>Page &amp;P</oddFooter>
  </headerFooter>
  <rowBreaks count="4" manualBreakCount="4">
    <brk id="19" max="65535" man="1"/>
    <brk id="72" max="65535" man="1"/>
    <brk id="80" max="65535" man="1"/>
    <brk id="107" max="65535" man="1"/>
  </row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CB49-92C3-4225-9760-8FF4C4BEFAC3}">
  <dimension ref="A1:S101"/>
  <sheetViews>
    <sheetView showGridLines="0" topLeftCell="A49" zoomScale="115" zoomScaleNormal="115" workbookViewId="0">
      <selection activeCell="G97" sqref="G97"/>
    </sheetView>
  </sheetViews>
  <sheetFormatPr defaultRowHeight="15" customHeight="1"/>
  <cols>
    <col min="1" max="1" width="19.42578125" style="3" bestFit="1" customWidth="1"/>
    <col min="2" max="2" width="9.28515625" style="14" bestFit="1" customWidth="1"/>
    <col min="3" max="4" width="10.5703125" style="14" bestFit="1" customWidth="1"/>
    <col min="5" max="5" width="11.5703125" style="14" bestFit="1" customWidth="1"/>
    <col min="6" max="6" width="15.5703125" style="14" bestFit="1" customWidth="1"/>
    <col min="7" max="256" width="11.42578125" style="3" customWidth="1"/>
    <col min="257" max="16384" width="9.140625" style="3"/>
  </cols>
  <sheetData>
    <row r="1" spans="1:19" ht="15" customHeight="1">
      <c r="A1" s="24" t="s">
        <v>105</v>
      </c>
      <c r="B1" s="25" t="s">
        <v>106</v>
      </c>
      <c r="C1" s="24" t="s">
        <v>107</v>
      </c>
      <c r="D1" s="24" t="s">
        <v>108</v>
      </c>
      <c r="E1" s="24" t="s">
        <v>109</v>
      </c>
      <c r="F1" s="24" t="s">
        <v>110</v>
      </c>
      <c r="G1" s="24" t="s">
        <v>111</v>
      </c>
      <c r="H1" s="24" t="s">
        <v>112</v>
      </c>
      <c r="I1" s="24" t="s">
        <v>113</v>
      </c>
      <c r="J1" s="24" t="s">
        <v>114</v>
      </c>
      <c r="K1" s="24" t="s">
        <v>115</v>
      </c>
      <c r="L1" s="24" t="s">
        <v>116</v>
      </c>
      <c r="M1" s="24" t="s">
        <v>117</v>
      </c>
      <c r="N1" s="24" t="s">
        <v>118</v>
      </c>
      <c r="O1" s="24" t="s">
        <v>119</v>
      </c>
      <c r="P1" s="24" t="s">
        <v>120</v>
      </c>
      <c r="Q1" s="24" t="s">
        <v>121</v>
      </c>
      <c r="R1" s="26" t="s">
        <v>122</v>
      </c>
      <c r="S1" s="24" t="s">
        <v>123</v>
      </c>
    </row>
    <row r="2" spans="1:19" ht="15" customHeight="1">
      <c r="A2" s="27" t="s">
        <v>124</v>
      </c>
      <c r="B2" s="28">
        <v>28</v>
      </c>
      <c r="C2" s="29">
        <v>1.794736842105263</v>
      </c>
      <c r="D2" s="29">
        <v>1.5461473319162071</v>
      </c>
      <c r="E2" s="30">
        <v>1.0108368421052634</v>
      </c>
      <c r="F2" s="30">
        <v>0.36550092230683107</v>
      </c>
      <c r="G2" s="30">
        <v>0.26766801569739412</v>
      </c>
      <c r="H2" s="30">
        <v>4.6274194586985043E-3</v>
      </c>
      <c r="I2" s="30">
        <v>9.7862270268782039E-2</v>
      </c>
      <c r="J2" s="30">
        <v>0.12861392857142856</v>
      </c>
      <c r="K2" s="30">
        <v>0.13680467866787763</v>
      </c>
      <c r="L2" s="30">
        <v>7.6961920426317679E-2</v>
      </c>
      <c r="M2" s="30">
        <v>1.1518034896939151E-2</v>
      </c>
      <c r="N2" s="30">
        <v>0.68408269161767532</v>
      </c>
      <c r="O2" s="30">
        <v>-0.15506342437492859</v>
      </c>
      <c r="P2" s="30" t="s">
        <v>125</v>
      </c>
      <c r="Q2" s="30">
        <v>-0.21484895904532927</v>
      </c>
      <c r="R2" s="29">
        <v>1.2715674157647103</v>
      </c>
      <c r="S2" s="29">
        <v>1.5357937219191513</v>
      </c>
    </row>
    <row r="3" spans="1:19" ht="15" customHeight="1">
      <c r="A3" s="27" t="s">
        <v>126</v>
      </c>
      <c r="B3" s="28">
        <v>63</v>
      </c>
      <c r="C3" s="29">
        <v>1.1495918367346938</v>
      </c>
      <c r="D3" s="29">
        <v>1.0719949564545148</v>
      </c>
      <c r="E3" s="30">
        <v>0.59629591836734708</v>
      </c>
      <c r="F3" s="30">
        <v>0.23640723094140628</v>
      </c>
      <c r="G3" s="30">
        <v>0.19120498895934529</v>
      </c>
      <c r="H3" s="30">
        <v>0.37610053209443778</v>
      </c>
      <c r="I3" s="30">
        <v>0.23548615744364626</v>
      </c>
      <c r="J3" s="30">
        <v>0.21101793650793646</v>
      </c>
      <c r="K3" s="30">
        <v>0.11451380178350526</v>
      </c>
      <c r="L3" s="30">
        <v>8.0232382784352393E-2</v>
      </c>
      <c r="M3" s="30">
        <v>2.768127950825746E-2</v>
      </c>
      <c r="N3" s="30">
        <v>1.0680688221291472</v>
      </c>
      <c r="O3" s="30">
        <v>1.2791166566881597E-2</v>
      </c>
      <c r="P3" s="30">
        <v>0.14046957441379121</v>
      </c>
      <c r="Q3" s="30">
        <v>2.921812778649446E-2</v>
      </c>
      <c r="R3" s="29">
        <v>2.9350512756997764</v>
      </c>
      <c r="S3" s="29">
        <v>0.88737359270582772</v>
      </c>
    </row>
    <row r="4" spans="1:19" ht="15" customHeight="1">
      <c r="A4" s="27" t="s">
        <v>127</v>
      </c>
      <c r="B4" s="28">
        <v>40</v>
      </c>
      <c r="C4" s="29">
        <v>1.2058064516129028</v>
      </c>
      <c r="D4" s="29">
        <v>0.94769872075768125</v>
      </c>
      <c r="E4" s="30">
        <v>0.60619677419354856</v>
      </c>
      <c r="F4" s="30">
        <v>0.5264352218051529</v>
      </c>
      <c r="G4" s="30">
        <v>0.34487884863046714</v>
      </c>
      <c r="H4" s="30">
        <v>-4.2396398706922238E-2</v>
      </c>
      <c r="I4" s="30">
        <v>0.1295585776809127</v>
      </c>
      <c r="J4" s="30">
        <v>0.22302860672514618</v>
      </c>
      <c r="K4" s="30">
        <v>0.10167026070253016</v>
      </c>
      <c r="L4" s="30">
        <v>5.8282882198071276E-2</v>
      </c>
      <c r="M4" s="30">
        <v>1.8643982808181157E-2</v>
      </c>
      <c r="N4" s="30">
        <v>1.3731910671254239</v>
      </c>
      <c r="O4" s="30">
        <v>-8.5464510230422258E-2</v>
      </c>
      <c r="P4" s="30">
        <v>6.0544999999999988E-2</v>
      </c>
      <c r="Q4" s="30">
        <v>0.25034839464541486</v>
      </c>
      <c r="R4" s="29">
        <v>2.2229267461518933</v>
      </c>
      <c r="S4" s="29">
        <v>1.0828067011601625</v>
      </c>
    </row>
    <row r="5" spans="1:19" ht="15" customHeight="1">
      <c r="A5" s="27" t="s">
        <v>128</v>
      </c>
      <c r="B5" s="28">
        <v>48</v>
      </c>
      <c r="C5" s="29">
        <v>1.3525641025641029</v>
      </c>
      <c r="D5" s="29">
        <v>1.323282235921325</v>
      </c>
      <c r="E5" s="30">
        <v>0.66448717948717984</v>
      </c>
      <c r="F5" s="30">
        <v>0.15795061584306405</v>
      </c>
      <c r="G5" s="30">
        <v>0.13640531269812892</v>
      </c>
      <c r="H5" s="30">
        <v>0.1585836899299006</v>
      </c>
      <c r="I5" s="30">
        <v>0.17158986925151801</v>
      </c>
      <c r="J5" s="30">
        <v>0.20855562500000002</v>
      </c>
      <c r="K5" s="30">
        <v>0.1270251258178158</v>
      </c>
      <c r="L5" s="30">
        <v>8.7041317469803675E-2</v>
      </c>
      <c r="M5" s="30">
        <v>6.4944460421309941E-2</v>
      </c>
      <c r="N5" s="30">
        <v>0.81939248840341161</v>
      </c>
      <c r="O5" s="30">
        <v>0.16813079660651373</v>
      </c>
      <c r="P5" s="30">
        <v>0.21409502908966463</v>
      </c>
      <c r="Q5" s="30">
        <v>7.618490420379681E-2</v>
      </c>
      <c r="R5" s="29">
        <v>1.9713611218148883</v>
      </c>
      <c r="S5" s="29">
        <v>1.25565506147099</v>
      </c>
    </row>
    <row r="6" spans="1:19" ht="15" customHeight="1">
      <c r="A6" s="27" t="s">
        <v>129</v>
      </c>
      <c r="B6" s="28">
        <v>47</v>
      </c>
      <c r="C6" s="29">
        <v>1.7754285714285716</v>
      </c>
      <c r="D6" s="29">
        <v>1.577878396617115</v>
      </c>
      <c r="E6" s="30">
        <v>0.74665714285714291</v>
      </c>
      <c r="F6" s="30">
        <v>0.24669956728144479</v>
      </c>
      <c r="G6" s="30">
        <v>0.19788213115321615</v>
      </c>
      <c r="H6" s="30">
        <v>5.1991669606083098E-2</v>
      </c>
      <c r="I6" s="30">
        <v>0.14307142494729885</v>
      </c>
      <c r="J6" s="30">
        <v>0.13450829787234042</v>
      </c>
      <c r="K6" s="30">
        <v>8.227452159728238E-2</v>
      </c>
      <c r="L6" s="30">
        <v>5.7923150588126207E-2</v>
      </c>
      <c r="M6" s="30">
        <v>2.1798617810188246E-2</v>
      </c>
      <c r="N6" s="30">
        <v>0.85445348876159843</v>
      </c>
      <c r="O6" s="30">
        <v>8.7126139201428601E-2</v>
      </c>
      <c r="P6" s="30">
        <v>0.4476528998242531</v>
      </c>
      <c r="Q6" s="30">
        <v>-4.3995455631533282E-3</v>
      </c>
      <c r="R6" s="29">
        <v>2.4700214593753018</v>
      </c>
      <c r="S6" s="29">
        <v>0.99940222365006792</v>
      </c>
    </row>
    <row r="7" spans="1:19" ht="15" customHeight="1">
      <c r="A7" s="27" t="s">
        <v>130</v>
      </c>
      <c r="B7" s="28">
        <v>19</v>
      </c>
      <c r="C7" s="29">
        <v>1.4990909090909093</v>
      </c>
      <c r="D7" s="29">
        <v>0.92635694625583564</v>
      </c>
      <c r="E7" s="30">
        <v>0.44609090909090909</v>
      </c>
      <c r="F7" s="30">
        <v>1.0858480624334439</v>
      </c>
      <c r="G7" s="30">
        <v>0.52057869505923893</v>
      </c>
      <c r="H7" s="30">
        <v>-2.3947918550176692</v>
      </c>
      <c r="I7" s="30">
        <v>0.12112256439182625</v>
      </c>
      <c r="J7" s="30">
        <v>0.2043078947368421</v>
      </c>
      <c r="K7" s="30">
        <v>7.6251047930772975E-2</v>
      </c>
      <c r="L7" s="30">
        <v>6.6574892110283362E-2</v>
      </c>
      <c r="M7" s="30">
        <v>-8.2767479442517992E-3</v>
      </c>
      <c r="N7" s="30">
        <v>0.88342269872613577</v>
      </c>
      <c r="O7" s="30">
        <v>0.15221523513385801</v>
      </c>
      <c r="P7" s="30" t="s">
        <v>125</v>
      </c>
      <c r="Q7" s="30">
        <v>4.6276642674093336E-2</v>
      </c>
      <c r="R7" s="29">
        <v>1.819343006837818</v>
      </c>
      <c r="S7" s="29">
        <v>0.89738251913640177</v>
      </c>
    </row>
    <row r="8" spans="1:19" ht="15" customHeight="1">
      <c r="A8" s="27" t="s">
        <v>131</v>
      </c>
      <c r="B8" s="28">
        <v>418</v>
      </c>
      <c r="C8" s="29">
        <v>0.74519230769230804</v>
      </c>
      <c r="D8" s="29">
        <v>0.46719443975563191</v>
      </c>
      <c r="E8" s="30">
        <v>0.48201249999999995</v>
      </c>
      <c r="F8" s="30">
        <v>0.85858348621222114</v>
      </c>
      <c r="G8" s="30">
        <v>0.46195583495794845</v>
      </c>
      <c r="H8" s="30">
        <v>2.9723533782993642E-2</v>
      </c>
      <c r="I8" s="30" t="s">
        <v>125</v>
      </c>
      <c r="J8" s="30">
        <v>0.1389374880382776</v>
      </c>
      <c r="K8" s="30" t="s">
        <v>125</v>
      </c>
      <c r="L8" s="30" t="s">
        <v>125</v>
      </c>
      <c r="M8" s="30" t="s">
        <v>125</v>
      </c>
      <c r="N8" s="30" t="s">
        <v>125</v>
      </c>
      <c r="O8" s="30" t="s">
        <v>125</v>
      </c>
      <c r="P8" s="30">
        <v>0.24663109952329323</v>
      </c>
      <c r="Q8" s="30">
        <v>0</v>
      </c>
      <c r="R8" s="29" t="s">
        <v>125</v>
      </c>
      <c r="S8" s="29" t="s">
        <v>125</v>
      </c>
    </row>
    <row r="9" spans="1:19" ht="15" customHeight="1">
      <c r="A9" s="27" t="s">
        <v>132</v>
      </c>
      <c r="B9" s="28">
        <v>7</v>
      </c>
      <c r="C9" s="29">
        <v>0.86428571428571421</v>
      </c>
      <c r="D9" s="29">
        <v>0.83831425980318075</v>
      </c>
      <c r="E9" s="30">
        <v>0.24234285714285714</v>
      </c>
      <c r="F9" s="30">
        <v>0.13765475899509216</v>
      </c>
      <c r="G9" s="30">
        <v>0.12099871064283571</v>
      </c>
      <c r="H9" s="30">
        <v>0.12736546980996469</v>
      </c>
      <c r="I9" s="30" t="s">
        <v>125</v>
      </c>
      <c r="J9" s="30">
        <v>0.20266857142857142</v>
      </c>
      <c r="K9" s="30" t="s">
        <v>125</v>
      </c>
      <c r="L9" s="30" t="s">
        <v>125</v>
      </c>
      <c r="M9" s="30" t="s">
        <v>125</v>
      </c>
      <c r="N9" s="30" t="s">
        <v>125</v>
      </c>
      <c r="O9" s="30" t="s">
        <v>125</v>
      </c>
      <c r="P9" s="30">
        <v>0.66081745341099762</v>
      </c>
      <c r="Q9" s="30">
        <v>0</v>
      </c>
      <c r="R9" s="29" t="s">
        <v>125</v>
      </c>
      <c r="S9" s="29" t="s">
        <v>125</v>
      </c>
    </row>
    <row r="10" spans="1:19" ht="15" customHeight="1">
      <c r="A10" s="27" t="s">
        <v>133</v>
      </c>
      <c r="B10" s="28">
        <v>40</v>
      </c>
      <c r="C10" s="29">
        <v>0.95999999999999974</v>
      </c>
      <c r="D10" s="29">
        <v>0.67735309271984845</v>
      </c>
      <c r="E10" s="30">
        <v>0.40644722222222218</v>
      </c>
      <c r="F10" s="30">
        <v>0.6903215294460423</v>
      </c>
      <c r="G10" s="30">
        <v>0.40839657865109052</v>
      </c>
      <c r="H10" s="30">
        <v>1.569762533963074E-3</v>
      </c>
      <c r="I10" s="30" t="s">
        <v>125</v>
      </c>
      <c r="J10" s="30">
        <v>0.18017824999999998</v>
      </c>
      <c r="K10" s="30" t="s">
        <v>125</v>
      </c>
      <c r="L10" s="30" t="s">
        <v>125</v>
      </c>
      <c r="M10" s="30" t="s">
        <v>125</v>
      </c>
      <c r="N10" s="30" t="s">
        <v>125</v>
      </c>
      <c r="O10" s="30" t="s">
        <v>125</v>
      </c>
      <c r="P10" s="30">
        <v>0.32183</v>
      </c>
      <c r="Q10" s="30">
        <v>0</v>
      </c>
      <c r="R10" s="29" t="s">
        <v>125</v>
      </c>
      <c r="S10" s="29" t="s">
        <v>125</v>
      </c>
    </row>
    <row r="11" spans="1:19" ht="15" customHeight="1">
      <c r="A11" s="27" t="s">
        <v>134</v>
      </c>
      <c r="B11" s="28">
        <v>34</v>
      </c>
      <c r="C11" s="29">
        <v>0.9158333333333335</v>
      </c>
      <c r="D11" s="29">
        <v>0.85986942311529735</v>
      </c>
      <c r="E11" s="30">
        <v>0.80271666666666686</v>
      </c>
      <c r="F11" s="30">
        <v>0.13089503929796439</v>
      </c>
      <c r="G11" s="30">
        <v>0.11574464008545064</v>
      </c>
      <c r="H11" s="30">
        <v>0.36344648134228924</v>
      </c>
      <c r="I11" s="30">
        <v>0.23263095815648815</v>
      </c>
      <c r="J11" s="30">
        <v>0.19082617647058819</v>
      </c>
      <c r="K11" s="30">
        <v>0.21526539128408353</v>
      </c>
      <c r="L11" s="30">
        <v>0.16123546987146123</v>
      </c>
      <c r="M11" s="30">
        <v>7.4558165002674467E-2</v>
      </c>
      <c r="N11" s="30">
        <v>1.1042010856738258</v>
      </c>
      <c r="O11" s="30">
        <v>4.7030840954599147E-2</v>
      </c>
      <c r="P11" s="30">
        <v>0.26386022668242376</v>
      </c>
      <c r="Q11" s="30">
        <v>2.5158185820628488E-2</v>
      </c>
      <c r="R11" s="29">
        <v>1.4428026186914344</v>
      </c>
      <c r="S11" s="29">
        <v>2.8350834486919205</v>
      </c>
    </row>
    <row r="12" spans="1:19" ht="15" customHeight="1">
      <c r="A12" s="27" t="s">
        <v>135</v>
      </c>
      <c r="B12" s="28">
        <v>120</v>
      </c>
      <c r="C12" s="29">
        <v>1.133866666666667</v>
      </c>
      <c r="D12" s="29">
        <v>1.2045954206173648</v>
      </c>
      <c r="E12" s="30">
        <v>0.8612493333333332</v>
      </c>
      <c r="F12" s="30">
        <v>0.13237907678395969</v>
      </c>
      <c r="G12" s="30">
        <v>0.11690349945349224</v>
      </c>
      <c r="H12" s="30">
        <v>0.16495722943564825</v>
      </c>
      <c r="I12" s="30">
        <v>0.13789987765688591</v>
      </c>
      <c r="J12" s="30">
        <v>5.7365916666666662E-2</v>
      </c>
      <c r="K12" s="30">
        <v>0.23414996683002448</v>
      </c>
      <c r="L12" s="30">
        <v>0.15095286327330784</v>
      </c>
      <c r="M12" s="30">
        <v>6.9680115073489923E-2</v>
      </c>
      <c r="N12" s="30">
        <v>0.86068917901079611</v>
      </c>
      <c r="O12" s="30">
        <v>7.0410907551592489E-2</v>
      </c>
      <c r="P12" s="30">
        <v>9.4940013649306848E-3</v>
      </c>
      <c r="Q12" s="30">
        <v>-3.9566603691849375E-2</v>
      </c>
      <c r="R12" s="29">
        <v>0.91352939365721841</v>
      </c>
      <c r="S12" s="29">
        <v>4.5906803951755037</v>
      </c>
    </row>
    <row r="13" spans="1:19" ht="15" customHeight="1">
      <c r="A13" s="27" t="s">
        <v>136</v>
      </c>
      <c r="B13" s="28">
        <v>47</v>
      </c>
      <c r="C13" s="29">
        <v>1.3308823529411764</v>
      </c>
      <c r="D13" s="29">
        <v>0.87686924408769051</v>
      </c>
      <c r="E13" s="30">
        <v>0.75642352941176449</v>
      </c>
      <c r="F13" s="30">
        <v>0.71375565689543519</v>
      </c>
      <c r="G13" s="30">
        <v>0.41648624412913327</v>
      </c>
      <c r="H13" s="30">
        <v>2.0785193881159E-2</v>
      </c>
      <c r="I13" s="30">
        <v>0.11224697427098827</v>
      </c>
      <c r="J13" s="30">
        <v>0.11687765957446808</v>
      </c>
      <c r="K13" s="30">
        <v>0.14453815742179404</v>
      </c>
      <c r="L13" s="30">
        <v>0.13860261924640044</v>
      </c>
      <c r="M13" s="30">
        <v>-5.7414757437388633E-3</v>
      </c>
      <c r="N13" s="30">
        <v>0.75375210792580083</v>
      </c>
      <c r="O13" s="30">
        <v>8.8398567578824069E-2</v>
      </c>
      <c r="P13" s="30">
        <v>0.26132370311253006</v>
      </c>
      <c r="Q13" s="30">
        <v>-0.11329761068153309</v>
      </c>
      <c r="R13" s="29">
        <v>0.80984742482709882</v>
      </c>
      <c r="S13" s="29">
        <v>1.3958870190159041</v>
      </c>
    </row>
    <row r="14" spans="1:19" ht="15" customHeight="1">
      <c r="A14" s="27" t="s">
        <v>137</v>
      </c>
      <c r="B14" s="28">
        <v>24</v>
      </c>
      <c r="C14" s="29">
        <v>1.4294117647058824</v>
      </c>
      <c r="D14" s="29">
        <v>0.96863156162169139</v>
      </c>
      <c r="E14" s="30">
        <v>0.49362941176470593</v>
      </c>
      <c r="F14" s="30">
        <v>0.6839550359278721</v>
      </c>
      <c r="G14" s="30">
        <v>0.4061599159926545</v>
      </c>
      <c r="H14" s="30">
        <v>0.12692913981068166</v>
      </c>
      <c r="I14" s="30">
        <v>0.1410464076048</v>
      </c>
      <c r="J14" s="30">
        <v>0.22977958333333337</v>
      </c>
      <c r="K14" s="30">
        <v>0.34008388496719189</v>
      </c>
      <c r="L14" s="30">
        <v>0.2119194074775137</v>
      </c>
      <c r="M14" s="30">
        <v>4.0831631625663486E-2</v>
      </c>
      <c r="N14" s="30">
        <v>0.90544390897156879</v>
      </c>
      <c r="O14" s="30">
        <v>-0.10040294450226404</v>
      </c>
      <c r="P14" s="30">
        <v>9.4564326354413988E-2</v>
      </c>
      <c r="Q14" s="30">
        <v>-7.8673667837057162E-2</v>
      </c>
      <c r="R14" s="29">
        <v>0.66556626070109282</v>
      </c>
      <c r="S14" s="29">
        <v>2.3288058702996266</v>
      </c>
    </row>
    <row r="15" spans="1:19" ht="15" customHeight="1">
      <c r="A15" s="27" t="s">
        <v>138</v>
      </c>
      <c r="B15" s="28">
        <v>10</v>
      </c>
      <c r="C15" s="29">
        <v>1.1388888888888886</v>
      </c>
      <c r="D15" s="29">
        <v>0.93792736685852529</v>
      </c>
      <c r="E15" s="30">
        <v>0.31752222222222226</v>
      </c>
      <c r="F15" s="30">
        <v>0.28435611740825312</v>
      </c>
      <c r="G15" s="30">
        <v>0.22139974540866844</v>
      </c>
      <c r="H15" s="30">
        <v>7.507563594070156E-2</v>
      </c>
      <c r="I15" s="30">
        <v>0.18028889256779917</v>
      </c>
      <c r="J15" s="30">
        <v>0.10358199999999999</v>
      </c>
      <c r="K15" s="30">
        <v>0.37524222093084686</v>
      </c>
      <c r="L15" s="30">
        <v>0.33512399181150621</v>
      </c>
      <c r="M15" s="30">
        <v>0.10008452638808178</v>
      </c>
      <c r="N15" s="30">
        <v>1.6909463319977722</v>
      </c>
      <c r="O15" s="30">
        <v>-4.6690263616672827E-2</v>
      </c>
      <c r="P15" s="30">
        <v>0.47095790556612749</v>
      </c>
      <c r="Q15" s="30">
        <v>0.36941611785058259</v>
      </c>
      <c r="R15" s="29">
        <v>0.53797668019305656</v>
      </c>
      <c r="S15" s="29">
        <v>3.0655840245126527</v>
      </c>
    </row>
    <row r="16" spans="1:19" ht="15" customHeight="1">
      <c r="A16" s="27" t="s">
        <v>139</v>
      </c>
      <c r="B16" s="28">
        <v>17</v>
      </c>
      <c r="C16" s="29">
        <v>1.2846153846153845</v>
      </c>
      <c r="D16" s="29">
        <v>1.1856012970928704</v>
      </c>
      <c r="E16" s="30">
        <v>0.45143076923076925</v>
      </c>
      <c r="F16" s="30">
        <v>0.18753388378252062</v>
      </c>
      <c r="G16" s="30">
        <v>0.15791876454521836</v>
      </c>
      <c r="H16" s="30">
        <v>0.26353522409025587</v>
      </c>
      <c r="I16" s="30">
        <v>0.21709837608051796</v>
      </c>
      <c r="J16" s="30">
        <v>0.22394941176470584</v>
      </c>
      <c r="K16" s="30">
        <v>0.17138992426779001</v>
      </c>
      <c r="L16" s="30">
        <v>0.14351283978824675</v>
      </c>
      <c r="M16" s="30">
        <v>4.6701447530996219E-2</v>
      </c>
      <c r="N16" s="30">
        <v>1.256072503118808</v>
      </c>
      <c r="O16" s="30">
        <v>0.13107970639325778</v>
      </c>
      <c r="P16" s="30">
        <v>0.15358621741252873</v>
      </c>
      <c r="Q16" s="30">
        <v>0.17101033352831957</v>
      </c>
      <c r="R16" s="29">
        <v>1.5127453153379635</v>
      </c>
      <c r="S16" s="29">
        <v>2.1269914552354936</v>
      </c>
    </row>
    <row r="17" spans="1:19" ht="15" customHeight="1">
      <c r="A17" s="27" t="s">
        <v>140</v>
      </c>
      <c r="B17" s="28">
        <v>31</v>
      </c>
      <c r="C17" s="29">
        <v>1.5120833333333332</v>
      </c>
      <c r="D17" s="29">
        <v>1.3895547081100372</v>
      </c>
      <c r="E17" s="30">
        <v>0.50824999999999998</v>
      </c>
      <c r="F17" s="30">
        <v>0.21066667461138236</v>
      </c>
      <c r="G17" s="30">
        <v>0.1740088159930604</v>
      </c>
      <c r="H17" s="30">
        <v>0.16143024760326422</v>
      </c>
      <c r="I17" s="30">
        <v>0.18993428745458951</v>
      </c>
      <c r="J17" s="30">
        <v>0.23866193548387094</v>
      </c>
      <c r="K17" s="30">
        <v>0.19276079807244709</v>
      </c>
      <c r="L17" s="30">
        <v>0.13116695804585349</v>
      </c>
      <c r="M17" s="30">
        <v>3.4572861658569966E-2</v>
      </c>
      <c r="N17" s="30">
        <v>1.1991123370630383</v>
      </c>
      <c r="O17" s="30">
        <v>0.16422621166106921</v>
      </c>
      <c r="P17" s="30">
        <v>0.18750010397023592</v>
      </c>
      <c r="Q17" s="30">
        <v>0.26079124351167632</v>
      </c>
      <c r="R17" s="29">
        <v>1.4480345529412375</v>
      </c>
      <c r="S17" s="29">
        <v>1.8359014568056038</v>
      </c>
    </row>
    <row r="18" spans="1:19" ht="15" customHeight="1">
      <c r="A18" s="27" t="s">
        <v>141</v>
      </c>
      <c r="B18" s="28">
        <v>83</v>
      </c>
      <c r="C18" s="29">
        <v>1.369333333333334</v>
      </c>
      <c r="D18" s="29">
        <v>1.1950713357106981</v>
      </c>
      <c r="E18" s="30">
        <v>0.7178549999999998</v>
      </c>
      <c r="F18" s="30">
        <v>0.2305532866970911</v>
      </c>
      <c r="G18" s="30">
        <v>0.18735741815449181</v>
      </c>
      <c r="H18" s="30">
        <v>0.16565650911749122</v>
      </c>
      <c r="I18" s="30">
        <v>0.1757848311266749</v>
      </c>
      <c r="J18" s="30">
        <v>0.14845650602409638</v>
      </c>
      <c r="K18" s="30">
        <v>0.14258397260920103</v>
      </c>
      <c r="L18" s="30">
        <v>0.10523844576638464</v>
      </c>
      <c r="M18" s="30">
        <v>3.1071021300563509E-2</v>
      </c>
      <c r="N18" s="30">
        <v>1.0229250191930388</v>
      </c>
      <c r="O18" s="30">
        <v>0.13243806410978504</v>
      </c>
      <c r="P18" s="30">
        <v>0.19881911001571492</v>
      </c>
      <c r="Q18" s="30">
        <v>7.8565540637842615E-2</v>
      </c>
      <c r="R18" s="29">
        <v>1.6703480353263089</v>
      </c>
      <c r="S18" s="29">
        <v>1.5814407360444811</v>
      </c>
    </row>
    <row r="19" spans="1:19" ht="15" customHeight="1">
      <c r="A19" s="27" t="s">
        <v>142</v>
      </c>
      <c r="B19" s="28">
        <v>25</v>
      </c>
      <c r="C19" s="29">
        <v>1.5894736842105268</v>
      </c>
      <c r="D19" s="29">
        <v>1.4481683589538723</v>
      </c>
      <c r="E19" s="30">
        <v>0.65501333333333323</v>
      </c>
      <c r="F19" s="30">
        <v>0.16155440305248003</v>
      </c>
      <c r="G19" s="30">
        <v>0.13908466329939165</v>
      </c>
      <c r="H19" s="30">
        <v>0.21205798245431814</v>
      </c>
      <c r="I19" s="30">
        <v>0.24203500715586318</v>
      </c>
      <c r="J19" s="30">
        <v>0.13170760000000001</v>
      </c>
      <c r="K19" s="30">
        <v>0.23518451095596879</v>
      </c>
      <c r="L19" s="30">
        <v>0.18890742802239585</v>
      </c>
      <c r="M19" s="30">
        <v>0.10059307389230666</v>
      </c>
      <c r="N19" s="30">
        <v>1.1764070680628274</v>
      </c>
      <c r="O19" s="30">
        <v>5.8513859127669883E-2</v>
      </c>
      <c r="P19" s="30">
        <v>0.32731522624506942</v>
      </c>
      <c r="Q19" s="30">
        <v>0.13975323899041359</v>
      </c>
      <c r="R19" s="29">
        <v>1.2812360513805143</v>
      </c>
      <c r="S19" s="29">
        <v>2.638761318863621</v>
      </c>
    </row>
    <row r="20" spans="1:19" ht="15" customHeight="1">
      <c r="A20" s="27" t="s">
        <v>143</v>
      </c>
      <c r="B20" s="28">
        <v>247</v>
      </c>
      <c r="C20" s="29">
        <v>1.0580701754385962</v>
      </c>
      <c r="D20" s="29">
        <v>1.1236119471783494</v>
      </c>
      <c r="E20" s="30">
        <v>0.8188461988304091</v>
      </c>
      <c r="F20" s="30">
        <v>4.6779800336281249E-2</v>
      </c>
      <c r="G20" s="30">
        <v>4.4689246316420218E-2</v>
      </c>
      <c r="H20" s="30">
        <v>0.51477600583440031</v>
      </c>
      <c r="I20" s="30">
        <v>0.41957018432106419</v>
      </c>
      <c r="J20" s="30">
        <v>0.13878400809716596</v>
      </c>
      <c r="K20" s="30">
        <v>0.27372342822686069</v>
      </c>
      <c r="L20" s="30">
        <v>0.19614504602051766</v>
      </c>
      <c r="M20" s="30">
        <v>9.671482491566348E-2</v>
      </c>
      <c r="N20" s="30">
        <v>0.71152138765058326</v>
      </c>
      <c r="O20" s="30">
        <v>-7.7312897065771963E-2</v>
      </c>
      <c r="P20" s="30">
        <v>0.11826531189191182</v>
      </c>
      <c r="Q20" s="30">
        <v>-6.9347088265494294E-2</v>
      </c>
      <c r="R20" s="29">
        <v>2.1390812199109797</v>
      </c>
      <c r="S20" s="29">
        <v>3.4111538836481805</v>
      </c>
    </row>
    <row r="21" spans="1:19" ht="15" customHeight="1">
      <c r="A21" s="27" t="s">
        <v>144</v>
      </c>
      <c r="B21" s="28">
        <v>101</v>
      </c>
      <c r="C21" s="29">
        <v>1.2743181818181819</v>
      </c>
      <c r="D21" s="29">
        <v>1.3137825852361078</v>
      </c>
      <c r="E21" s="30">
        <v>1.0370202247191012</v>
      </c>
      <c r="F21" s="30">
        <v>9.1317944887273544E-2</v>
      </c>
      <c r="G21" s="30">
        <v>8.3676755536816624E-2</v>
      </c>
      <c r="H21" s="30">
        <v>0.64267510808362804</v>
      </c>
      <c r="I21" s="30">
        <v>0.41120805507847286</v>
      </c>
      <c r="J21" s="30">
        <v>8.9425940594059394E-2</v>
      </c>
      <c r="K21" s="30">
        <v>0.13859122485681741</v>
      </c>
      <c r="L21" s="30">
        <v>0.10572626358511883</v>
      </c>
      <c r="M21" s="30">
        <v>4.9357737058662608E-2</v>
      </c>
      <c r="N21" s="30">
        <v>0.84086822888940205</v>
      </c>
      <c r="O21" s="30">
        <v>-9.9596969245719317E-3</v>
      </c>
      <c r="P21" s="30">
        <v>5.495474011165629E-2</v>
      </c>
      <c r="Q21" s="30">
        <v>-5.5729864721909807E-2</v>
      </c>
      <c r="R21" s="29">
        <v>3.8893652450643414</v>
      </c>
      <c r="S21" s="29">
        <v>1.5037170867237559</v>
      </c>
    </row>
    <row r="22" spans="1:19" ht="15" customHeight="1">
      <c r="A22" s="27" t="s">
        <v>145</v>
      </c>
      <c r="B22" s="28">
        <v>111</v>
      </c>
      <c r="C22" s="29">
        <v>1.2187640449438202</v>
      </c>
      <c r="D22" s="29">
        <v>0.7581083750839428</v>
      </c>
      <c r="E22" s="30">
        <v>0.64486179775280905</v>
      </c>
      <c r="F22" s="30">
        <v>0.99769527970220728</v>
      </c>
      <c r="G22" s="30">
        <v>0.49942315519258379</v>
      </c>
      <c r="H22" s="30">
        <v>0.31965428029588117</v>
      </c>
      <c r="I22" s="30">
        <v>0.10983182229730566</v>
      </c>
      <c r="J22" s="30">
        <v>0.17135576576576572</v>
      </c>
      <c r="K22" s="30">
        <v>0.21160514377430883</v>
      </c>
      <c r="L22" s="30">
        <v>0.17083201569593873</v>
      </c>
      <c r="M22" s="30">
        <v>3.7020946087162387E-2</v>
      </c>
      <c r="N22" s="30">
        <v>1.0125903091041095</v>
      </c>
      <c r="O22" s="30">
        <v>0.83435527159134237</v>
      </c>
      <c r="P22" s="30">
        <v>0.19672046801892704</v>
      </c>
      <c r="Q22" s="30">
        <v>-6.3137274272572735E-2</v>
      </c>
      <c r="R22" s="29">
        <v>0.6429229430436133</v>
      </c>
      <c r="S22" s="29">
        <v>2.3903219462607397</v>
      </c>
    </row>
    <row r="23" spans="1:19" ht="15" customHeight="1">
      <c r="A23" s="27" t="s">
        <v>146</v>
      </c>
      <c r="B23" s="28">
        <v>301</v>
      </c>
      <c r="C23" s="29">
        <v>1.1102051282051286</v>
      </c>
      <c r="D23" s="29">
        <v>1.0776832247001416</v>
      </c>
      <c r="E23" s="30">
        <v>1.0028200000000003</v>
      </c>
      <c r="F23" s="30">
        <v>0.14101405220510554</v>
      </c>
      <c r="G23" s="30">
        <v>0.12358660433023053</v>
      </c>
      <c r="H23" s="30">
        <v>0.23991921521388068</v>
      </c>
      <c r="I23" s="30">
        <v>0.2206002808572215</v>
      </c>
      <c r="J23" s="30">
        <v>6.7233189368770777E-2</v>
      </c>
      <c r="K23" s="30">
        <v>0.31672485624874608</v>
      </c>
      <c r="L23" s="30">
        <v>0.23853098526780761</v>
      </c>
      <c r="M23" s="30">
        <v>8.3173944146195875E-2</v>
      </c>
      <c r="N23" s="30">
        <v>0.52496652964565171</v>
      </c>
      <c r="O23" s="30">
        <v>8.9447217537155468E-2</v>
      </c>
      <c r="P23" s="30">
        <v>0.24591623455703257</v>
      </c>
      <c r="Q23" s="30">
        <v>-0.29031415758306839</v>
      </c>
      <c r="R23" s="29">
        <v>0.9248286154922194</v>
      </c>
      <c r="S23" s="29">
        <v>2.9819187612078659</v>
      </c>
    </row>
    <row r="24" spans="1:19" ht="15" customHeight="1">
      <c r="A24" s="27" t="s">
        <v>147</v>
      </c>
      <c r="B24" s="28">
        <v>52</v>
      </c>
      <c r="C24" s="29">
        <v>1.1375</v>
      </c>
      <c r="D24" s="29">
        <v>1.1924475376502095</v>
      </c>
      <c r="E24" s="30">
        <v>0.59883214285714281</v>
      </c>
      <c r="F24" s="30">
        <v>4.5812694540071461E-2</v>
      </c>
      <c r="G24" s="30">
        <v>4.3805831368511947E-2</v>
      </c>
      <c r="H24" s="30">
        <v>0.12344404046054165</v>
      </c>
      <c r="I24" s="30">
        <v>0.16023400039818236</v>
      </c>
      <c r="J24" s="30">
        <v>0.17189826923076917</v>
      </c>
      <c r="K24" s="30">
        <v>0.11949995163614173</v>
      </c>
      <c r="L24" s="30">
        <v>8.1517393826138262E-2</v>
      </c>
      <c r="M24" s="30">
        <v>3.3173555351296333E-2</v>
      </c>
      <c r="N24" s="30">
        <v>1.116835435542133</v>
      </c>
      <c r="O24" s="30">
        <v>-8.7819650919293113E-2</v>
      </c>
      <c r="P24" s="30">
        <v>1.1690449908011371E-2</v>
      </c>
      <c r="Q24" s="30">
        <v>-1.1926571988748571E-2</v>
      </c>
      <c r="R24" s="29">
        <v>1.9656418449776776</v>
      </c>
      <c r="S24" s="29">
        <v>3.9243751313547195</v>
      </c>
    </row>
    <row r="25" spans="1:19" ht="15" customHeight="1">
      <c r="A25" s="27" t="s">
        <v>148</v>
      </c>
      <c r="B25" s="28">
        <v>37</v>
      </c>
      <c r="C25" s="29">
        <v>0.79400000000000004</v>
      </c>
      <c r="D25" s="29">
        <v>0.84050835530069157</v>
      </c>
      <c r="E25" s="30">
        <v>0.69910999999999968</v>
      </c>
      <c r="F25" s="30">
        <v>8.885795192802752E-2</v>
      </c>
      <c r="G25" s="30">
        <v>8.1606560130903963E-2</v>
      </c>
      <c r="H25" s="30">
        <v>0.42528052359255575</v>
      </c>
      <c r="I25" s="30">
        <v>0.33527755594056735</v>
      </c>
      <c r="J25" s="30">
        <v>0.27323081081081074</v>
      </c>
      <c r="K25" s="30">
        <v>0.18532948361267557</v>
      </c>
      <c r="L25" s="30">
        <v>0.11765678205876365</v>
      </c>
      <c r="M25" s="30">
        <v>7.0554386917283038E-2</v>
      </c>
      <c r="N25" s="30">
        <v>1.3032743827700932</v>
      </c>
      <c r="O25" s="30">
        <v>-9.5511976657392916E-2</v>
      </c>
      <c r="P25" s="30">
        <v>2.9781185536802625E-2</v>
      </c>
      <c r="Q25" s="30">
        <v>-1.6101203562726228E-2</v>
      </c>
      <c r="R25" s="29">
        <v>2.8496237112206</v>
      </c>
      <c r="S25" s="29">
        <v>1.5484752663364318</v>
      </c>
    </row>
    <row r="26" spans="1:19" ht="15" customHeight="1">
      <c r="A26" s="27" t="s">
        <v>149</v>
      </c>
      <c r="B26" s="28">
        <v>23</v>
      </c>
      <c r="C26" s="29">
        <v>0.78043478260869559</v>
      </c>
      <c r="D26" s="29">
        <v>0.46398538954196528</v>
      </c>
      <c r="E26" s="30">
        <v>0.2747772727272727</v>
      </c>
      <c r="F26" s="30">
        <v>0.96840839413852542</v>
      </c>
      <c r="G26" s="30">
        <v>0.4919753426281997</v>
      </c>
      <c r="H26" s="30">
        <v>0.10283941205612016</v>
      </c>
      <c r="I26" s="30">
        <v>0.10208856749051962</v>
      </c>
      <c r="J26" s="30">
        <v>0.2540030434782608</v>
      </c>
      <c r="K26" s="30">
        <v>0.26771275995761867</v>
      </c>
      <c r="L26" s="30">
        <v>0.1855309648371409</v>
      </c>
      <c r="M26" s="30">
        <v>8.5467150890457352E-2</v>
      </c>
      <c r="N26" s="30">
        <v>1.9832882914096965</v>
      </c>
      <c r="O26" s="30">
        <v>9.0426197167809988E-2</v>
      </c>
      <c r="P26" s="30">
        <v>0.68927133577126654</v>
      </c>
      <c r="Q26" s="30">
        <v>0.55355034473583964</v>
      </c>
      <c r="R26" s="29">
        <v>0.55025083052919477</v>
      </c>
      <c r="S26" s="29">
        <v>2.1764313744923554</v>
      </c>
    </row>
    <row r="27" spans="1:19" ht="15" customHeight="1">
      <c r="A27" s="27" t="s">
        <v>150</v>
      </c>
      <c r="B27" s="28">
        <v>25</v>
      </c>
      <c r="C27" s="29">
        <v>0.7270833333333333</v>
      </c>
      <c r="D27" s="29">
        <v>0.48975647293764607</v>
      </c>
      <c r="E27" s="30">
        <v>0.25167499999999998</v>
      </c>
      <c r="F27" s="30">
        <v>0.74726972596835795</v>
      </c>
      <c r="G27" s="30">
        <v>0.42767851743909319</v>
      </c>
      <c r="H27" s="30">
        <v>0.12555271887234998</v>
      </c>
      <c r="I27" s="30">
        <v>0.11247793888255177</v>
      </c>
      <c r="J27" s="30">
        <v>0.30561519999999998</v>
      </c>
      <c r="K27" s="30">
        <v>0.28315590821009912</v>
      </c>
      <c r="L27" s="30">
        <v>0.18989041419609953</v>
      </c>
      <c r="M27" s="30">
        <v>4.8793688336150706E-2</v>
      </c>
      <c r="N27" s="30">
        <v>2.2400648108071173</v>
      </c>
      <c r="O27" s="30">
        <v>7.1492715942839541E-2</v>
      </c>
      <c r="P27" s="30">
        <v>0.33423452138402004</v>
      </c>
      <c r="Q27" s="30">
        <v>0.630382383354534</v>
      </c>
      <c r="R27" s="29">
        <v>0.59233078909605186</v>
      </c>
      <c r="S27" s="29">
        <v>2.2335213290086662</v>
      </c>
    </row>
    <row r="28" spans="1:19" ht="15" customHeight="1">
      <c r="A28" s="27" t="s">
        <v>151</v>
      </c>
      <c r="B28" s="28">
        <v>14</v>
      </c>
      <c r="C28" s="29">
        <v>0.74642857142857133</v>
      </c>
      <c r="D28" s="29">
        <v>0.48812175753701181</v>
      </c>
      <c r="E28" s="30">
        <v>0.22036923076923076</v>
      </c>
      <c r="F28" s="30">
        <v>0.83176249518137524</v>
      </c>
      <c r="G28" s="30">
        <v>0.45407769695547623</v>
      </c>
      <c r="H28" s="30">
        <v>0.10333333003798224</v>
      </c>
      <c r="I28" s="30">
        <v>0.10778547424260987</v>
      </c>
      <c r="J28" s="30">
        <v>0.31470571428571426</v>
      </c>
      <c r="K28" s="30">
        <v>0.28358664714513704</v>
      </c>
      <c r="L28" s="30">
        <v>0.19230475596212912</v>
      </c>
      <c r="M28" s="30">
        <v>8.4820617821056599E-2</v>
      </c>
      <c r="N28" s="30">
        <v>2.0089172646686366</v>
      </c>
      <c r="O28" s="30">
        <v>2.0217961843016683E-3</v>
      </c>
      <c r="P28" s="30">
        <v>0.54191141038754398</v>
      </c>
      <c r="Q28" s="30">
        <v>0.63943468841663342</v>
      </c>
      <c r="R28" s="29">
        <v>0.56049302422783676</v>
      </c>
      <c r="S28" s="29">
        <v>2.1347869480038382</v>
      </c>
    </row>
    <row r="29" spans="1:19" ht="15" customHeight="1">
      <c r="A29" s="27" t="s">
        <v>152</v>
      </c>
      <c r="B29" s="28">
        <v>79</v>
      </c>
      <c r="C29" s="29">
        <v>1.3183050847457627</v>
      </c>
      <c r="D29" s="29">
        <v>1.292561810370827</v>
      </c>
      <c r="E29" s="30">
        <v>0.66403898305084719</v>
      </c>
      <c r="F29" s="30">
        <v>0.1090705967116672</v>
      </c>
      <c r="G29" s="30">
        <v>9.8344142415329974E-2</v>
      </c>
      <c r="H29" s="30">
        <v>0.21325385253242238</v>
      </c>
      <c r="I29" s="30">
        <v>0.18442668249501068</v>
      </c>
      <c r="J29" s="30">
        <v>0.15539405063291134</v>
      </c>
      <c r="K29" s="30">
        <v>0.17409437369039041</v>
      </c>
      <c r="L29" s="30">
        <v>0.12659972858953455</v>
      </c>
      <c r="M29" s="30">
        <v>5.7765475847862464E-2</v>
      </c>
      <c r="N29" s="30">
        <v>1.164808852793191</v>
      </c>
      <c r="O29" s="30">
        <v>0.13641384377363991</v>
      </c>
      <c r="P29" s="30">
        <v>0.13962183149603424</v>
      </c>
      <c r="Q29" s="30">
        <v>9.4922570270950912E-2</v>
      </c>
      <c r="R29" s="29">
        <v>1.456769967437801</v>
      </c>
      <c r="S29" s="29">
        <v>2.0757548727887758</v>
      </c>
    </row>
    <row r="30" spans="1:19" ht="15" customHeight="1">
      <c r="A30" s="27" t="s">
        <v>153</v>
      </c>
      <c r="B30" s="28">
        <v>158</v>
      </c>
      <c r="C30" s="29">
        <v>1.1270085470085469</v>
      </c>
      <c r="D30" s="29">
        <v>1.130357556879364</v>
      </c>
      <c r="E30" s="30">
        <v>0.795958974358974</v>
      </c>
      <c r="F30" s="30">
        <v>0.18402434009361585</v>
      </c>
      <c r="G30" s="30">
        <v>0.15542276781156866</v>
      </c>
      <c r="H30" s="30">
        <v>0.13014802359731992</v>
      </c>
      <c r="I30" s="30">
        <v>0.15916727819181992</v>
      </c>
      <c r="J30" s="30">
        <v>0.1284805696202532</v>
      </c>
      <c r="K30" s="30">
        <v>7.8563571743718114E-2</v>
      </c>
      <c r="L30" s="30">
        <v>5.618076424216327E-2</v>
      </c>
      <c r="M30" s="30">
        <v>2.2538685207924677E-2</v>
      </c>
      <c r="N30" s="30">
        <v>0.93464621819449334</v>
      </c>
      <c r="O30" s="30">
        <v>0.12145374519591112</v>
      </c>
      <c r="P30" s="30">
        <v>8.3784541112837355E-2</v>
      </c>
      <c r="Q30" s="30">
        <v>0.10533612725686393</v>
      </c>
      <c r="R30" s="29">
        <v>2.8331276788215352</v>
      </c>
      <c r="S30" s="29">
        <v>0.72143539176026739</v>
      </c>
    </row>
    <row r="31" spans="1:19" ht="15" customHeight="1">
      <c r="A31" s="27" t="s">
        <v>154</v>
      </c>
      <c r="B31" s="28">
        <v>17</v>
      </c>
      <c r="C31" s="29">
        <v>1.6518181818181821</v>
      </c>
      <c r="D31" s="29">
        <v>1.8511813026227535</v>
      </c>
      <c r="E31" s="30">
        <v>1.0629727272727272</v>
      </c>
      <c r="F31" s="30">
        <v>7.9317041628085463E-2</v>
      </c>
      <c r="G31" s="30">
        <v>7.3488176846017772E-2</v>
      </c>
      <c r="H31" s="30">
        <v>0.18069991863415713</v>
      </c>
      <c r="I31" s="30">
        <v>0.20098377038407375</v>
      </c>
      <c r="J31" s="30">
        <v>0.28515235294117647</v>
      </c>
      <c r="K31" s="30">
        <v>6.6898749937024521E-2</v>
      </c>
      <c r="L31" s="30">
        <v>4.5840024761952737E-2</v>
      </c>
      <c r="M31" s="30">
        <v>3.173963423850068E-2</v>
      </c>
      <c r="N31" s="30">
        <v>0.84163602941176474</v>
      </c>
      <c r="O31" s="30">
        <v>3.1554486372109426E-2</v>
      </c>
      <c r="P31" s="30">
        <v>5.6848096961719857E-2</v>
      </c>
      <c r="Q31" s="30">
        <v>8.1587376107476756E-3</v>
      </c>
      <c r="R31" s="29">
        <v>4.3844603363061543</v>
      </c>
      <c r="S31" s="29">
        <v>0.52192427830117394</v>
      </c>
    </row>
    <row r="32" spans="1:19" ht="15" customHeight="1">
      <c r="A32" s="27" t="s">
        <v>155</v>
      </c>
      <c r="B32" s="28">
        <v>75</v>
      </c>
      <c r="C32" s="29">
        <v>1.7184782608695657</v>
      </c>
      <c r="D32" s="29">
        <v>1.3794455610982388</v>
      </c>
      <c r="E32" s="30">
        <v>0.79757608695652193</v>
      </c>
      <c r="F32" s="30">
        <v>0.37988999931923778</v>
      </c>
      <c r="G32" s="30">
        <v>0.27530455290396688</v>
      </c>
      <c r="H32" s="30">
        <v>0.1065218935544761</v>
      </c>
      <c r="I32" s="30">
        <v>0.11563876381600859</v>
      </c>
      <c r="J32" s="30">
        <v>0.14679200000000001</v>
      </c>
      <c r="K32" s="30">
        <v>0.23937353768088626</v>
      </c>
      <c r="L32" s="30">
        <v>0.15414248265455624</v>
      </c>
      <c r="M32" s="30">
        <v>4.1909087048381435E-2</v>
      </c>
      <c r="N32" s="30">
        <v>0.84285108285658616</v>
      </c>
      <c r="O32" s="30">
        <v>9.0529414262811997E-3</v>
      </c>
      <c r="P32" s="30">
        <v>0.12062947802653928</v>
      </c>
      <c r="Q32" s="30">
        <v>-5.4322753687798611E-2</v>
      </c>
      <c r="R32" s="29">
        <v>0.75020696322351899</v>
      </c>
      <c r="S32" s="29">
        <v>2.132255027126309</v>
      </c>
    </row>
    <row r="33" spans="1:19" ht="15" customHeight="1">
      <c r="A33" s="27" t="s">
        <v>156</v>
      </c>
      <c r="B33" s="28">
        <v>31</v>
      </c>
      <c r="C33" s="29">
        <v>1.3880952380952378</v>
      </c>
      <c r="D33" s="29">
        <v>1.554399792711332</v>
      </c>
      <c r="E33" s="30">
        <v>0.81666666666666654</v>
      </c>
      <c r="F33" s="30">
        <v>7.803967363166027E-2</v>
      </c>
      <c r="G33" s="30">
        <v>7.2390354029145426E-2</v>
      </c>
      <c r="H33" s="30">
        <v>-4.04823649083473E-2</v>
      </c>
      <c r="I33" s="30">
        <v>6.8441977703428261E-2</v>
      </c>
      <c r="J33" s="30">
        <v>7.4853548387096763E-2</v>
      </c>
      <c r="K33" s="30">
        <v>6.9185661458574271E-2</v>
      </c>
      <c r="L33" s="30">
        <v>6.3758101552019233E-2</v>
      </c>
      <c r="M33" s="30">
        <v>3.6065365221816172E-2</v>
      </c>
      <c r="N33" s="30">
        <v>0.46248653307476828</v>
      </c>
      <c r="O33" s="30">
        <v>-0.10582527640283113</v>
      </c>
      <c r="P33" s="30" t="s">
        <v>125</v>
      </c>
      <c r="Q33" s="30">
        <v>-0.62925415146787911</v>
      </c>
      <c r="R33" s="29">
        <v>1.0734632311407128</v>
      </c>
      <c r="S33" s="29">
        <v>2.747675440625434</v>
      </c>
    </row>
    <row r="34" spans="1:19" ht="15" customHeight="1">
      <c r="A34" s="27" t="s">
        <v>157</v>
      </c>
      <c r="B34" s="28">
        <v>69</v>
      </c>
      <c r="C34" s="29">
        <v>0.84940000000000038</v>
      </c>
      <c r="D34" s="29">
        <v>0.63775277715200762</v>
      </c>
      <c r="E34" s="30">
        <v>0.86151600000000017</v>
      </c>
      <c r="F34" s="30">
        <v>0.41129687429321032</v>
      </c>
      <c r="G34" s="30">
        <v>0.29143186085435868</v>
      </c>
      <c r="H34" s="30">
        <v>0.12250138538355741</v>
      </c>
      <c r="I34" s="30">
        <v>0.11998650742161582</v>
      </c>
      <c r="J34" s="30">
        <v>0.11019159420289854</v>
      </c>
      <c r="K34" s="30">
        <v>0.23569797373944898</v>
      </c>
      <c r="L34" s="30">
        <v>0.14291599990326476</v>
      </c>
      <c r="M34" s="30">
        <v>3.5685468863978102E-2</v>
      </c>
      <c r="N34" s="30">
        <v>0.92036839445162022</v>
      </c>
      <c r="O34" s="30">
        <v>8.1461301415747464E-3</v>
      </c>
      <c r="P34" s="30">
        <v>0.23534198016139102</v>
      </c>
      <c r="Q34" s="30">
        <v>-2.3711386281651096E-2</v>
      </c>
      <c r="R34" s="29">
        <v>0.83955965394239152</v>
      </c>
      <c r="S34" s="29">
        <v>2.2643338841498819</v>
      </c>
    </row>
    <row r="35" spans="1:19" ht="15" customHeight="1">
      <c r="A35" s="27" t="s">
        <v>158</v>
      </c>
      <c r="B35" s="28">
        <v>230</v>
      </c>
      <c r="C35" s="29">
        <v>1.3716901408450701</v>
      </c>
      <c r="D35" s="29">
        <v>0.75265504670613925</v>
      </c>
      <c r="E35" s="30">
        <v>0.91510559440559458</v>
      </c>
      <c r="F35" s="30">
        <v>1.3582800358058098</v>
      </c>
      <c r="G35" s="30">
        <v>0.57596214833820303</v>
      </c>
      <c r="H35" s="30" t="s">
        <v>125</v>
      </c>
      <c r="I35" s="30">
        <v>6.8230074999462778E-2</v>
      </c>
      <c r="J35" s="30">
        <v>0.18626310409996902</v>
      </c>
      <c r="K35" s="30">
        <v>0.25787541000656894</v>
      </c>
      <c r="L35" s="30">
        <v>0.20571478678810046</v>
      </c>
      <c r="M35" s="30">
        <v>5.5371168098648428E-2</v>
      </c>
      <c r="N35" s="30">
        <v>3.8060624677119832</v>
      </c>
      <c r="O35" s="30">
        <v>4.6041522309007633E-2</v>
      </c>
      <c r="P35" s="30" t="s">
        <v>125</v>
      </c>
      <c r="Q35" s="30">
        <v>0.24396213735631592</v>
      </c>
      <c r="R35" s="29">
        <v>0.33167316781046063</v>
      </c>
      <c r="S35" s="29">
        <v>5.0762396368727885</v>
      </c>
    </row>
    <row r="36" spans="1:19" ht="15" customHeight="1">
      <c r="A36" s="27" t="s">
        <v>159</v>
      </c>
      <c r="B36" s="28">
        <v>109</v>
      </c>
      <c r="C36" s="29">
        <v>0.86878378378378351</v>
      </c>
      <c r="D36" s="29">
        <v>0.73712696108324138</v>
      </c>
      <c r="E36" s="30">
        <v>0.57644800000000018</v>
      </c>
      <c r="F36" s="30">
        <v>0.28975048245735008</v>
      </c>
      <c r="G36" s="30">
        <v>0.22465623110703642</v>
      </c>
      <c r="H36" s="30">
        <v>0.20963115992501449</v>
      </c>
      <c r="I36" s="30">
        <v>0.15799778345528351</v>
      </c>
      <c r="J36" s="30">
        <v>0.21801963302752295</v>
      </c>
      <c r="K36" s="30">
        <v>0.11037082714457241</v>
      </c>
      <c r="L36" s="30">
        <v>7.8112299643622568E-2</v>
      </c>
      <c r="M36" s="30">
        <v>2.6954791576810633E-2</v>
      </c>
      <c r="N36" s="30">
        <v>1.3062719641024827</v>
      </c>
      <c r="O36" s="30">
        <v>6.9800060173799514E-2</v>
      </c>
      <c r="P36" s="30">
        <v>0.23807687905671801</v>
      </c>
      <c r="Q36" s="30">
        <v>0.11355352967696297</v>
      </c>
      <c r="R36" s="29">
        <v>2.0227004476392105</v>
      </c>
      <c r="S36" s="29">
        <v>1.1016546842732167</v>
      </c>
    </row>
    <row r="37" spans="1:19" ht="15" customHeight="1">
      <c r="A37" s="27" t="s">
        <v>160</v>
      </c>
      <c r="B37" s="28">
        <v>9</v>
      </c>
      <c r="C37" s="29">
        <v>1.1375</v>
      </c>
      <c r="D37" s="29">
        <v>1.2290129303759036</v>
      </c>
      <c r="E37" s="30">
        <v>0.3334125</v>
      </c>
      <c r="F37" s="30">
        <v>0.29546551414624994</v>
      </c>
      <c r="G37" s="30">
        <v>0.22807671135959989</v>
      </c>
      <c r="H37" s="30">
        <v>-1.4845404652942642E-2</v>
      </c>
      <c r="I37" s="30">
        <v>0.11680552073390825</v>
      </c>
      <c r="J37" s="30">
        <v>0.30062777777777777</v>
      </c>
      <c r="K37" s="30">
        <v>8.3411374248364409E-2</v>
      </c>
      <c r="L37" s="30">
        <v>5.3842380053949784E-2</v>
      </c>
      <c r="M37" s="30">
        <v>1.6946314803693702E-2</v>
      </c>
      <c r="N37" s="30">
        <v>0.75635702473460531</v>
      </c>
      <c r="O37" s="30">
        <v>2.7482112802699025E-2</v>
      </c>
      <c r="P37" s="30" t="s">
        <v>125</v>
      </c>
      <c r="Q37" s="30">
        <v>-0.18303621274085721</v>
      </c>
      <c r="R37" s="29">
        <v>2.1693974266529401</v>
      </c>
      <c r="S37" s="29">
        <v>0.60466357137916682</v>
      </c>
    </row>
    <row r="38" spans="1:19" ht="15" customHeight="1">
      <c r="A38" s="27" t="s">
        <v>161</v>
      </c>
      <c r="B38" s="28">
        <v>5</v>
      </c>
      <c r="C38" s="29">
        <v>1.2225000000000001</v>
      </c>
      <c r="D38" s="29">
        <v>0.93866473574439746</v>
      </c>
      <c r="E38" s="30">
        <v>0.35580000000000001</v>
      </c>
      <c r="F38" s="30">
        <v>0.50783080300319128</v>
      </c>
      <c r="G38" s="30">
        <v>0.33679561525850887</v>
      </c>
      <c r="H38" s="30">
        <v>0.13324292502417895</v>
      </c>
      <c r="I38" s="30">
        <v>0.1065580068212824</v>
      </c>
      <c r="J38" s="30">
        <v>0.29017599999999999</v>
      </c>
      <c r="K38" s="30">
        <v>0.20614087898856112</v>
      </c>
      <c r="L38" s="30">
        <v>0.1316674612883805</v>
      </c>
      <c r="M38" s="30">
        <v>9.0716435881998805E-2</v>
      </c>
      <c r="N38" s="30">
        <v>0.72369765066394265</v>
      </c>
      <c r="O38" s="30">
        <v>4.3178807947019865E-2</v>
      </c>
      <c r="P38" s="30">
        <v>0.44186367587705683</v>
      </c>
      <c r="Q38" s="30">
        <v>-6.0045301103366561E-2</v>
      </c>
      <c r="R38" s="29">
        <v>0.80929643344377311</v>
      </c>
      <c r="S38" s="29">
        <v>1.8843588199879591</v>
      </c>
    </row>
    <row r="39" spans="1:19" ht="15" customHeight="1">
      <c r="A39" s="27" t="s">
        <v>162</v>
      </c>
      <c r="B39" s="28">
        <v>30</v>
      </c>
      <c r="C39" s="29">
        <v>1.6672</v>
      </c>
      <c r="D39" s="29">
        <v>1.4934569486237197</v>
      </c>
      <c r="E39" s="30">
        <v>0.64919999999999989</v>
      </c>
      <c r="F39" s="30">
        <v>0.26183159745828016</v>
      </c>
      <c r="G39" s="30">
        <v>0.20750122122927506</v>
      </c>
      <c r="H39" s="30">
        <v>6.637561758739563E-2</v>
      </c>
      <c r="I39" s="30">
        <v>0.11990730642778522</v>
      </c>
      <c r="J39" s="30">
        <v>0.16868166666666665</v>
      </c>
      <c r="K39" s="30">
        <v>7.70933142432077E-2</v>
      </c>
      <c r="L39" s="30">
        <v>5.9789985014371744E-2</v>
      </c>
      <c r="M39" s="30">
        <v>3.3683359091762594E-2</v>
      </c>
      <c r="N39" s="30">
        <v>0.46210590137429264</v>
      </c>
      <c r="O39" s="30">
        <v>0.11990669189548338</v>
      </c>
      <c r="P39" s="30">
        <v>0.50241700404858292</v>
      </c>
      <c r="Q39" s="30">
        <v>-0.24990132133222348</v>
      </c>
      <c r="R39" s="29">
        <v>2.0054747697120687</v>
      </c>
      <c r="S39" s="29">
        <v>0.92167030173472164</v>
      </c>
    </row>
    <row r="40" spans="1:19" ht="15" customHeight="1">
      <c r="A40" s="27" t="s">
        <v>163</v>
      </c>
      <c r="B40" s="28">
        <v>26</v>
      </c>
      <c r="C40" s="29">
        <v>0.94222222222222229</v>
      </c>
      <c r="D40" s="29">
        <v>0.96257701362853909</v>
      </c>
      <c r="E40" s="30">
        <v>0.61221111111111115</v>
      </c>
      <c r="F40" s="30">
        <v>4.8632410523358816E-2</v>
      </c>
      <c r="G40" s="30">
        <v>4.6376985905944877E-2</v>
      </c>
      <c r="H40" s="30">
        <v>0.11593223554408869</v>
      </c>
      <c r="I40" s="30">
        <v>0.17965786824631216</v>
      </c>
      <c r="J40" s="30">
        <v>0.22422769230769229</v>
      </c>
      <c r="K40" s="30">
        <v>0.15144300284376402</v>
      </c>
      <c r="L40" s="30">
        <v>0.10008223851981726</v>
      </c>
      <c r="M40" s="30">
        <v>3.3882842623675219E-2</v>
      </c>
      <c r="N40" s="30">
        <v>0.60166076444010241</v>
      </c>
      <c r="O40" s="30">
        <v>2.2400878074508034E-2</v>
      </c>
      <c r="P40" s="30">
        <v>3.1723852234721801E-2</v>
      </c>
      <c r="Q40" s="30">
        <v>-0.23432665479966375</v>
      </c>
      <c r="R40" s="29">
        <v>1.7951024168063363</v>
      </c>
      <c r="S40" s="29">
        <v>3.6891245625663722</v>
      </c>
    </row>
    <row r="41" spans="1:19" ht="15" customHeight="1">
      <c r="A41" s="27" t="s">
        <v>164</v>
      </c>
      <c r="B41" s="28">
        <v>8</v>
      </c>
      <c r="C41" s="29">
        <v>1.9425000000000001</v>
      </c>
      <c r="D41" s="29">
        <v>1.5547748297095683</v>
      </c>
      <c r="E41" s="30">
        <v>0.70229999999999992</v>
      </c>
      <c r="F41" s="30">
        <v>0.46413864730612631</v>
      </c>
      <c r="G41" s="30">
        <v>0.3170045734125635</v>
      </c>
      <c r="H41" s="30">
        <v>0.20071996561358257</v>
      </c>
      <c r="I41" s="30">
        <v>0.12575208701693491</v>
      </c>
      <c r="J41" s="30">
        <v>0.1997397737556561</v>
      </c>
      <c r="K41" s="30">
        <v>9.8974645207676556E-2</v>
      </c>
      <c r="L41" s="30">
        <v>6.6994521147712788E-2</v>
      </c>
      <c r="M41" s="30">
        <v>4.5476835720738164E-2</v>
      </c>
      <c r="N41" s="30">
        <v>0.3099159074982481</v>
      </c>
      <c r="O41" s="30">
        <v>0.29418358129159522</v>
      </c>
      <c r="P41" s="30">
        <v>0.43292499999999995</v>
      </c>
      <c r="Q41" s="30">
        <v>-0.22526667389584254</v>
      </c>
      <c r="R41" s="29">
        <v>1.8770503149006854</v>
      </c>
      <c r="S41" s="29">
        <v>1.4821304131408661</v>
      </c>
    </row>
    <row r="42" spans="1:19" ht="15" customHeight="1">
      <c r="A42" s="27" t="s">
        <v>165</v>
      </c>
      <c r="B42" s="28">
        <v>24</v>
      </c>
      <c r="C42" s="29">
        <v>1.3899999999999997</v>
      </c>
      <c r="D42" s="29">
        <v>1.0465781406307988</v>
      </c>
      <c r="E42" s="30">
        <v>0.66598636363636377</v>
      </c>
      <c r="F42" s="30">
        <v>0.89045949786830891</v>
      </c>
      <c r="G42" s="30">
        <v>0.47102807485291021</v>
      </c>
      <c r="H42" s="30">
        <v>-1.4493246286535684</v>
      </c>
      <c r="I42" s="30">
        <v>-0.16997860930082312</v>
      </c>
      <c r="J42" s="30">
        <v>6.0700000000000004E-2</v>
      </c>
      <c r="K42" s="30">
        <v>-0.16893649494122698</v>
      </c>
      <c r="L42" s="30">
        <v>-0.17116047916471461</v>
      </c>
      <c r="M42" s="30">
        <v>-7.6655039945125129E-3</v>
      </c>
      <c r="N42" s="30">
        <v>0.38119421360418587</v>
      </c>
      <c r="O42" s="30">
        <v>0.84262027292447084</v>
      </c>
      <c r="P42" s="30" t="s">
        <v>125</v>
      </c>
      <c r="Q42" s="30" t="s">
        <v>125</v>
      </c>
      <c r="R42" s="29">
        <v>0.99309496053259982</v>
      </c>
      <c r="S42" s="29">
        <v>1.2756187118912539</v>
      </c>
    </row>
    <row r="43" spans="1:19" ht="15" customHeight="1">
      <c r="A43" s="27" t="s">
        <v>166</v>
      </c>
      <c r="B43" s="28">
        <v>52</v>
      </c>
      <c r="C43" s="29">
        <v>1.7604545454545459</v>
      </c>
      <c r="D43" s="29">
        <v>1.3278732731122578</v>
      </c>
      <c r="E43" s="30">
        <v>0.75890909090909076</v>
      </c>
      <c r="F43" s="30">
        <v>0.49083624918085644</v>
      </c>
      <c r="G43" s="30">
        <v>0.32923552097056108</v>
      </c>
      <c r="H43" s="30">
        <v>6.3646693765114268E-2</v>
      </c>
      <c r="I43" s="30">
        <v>8.6599487240244494E-2</v>
      </c>
      <c r="J43" s="30">
        <v>0.15927977305027535</v>
      </c>
      <c r="K43" s="30">
        <v>0.18393431986950914</v>
      </c>
      <c r="L43" s="30">
        <v>0.13373951333314646</v>
      </c>
      <c r="M43" s="30">
        <v>7.9305690506443153E-3</v>
      </c>
      <c r="N43" s="30">
        <v>1.6862593372126613</v>
      </c>
      <c r="O43" s="30">
        <v>-1.8100761049729831E-2</v>
      </c>
      <c r="P43" s="30">
        <v>0.16364136820587497</v>
      </c>
      <c r="Q43" s="30">
        <v>0.39180927176095615</v>
      </c>
      <c r="R43" s="29">
        <v>0.64752357087261347</v>
      </c>
      <c r="S43" s="29">
        <v>3.1746897106604113</v>
      </c>
    </row>
    <row r="44" spans="1:19" ht="15" customHeight="1">
      <c r="A44" s="27" t="s">
        <v>167</v>
      </c>
      <c r="B44" s="28">
        <v>22</v>
      </c>
      <c r="C44" s="29">
        <v>1.1676190476190476</v>
      </c>
      <c r="D44" s="29">
        <v>1.0527791184400783</v>
      </c>
      <c r="E44" s="30">
        <v>0.46600476190476192</v>
      </c>
      <c r="F44" s="30">
        <v>0.18383893081963676</v>
      </c>
      <c r="G44" s="30">
        <v>0.1552904926790632</v>
      </c>
      <c r="H44" s="30">
        <v>0.23401430613609311</v>
      </c>
      <c r="I44" s="30">
        <v>0.18456877465608926</v>
      </c>
      <c r="J44" s="30">
        <v>0.27457909090909088</v>
      </c>
      <c r="K44" s="30">
        <v>0.2199597534003381</v>
      </c>
      <c r="L44" s="30">
        <v>0.15539387281189279</v>
      </c>
      <c r="M44" s="30">
        <v>0.11964515157124196</v>
      </c>
      <c r="N44" s="30">
        <v>1.0448483016586694</v>
      </c>
      <c r="O44" s="30">
        <v>3.4235091137301117E-2</v>
      </c>
      <c r="P44" s="30">
        <v>0.48072823270763243</v>
      </c>
      <c r="Q44" s="30">
        <v>2.100572538831897E-2</v>
      </c>
      <c r="R44" s="29">
        <v>1.187748083732447</v>
      </c>
      <c r="S44" s="29">
        <v>2.2343041314765859</v>
      </c>
    </row>
    <row r="45" spans="1:19" ht="15" customHeight="1">
      <c r="A45" s="27" t="s">
        <v>168</v>
      </c>
      <c r="B45" s="28">
        <v>24</v>
      </c>
      <c r="C45" s="29">
        <v>1.4433333333333331</v>
      </c>
      <c r="D45" s="29">
        <v>1.5731850815015116</v>
      </c>
      <c r="E45" s="30">
        <v>0.60191428571428574</v>
      </c>
      <c r="F45" s="30">
        <v>9.1408938706758869E-2</v>
      </c>
      <c r="G45" s="30">
        <v>8.375315197168158E-2</v>
      </c>
      <c r="H45" s="30">
        <v>4.8663886655948556E-2</v>
      </c>
      <c r="I45" s="30">
        <v>0.1012436528085594</v>
      </c>
      <c r="J45" s="30">
        <v>0.23732499999999998</v>
      </c>
      <c r="K45" s="30">
        <v>3.5802793078706256E-2</v>
      </c>
      <c r="L45" s="30">
        <v>1.8279793534054532E-2</v>
      </c>
      <c r="M45" s="30">
        <v>3.655204768738271E-3</v>
      </c>
      <c r="N45" s="30">
        <v>0.67318020797623135</v>
      </c>
      <c r="O45" s="30">
        <v>5.5722209956948897E-2</v>
      </c>
      <c r="P45" s="30">
        <v>0.30587549610205528</v>
      </c>
      <c r="Q45" s="30">
        <v>-0.12802477841974427</v>
      </c>
      <c r="R45" s="29">
        <v>5.5385555980129908</v>
      </c>
      <c r="S45" s="29">
        <v>0.44398388343084227</v>
      </c>
    </row>
    <row r="46" spans="1:19" ht="15" customHeight="1">
      <c r="A46" s="27" t="s">
        <v>169</v>
      </c>
      <c r="B46" s="28">
        <v>137</v>
      </c>
      <c r="C46" s="29">
        <v>0.95821782178217818</v>
      </c>
      <c r="D46" s="29">
        <v>0.8614251229483082</v>
      </c>
      <c r="E46" s="30">
        <v>0.67355643564356438</v>
      </c>
      <c r="F46" s="30">
        <v>0.2625768447530793</v>
      </c>
      <c r="G46" s="30">
        <v>0.20796900073391655</v>
      </c>
      <c r="H46" s="30">
        <v>0.16192343753573146</v>
      </c>
      <c r="I46" s="30">
        <v>0.15413018953478877</v>
      </c>
      <c r="J46" s="30">
        <v>0.20496423357664234</v>
      </c>
      <c r="K46" s="30">
        <v>0.10682702282060735</v>
      </c>
      <c r="L46" s="30">
        <v>7.1399193771009728E-2</v>
      </c>
      <c r="M46" s="30">
        <v>1.8775776038133896E-2</v>
      </c>
      <c r="N46" s="30">
        <v>1.303581986937091</v>
      </c>
      <c r="O46" s="30">
        <v>7.1416318140225032E-2</v>
      </c>
      <c r="P46" s="30">
        <v>9.5221312884545731E-2</v>
      </c>
      <c r="Q46" s="30">
        <v>0.12529651464525809</v>
      </c>
      <c r="R46" s="29">
        <v>2.1587105034982956</v>
      </c>
      <c r="S46" s="29">
        <v>1.1014758234313613</v>
      </c>
    </row>
    <row r="47" spans="1:19" ht="15" customHeight="1">
      <c r="A47" s="27" t="s">
        <v>170</v>
      </c>
      <c r="B47" s="28">
        <v>26</v>
      </c>
      <c r="C47" s="29">
        <v>1.0973684210526315</v>
      </c>
      <c r="D47" s="29">
        <v>0.98079731841567708</v>
      </c>
      <c r="E47" s="30">
        <v>0.4319842105263158</v>
      </c>
      <c r="F47" s="30">
        <v>0.20212200681064654</v>
      </c>
      <c r="G47" s="30">
        <v>0.16813768125491441</v>
      </c>
      <c r="H47" s="30">
        <v>0.15942364564798431</v>
      </c>
      <c r="I47" s="30">
        <v>0.15750064423631055</v>
      </c>
      <c r="J47" s="30">
        <v>0.22440538461538465</v>
      </c>
      <c r="K47" s="30">
        <v>0.21418473294626714</v>
      </c>
      <c r="L47" s="30">
        <v>0.16367645272105605</v>
      </c>
      <c r="M47" s="30">
        <v>5.2653697751550363E-2</v>
      </c>
      <c r="N47" s="30">
        <v>0.70002834601029906</v>
      </c>
      <c r="O47" s="30">
        <v>-2.8653639179107196E-2</v>
      </c>
      <c r="P47" s="30">
        <v>0.1966254604781654</v>
      </c>
      <c r="Q47" s="30">
        <v>-8.8338856284344097E-2</v>
      </c>
      <c r="R47" s="29">
        <v>0.96226819202105651</v>
      </c>
      <c r="S47" s="29">
        <v>2.5793912858847738</v>
      </c>
    </row>
    <row r="48" spans="1:19" ht="15" customHeight="1">
      <c r="A48" s="27" t="s">
        <v>171</v>
      </c>
      <c r="B48" s="28">
        <v>31</v>
      </c>
      <c r="C48" s="29">
        <v>1.386551724137931</v>
      </c>
      <c r="D48" s="29">
        <v>1.4401449036842102</v>
      </c>
      <c r="E48" s="30">
        <v>0.65553793103448288</v>
      </c>
      <c r="F48" s="30">
        <v>0.18282537820136763</v>
      </c>
      <c r="G48" s="30">
        <v>0.15456666856385537</v>
      </c>
      <c r="H48" s="30">
        <v>0.14829293537959939</v>
      </c>
      <c r="I48" s="30" t="s">
        <v>125</v>
      </c>
      <c r="J48" s="30">
        <v>0.20287513797123979</v>
      </c>
      <c r="K48" s="30" t="s">
        <v>125</v>
      </c>
      <c r="L48" s="30" t="s">
        <v>125</v>
      </c>
      <c r="M48" s="30" t="s">
        <v>125</v>
      </c>
      <c r="N48" s="30" t="s">
        <v>125</v>
      </c>
      <c r="O48" s="30" t="s">
        <v>125</v>
      </c>
      <c r="P48" s="30">
        <v>0.23211434676367781</v>
      </c>
      <c r="Q48" s="30">
        <v>7.6869146897735894E-3</v>
      </c>
      <c r="R48" s="29" t="s">
        <v>125</v>
      </c>
      <c r="S48" s="29" t="s">
        <v>125</v>
      </c>
    </row>
    <row r="49" spans="1:19" ht="15" customHeight="1">
      <c r="A49" s="27" t="s">
        <v>172</v>
      </c>
      <c r="B49" s="28">
        <v>67</v>
      </c>
      <c r="C49" s="29">
        <v>0.92230769230769261</v>
      </c>
      <c r="D49" s="29">
        <v>0.94348150075016191</v>
      </c>
      <c r="E49" s="30">
        <v>0.35114800000000007</v>
      </c>
      <c r="F49" s="30">
        <v>0.11118174978804161</v>
      </c>
      <c r="G49" s="30">
        <v>0.10005721369096421</v>
      </c>
      <c r="H49" s="30">
        <v>0.14657699047089143</v>
      </c>
      <c r="I49" s="30" t="s">
        <v>125</v>
      </c>
      <c r="J49" s="30">
        <v>0.19499865671641786</v>
      </c>
      <c r="K49" s="30" t="s">
        <v>125</v>
      </c>
      <c r="L49" s="30" t="s">
        <v>125</v>
      </c>
      <c r="M49" s="30" t="s">
        <v>125</v>
      </c>
      <c r="N49" s="30" t="s">
        <v>125</v>
      </c>
      <c r="O49" s="30" t="s">
        <v>125</v>
      </c>
      <c r="P49" s="30">
        <v>0.18293346024184509</v>
      </c>
      <c r="Q49" s="30">
        <v>0.72419600348652791</v>
      </c>
      <c r="R49" s="29" t="s">
        <v>125</v>
      </c>
      <c r="S49" s="29" t="s">
        <v>125</v>
      </c>
    </row>
    <row r="50" spans="1:19" ht="15" customHeight="1">
      <c r="A50" s="27" t="s">
        <v>173</v>
      </c>
      <c r="B50" s="28">
        <v>180</v>
      </c>
      <c r="C50" s="29">
        <v>1.1068067226890752</v>
      </c>
      <c r="D50" s="29">
        <v>1.2052950491818115</v>
      </c>
      <c r="E50" s="30">
        <v>1.1785521008403357</v>
      </c>
      <c r="F50" s="30">
        <v>1.5667609006401122E-2</v>
      </c>
      <c r="G50" s="30">
        <v>1.5425921696693956E-2</v>
      </c>
      <c r="H50" s="30">
        <v>0.25843261127470829</v>
      </c>
      <c r="I50" s="30">
        <v>0.33773484722521496</v>
      </c>
      <c r="J50" s="30">
        <v>7.8934083333333321E-2</v>
      </c>
      <c r="K50" s="30">
        <v>0.20447033989447516</v>
      </c>
      <c r="L50" s="30">
        <v>0.15521061698514024</v>
      </c>
      <c r="M50" s="30">
        <v>7.731800684687179E-2</v>
      </c>
      <c r="N50" s="30">
        <v>0.89117181314330896</v>
      </c>
      <c r="O50" s="30">
        <v>-4.4365173594288237E-2</v>
      </c>
      <c r="P50" s="30">
        <v>9.2612802471085214E-3</v>
      </c>
      <c r="Q50" s="30">
        <v>-7.1497693709906163E-2</v>
      </c>
      <c r="R50" s="29">
        <v>2.1759777377700229</v>
      </c>
      <c r="S50" s="29">
        <v>4.530894512386662</v>
      </c>
    </row>
    <row r="51" spans="1:19" ht="15" customHeight="1">
      <c r="A51" s="27" t="s">
        <v>174</v>
      </c>
      <c r="B51" s="28">
        <v>114</v>
      </c>
      <c r="C51" s="29">
        <v>1.2155882352941181</v>
      </c>
      <c r="D51" s="29">
        <v>1.0499659839672431</v>
      </c>
      <c r="E51" s="30">
        <v>0.68765784313725464</v>
      </c>
      <c r="F51" s="30">
        <v>0.28517755915098564</v>
      </c>
      <c r="G51" s="30">
        <v>0.2218974001844381</v>
      </c>
      <c r="H51" s="30">
        <v>0.19061527898403127</v>
      </c>
      <c r="I51" s="30">
        <v>0.15268584672741331</v>
      </c>
      <c r="J51" s="30">
        <v>0.19608429824561402</v>
      </c>
      <c r="K51" s="30">
        <v>0.13689895229608479</v>
      </c>
      <c r="L51" s="30">
        <v>0.10099446608704357</v>
      </c>
      <c r="M51" s="30">
        <v>2.626461394901641E-2</v>
      </c>
      <c r="N51" s="30">
        <v>1.1431248042027133</v>
      </c>
      <c r="O51" s="30">
        <v>0.19075733985397497</v>
      </c>
      <c r="P51" s="30">
        <v>0.14808425985201834</v>
      </c>
      <c r="Q51" s="30">
        <v>0.13861417457639022</v>
      </c>
      <c r="R51" s="29">
        <v>1.5118238913785509</v>
      </c>
      <c r="S51" s="29">
        <v>1.6349578741423592</v>
      </c>
    </row>
    <row r="52" spans="1:19" ht="15" customHeight="1">
      <c r="A52" s="27" t="s">
        <v>175</v>
      </c>
      <c r="B52" s="28">
        <v>53</v>
      </c>
      <c r="C52" s="29">
        <v>1.3708333333333333</v>
      </c>
      <c r="D52" s="29">
        <v>0.64102669410548541</v>
      </c>
      <c r="E52" s="30">
        <v>0.49511724137931024</v>
      </c>
      <c r="F52" s="30">
        <v>1.3870886804319604</v>
      </c>
      <c r="G52" s="30">
        <v>0.58107966067727201</v>
      </c>
      <c r="H52" s="30">
        <v>0.15415645501611316</v>
      </c>
      <c r="I52" s="30">
        <v>0.11336790072037911</v>
      </c>
      <c r="J52" s="30">
        <v>6.5352909387374786E-2</v>
      </c>
      <c r="K52" s="30">
        <v>0.33835032036495977</v>
      </c>
      <c r="L52" s="30">
        <v>0.30956028403285629</v>
      </c>
      <c r="M52" s="30">
        <v>3.3705736705689916E-2</v>
      </c>
      <c r="N52" s="30">
        <v>2.7822882024205438</v>
      </c>
      <c r="O52" s="30">
        <v>4.2087598365971597E-2</v>
      </c>
      <c r="P52" s="30">
        <v>9.5637684357586197E-2</v>
      </c>
      <c r="Q52" s="30">
        <v>0.76910584273335425</v>
      </c>
      <c r="R52" s="29">
        <v>0.36622236949603781</v>
      </c>
      <c r="S52" s="29">
        <v>2.9616832364995425</v>
      </c>
    </row>
    <row r="53" spans="1:19" ht="15" customHeight="1">
      <c r="A53" s="27" t="s">
        <v>176</v>
      </c>
      <c r="B53" s="28">
        <v>139</v>
      </c>
      <c r="C53" s="29">
        <v>0.88217054263565853</v>
      </c>
      <c r="D53" s="29">
        <v>0.79606902235206034</v>
      </c>
      <c r="E53" s="30">
        <v>2.3725396226415092</v>
      </c>
      <c r="F53" s="30">
        <v>0.38699181925705023</v>
      </c>
      <c r="G53" s="30">
        <v>0.27901521399336332</v>
      </c>
      <c r="H53" s="30">
        <v>0.21488002396078157</v>
      </c>
      <c r="I53" s="30">
        <v>0.16708998063089006</v>
      </c>
      <c r="J53" s="30">
        <v>0.20560381294964025</v>
      </c>
      <c r="K53" s="30">
        <v>9.3728303877978994E-2</v>
      </c>
      <c r="L53" s="30">
        <v>6.1269240455243887E-2</v>
      </c>
      <c r="M53" s="30">
        <v>3.1461137817315875E-2</v>
      </c>
      <c r="N53" s="30">
        <v>1.0441066079233345</v>
      </c>
      <c r="O53" s="30">
        <v>-6.7397670651508534E-2</v>
      </c>
      <c r="P53" s="30">
        <v>2.6290913110616772E-2</v>
      </c>
      <c r="Q53" s="30">
        <v>3.3253757584433049E-3</v>
      </c>
      <c r="R53" s="29">
        <v>2.7271430066600284</v>
      </c>
      <c r="S53" s="29">
        <v>0.61649965947530661</v>
      </c>
    </row>
    <row r="54" spans="1:19" ht="15" customHeight="1">
      <c r="A54" s="27" t="s">
        <v>177</v>
      </c>
      <c r="B54" s="28">
        <v>231</v>
      </c>
      <c r="C54" s="29">
        <v>1.0213253012048185</v>
      </c>
      <c r="D54" s="29">
        <v>1.0056614207123982</v>
      </c>
      <c r="E54" s="30">
        <v>0.85102951807228966</v>
      </c>
      <c r="F54" s="30">
        <v>0.11475576381164898</v>
      </c>
      <c r="G54" s="30">
        <v>0.10294251668120405</v>
      </c>
      <c r="H54" s="30">
        <v>0.25332291298090986</v>
      </c>
      <c r="I54" s="30">
        <v>0.22361883879010264</v>
      </c>
      <c r="J54" s="30">
        <v>0.13121757575757578</v>
      </c>
      <c r="K54" s="30">
        <v>0.12068342331647516</v>
      </c>
      <c r="L54" s="30">
        <v>9.0238077102368475E-2</v>
      </c>
      <c r="M54" s="30">
        <v>3.7422417859537947E-2</v>
      </c>
      <c r="N54" s="30">
        <v>0.9411202541300604</v>
      </c>
      <c r="O54" s="30">
        <v>6.631898141008262E-2</v>
      </c>
      <c r="P54" s="30">
        <v>0.1629462881538869</v>
      </c>
      <c r="Q54" s="30">
        <v>2.1964118669763529E-4</v>
      </c>
      <c r="R54" s="29">
        <v>2.4780984476921364</v>
      </c>
      <c r="S54" s="29">
        <v>1.2703205569156257</v>
      </c>
    </row>
    <row r="55" spans="1:19" ht="15" customHeight="1">
      <c r="A55" s="27" t="s">
        <v>178</v>
      </c>
      <c r="B55" s="28">
        <v>30</v>
      </c>
      <c r="C55" s="29">
        <v>1.4411111111111112</v>
      </c>
      <c r="D55" s="29">
        <v>1.4447870650282222</v>
      </c>
      <c r="E55" s="30">
        <v>0.56859444444444451</v>
      </c>
      <c r="F55" s="30">
        <v>0.18236574370105049</v>
      </c>
      <c r="G55" s="30">
        <v>0.15423801363714068</v>
      </c>
      <c r="H55" s="30">
        <v>0.17490366522384448</v>
      </c>
      <c r="I55" s="30">
        <v>0.18193152666943946</v>
      </c>
      <c r="J55" s="30">
        <v>0.22509866666666667</v>
      </c>
      <c r="K55" s="30">
        <v>0.16064074334690254</v>
      </c>
      <c r="L55" s="30">
        <v>0.11909147381711939</v>
      </c>
      <c r="M55" s="30">
        <v>3.7328321914550593E-2</v>
      </c>
      <c r="N55" s="30">
        <v>1.8410563336829759</v>
      </c>
      <c r="O55" s="30">
        <v>0.16157557250418897</v>
      </c>
      <c r="P55" s="30">
        <v>0.14708652838316855</v>
      </c>
      <c r="Q55" s="30">
        <v>0.26225096044964125</v>
      </c>
      <c r="R55" s="29">
        <v>1.5276620637747689</v>
      </c>
      <c r="S55" s="29">
        <v>1.4839974438837356</v>
      </c>
    </row>
    <row r="56" spans="1:19" ht="15" customHeight="1">
      <c r="A56" s="27" t="s">
        <v>179</v>
      </c>
      <c r="B56" s="28">
        <v>69</v>
      </c>
      <c r="C56" s="29">
        <v>1.3289062500000004</v>
      </c>
      <c r="D56" s="29">
        <v>1.2469870108753596</v>
      </c>
      <c r="E56" s="30">
        <v>1.107635897435898</v>
      </c>
      <c r="F56" s="30">
        <v>0.11006905049211201</v>
      </c>
      <c r="G56" s="30">
        <v>9.9155138541441729E-2</v>
      </c>
      <c r="H56" s="30">
        <v>0.17172800986989889</v>
      </c>
      <c r="I56" s="30">
        <v>0.18608783453602806</v>
      </c>
      <c r="J56" s="30">
        <v>7.0714782608695653E-2</v>
      </c>
      <c r="K56" s="30">
        <v>0.3567147322028455</v>
      </c>
      <c r="L56" s="30">
        <v>0.22325898876977526</v>
      </c>
      <c r="M56" s="30">
        <v>3.9833748503811911E-2</v>
      </c>
      <c r="N56" s="30">
        <v>2.1729555803997496</v>
      </c>
      <c r="O56" s="30">
        <v>0.10370983685729324</v>
      </c>
      <c r="P56" s="30">
        <v>0.26078164653140601</v>
      </c>
      <c r="Q56" s="30">
        <v>0.45015739347174322</v>
      </c>
      <c r="R56" s="29">
        <v>0.83350657261966676</v>
      </c>
      <c r="S56" s="29">
        <v>4.4885824053160732</v>
      </c>
    </row>
    <row r="57" spans="1:19" ht="15" customHeight="1">
      <c r="A57" s="27" t="s">
        <v>180</v>
      </c>
      <c r="B57" s="28">
        <v>32</v>
      </c>
      <c r="C57" s="29">
        <v>1.2535714285714283</v>
      </c>
      <c r="D57" s="29">
        <v>0.98696549657359478</v>
      </c>
      <c r="E57" s="30">
        <v>0.46433571428571435</v>
      </c>
      <c r="F57" s="30">
        <v>0.34979392659885011</v>
      </c>
      <c r="G57" s="30">
        <v>0.25914617017150543</v>
      </c>
      <c r="H57" s="30">
        <v>0.10497368926445169</v>
      </c>
      <c r="I57" s="30">
        <v>0.1407536459284785</v>
      </c>
      <c r="J57" s="30">
        <v>0.15066218749999999</v>
      </c>
      <c r="K57" s="30">
        <v>0.42074655722517651</v>
      </c>
      <c r="L57" s="30">
        <v>0.32406876794945438</v>
      </c>
      <c r="M57" s="30">
        <v>0.16373237479387082</v>
      </c>
      <c r="N57" s="30">
        <v>2.6237877636242093</v>
      </c>
      <c r="O57" s="30">
        <v>-2.7051564729206417E-3</v>
      </c>
      <c r="P57" s="30">
        <v>0.27812303821815865</v>
      </c>
      <c r="Q57" s="30">
        <v>0.99831471650174797</v>
      </c>
      <c r="R57" s="29">
        <v>0.43433264741646471</v>
      </c>
      <c r="S57" s="29">
        <v>4.0042986048062845</v>
      </c>
    </row>
    <row r="58" spans="1:19" ht="15" customHeight="1">
      <c r="A58" s="27" t="s">
        <v>181</v>
      </c>
      <c r="B58" s="28">
        <v>27</v>
      </c>
      <c r="C58" s="29">
        <v>0.64565217391304353</v>
      </c>
      <c r="D58" s="29">
        <v>0.44794571236445518</v>
      </c>
      <c r="E58" s="30">
        <v>0.29393043478260866</v>
      </c>
      <c r="F58" s="30">
        <v>0.62043727401056203</v>
      </c>
      <c r="G58" s="30">
        <v>0.38288262308048954</v>
      </c>
      <c r="H58" s="30">
        <v>0.11819080517114221</v>
      </c>
      <c r="I58" s="30">
        <v>0.11376337992735823</v>
      </c>
      <c r="J58" s="30">
        <v>0.23930222222222219</v>
      </c>
      <c r="K58" s="30">
        <v>0.16799246507880675</v>
      </c>
      <c r="L58" s="30">
        <v>0.11263138737276884</v>
      </c>
      <c r="M58" s="30">
        <v>2.4880002723342447E-2</v>
      </c>
      <c r="N58" s="30">
        <v>1.6449335730258254</v>
      </c>
      <c r="O58" s="30">
        <v>7.102704052106619E-2</v>
      </c>
      <c r="P58" s="30">
        <v>0.32791741541118452</v>
      </c>
      <c r="Q58" s="30">
        <v>0.29963379082962588</v>
      </c>
      <c r="R58" s="29">
        <v>1.0100504182803227</v>
      </c>
      <c r="S58" s="29">
        <v>1.4834103055817174</v>
      </c>
    </row>
    <row r="59" spans="1:19" ht="15" customHeight="1">
      <c r="A59" s="27" t="s">
        <v>182</v>
      </c>
      <c r="B59" s="28">
        <v>13</v>
      </c>
      <c r="C59" s="29">
        <v>1.71</v>
      </c>
      <c r="D59" s="29">
        <v>1.3400105690906565</v>
      </c>
      <c r="E59" s="30">
        <v>0.64470000000000016</v>
      </c>
      <c r="F59" s="30">
        <v>0.46802022926143061</v>
      </c>
      <c r="G59" s="30">
        <v>0.31881047681263508</v>
      </c>
      <c r="H59" s="30">
        <v>6.7661083834258687E-2</v>
      </c>
      <c r="I59" s="30">
        <v>0.10067488251026481</v>
      </c>
      <c r="J59" s="30">
        <v>0.2943638461538462</v>
      </c>
      <c r="K59" s="30">
        <v>0.16175802439353601</v>
      </c>
      <c r="L59" s="30">
        <v>8.2513868889057373E-2</v>
      </c>
      <c r="M59" s="30">
        <v>2.8193000140720889E-2</v>
      </c>
      <c r="N59" s="30">
        <v>0.43153746812808369</v>
      </c>
      <c r="O59" s="30">
        <v>-1.8443052552073919E-2</v>
      </c>
      <c r="P59" s="30">
        <v>0.15421945272986642</v>
      </c>
      <c r="Q59" s="30">
        <v>-0.59728323402120531</v>
      </c>
      <c r="R59" s="29">
        <v>1.2200964985125775</v>
      </c>
      <c r="S59" s="29">
        <v>1.526632146970049</v>
      </c>
    </row>
    <row r="60" spans="1:19" ht="15" customHeight="1">
      <c r="A60" s="27" t="s">
        <v>183</v>
      </c>
      <c r="B60" s="28">
        <v>24</v>
      </c>
      <c r="C60" s="29">
        <v>1.4523809523809521</v>
      </c>
      <c r="D60" s="29">
        <v>1.1937584448966996</v>
      </c>
      <c r="E60" s="30">
        <v>0.57339523809523807</v>
      </c>
      <c r="F60" s="30">
        <v>0.45108921908880861</v>
      </c>
      <c r="G60" s="30">
        <v>0.31086249773950075</v>
      </c>
      <c r="H60" s="30">
        <v>0.18698782005354647</v>
      </c>
      <c r="I60" s="30">
        <v>0.14738891230903711</v>
      </c>
      <c r="J60" s="30">
        <v>0.14806291666666666</v>
      </c>
      <c r="K60" s="30">
        <v>8.1085877806716986E-2</v>
      </c>
      <c r="L60" s="30">
        <v>5.7534308607226095E-2</v>
      </c>
      <c r="M60" s="30">
        <v>3.6641691834339643E-2</v>
      </c>
      <c r="N60" s="30">
        <v>0.50660597760412462</v>
      </c>
      <c r="O60" s="30">
        <v>7.287959895441011E-2</v>
      </c>
      <c r="P60" s="30">
        <v>0.43250868641065615</v>
      </c>
      <c r="Q60" s="30">
        <v>-8.3676242204617099E-2</v>
      </c>
      <c r="R60" s="29">
        <v>2.5617569043060615</v>
      </c>
      <c r="S60" s="29">
        <v>0.76315901325405622</v>
      </c>
    </row>
    <row r="61" spans="1:19" ht="15" customHeight="1">
      <c r="A61" s="27" t="s">
        <v>184</v>
      </c>
      <c r="B61" s="28">
        <v>12</v>
      </c>
      <c r="C61" s="29">
        <v>0.97272727272727277</v>
      </c>
      <c r="D61" s="29">
        <v>0.60955818443852949</v>
      </c>
      <c r="E61" s="30">
        <v>0.54092857142857143</v>
      </c>
      <c r="F61" s="30">
        <v>0.75319006236633179</v>
      </c>
      <c r="G61" s="30">
        <v>0.42961118622229066</v>
      </c>
      <c r="H61" s="30">
        <v>0.14554417956261667</v>
      </c>
      <c r="I61" s="30">
        <v>0.11658148248904363</v>
      </c>
      <c r="J61" s="30">
        <v>0.15059999999999998</v>
      </c>
      <c r="K61" s="30">
        <v>0.24786977688845444</v>
      </c>
      <c r="L61" s="30">
        <v>0.20977211483472841</v>
      </c>
      <c r="M61" s="30">
        <v>4.1893240463534348E-2</v>
      </c>
      <c r="N61" s="30">
        <v>3.0287801364158216</v>
      </c>
      <c r="O61" s="30">
        <v>5.3939838292499142E-3</v>
      </c>
      <c r="P61" s="30">
        <v>0.2829170147275239</v>
      </c>
      <c r="Q61" s="30">
        <v>0.87329889474821532</v>
      </c>
      <c r="R61" s="29">
        <v>0.55575300168420294</v>
      </c>
      <c r="S61" s="29">
        <v>2.7303894014378529</v>
      </c>
    </row>
    <row r="62" spans="1:19" ht="15" customHeight="1">
      <c r="A62" s="27" t="s">
        <v>185</v>
      </c>
      <c r="B62" s="28">
        <v>95</v>
      </c>
      <c r="C62" s="29">
        <v>1.4820895522388053</v>
      </c>
      <c r="D62" s="29">
        <v>1.3434446682059584</v>
      </c>
      <c r="E62" s="30">
        <v>0.53492238805970149</v>
      </c>
      <c r="F62" s="30">
        <v>0.18941376681461586</v>
      </c>
      <c r="G62" s="30">
        <v>0.15924968425570465</v>
      </c>
      <c r="H62" s="30">
        <v>0.19663850239738784</v>
      </c>
      <c r="I62" s="30">
        <v>0.19016441575962717</v>
      </c>
      <c r="J62" s="30">
        <v>0.16419705263157891</v>
      </c>
      <c r="K62" s="30">
        <v>0.30579341049103148</v>
      </c>
      <c r="L62" s="30">
        <v>0.23323933455360715</v>
      </c>
      <c r="M62" s="30">
        <v>5.0037507918000511E-2</v>
      </c>
      <c r="N62" s="30">
        <v>2.0510084515469575</v>
      </c>
      <c r="O62" s="30">
        <v>0.16077796406777925</v>
      </c>
      <c r="P62" s="30">
        <v>0.11468143753368108</v>
      </c>
      <c r="Q62" s="30">
        <v>0.41465088781165943</v>
      </c>
      <c r="R62" s="29">
        <v>0.81531880599633699</v>
      </c>
      <c r="S62" s="29">
        <v>2.8706764069724593</v>
      </c>
    </row>
    <row r="63" spans="1:19" ht="15" customHeight="1">
      <c r="A63" s="27" t="s">
        <v>186</v>
      </c>
      <c r="B63" s="28">
        <v>27</v>
      </c>
      <c r="C63" s="29">
        <v>1.0604999999999998</v>
      </c>
      <c r="D63" s="29">
        <v>0.84602157868911809</v>
      </c>
      <c r="E63" s="30">
        <v>0.39807999999999999</v>
      </c>
      <c r="F63" s="30">
        <v>0.44516214245521474</v>
      </c>
      <c r="G63" s="30">
        <v>0.3080361222989968</v>
      </c>
      <c r="H63" s="30">
        <v>0.21122516897992874</v>
      </c>
      <c r="I63" s="30">
        <v>0.17604365814169171</v>
      </c>
      <c r="J63" s="30">
        <v>0.20435666666666669</v>
      </c>
      <c r="K63" s="30">
        <v>0.14385304450577338</v>
      </c>
      <c r="L63" s="30">
        <v>0.10657945755614767</v>
      </c>
      <c r="M63" s="30">
        <v>5.2485407943154413E-2</v>
      </c>
      <c r="N63" s="30">
        <v>0.73300134673807504</v>
      </c>
      <c r="O63" s="30">
        <v>6.5443788859281787E-2</v>
      </c>
      <c r="P63" s="30">
        <v>0.26480519511287104</v>
      </c>
      <c r="Q63" s="30">
        <v>-7.8394307787011203E-2</v>
      </c>
      <c r="R63" s="29">
        <v>1.6517597497524252</v>
      </c>
      <c r="S63" s="29">
        <v>1.1726779596497903</v>
      </c>
    </row>
    <row r="64" spans="1:19" ht="15" customHeight="1">
      <c r="A64" s="27" t="s">
        <v>187</v>
      </c>
      <c r="B64" s="28">
        <v>37</v>
      </c>
      <c r="C64" s="29">
        <v>1.5173076923076922</v>
      </c>
      <c r="D64" s="29">
        <v>1.0129859289534171</v>
      </c>
      <c r="E64" s="30">
        <v>0.64978076923076944</v>
      </c>
      <c r="F64" s="30">
        <v>0.71262840029436414</v>
      </c>
      <c r="G64" s="30">
        <v>0.41610217381183129</v>
      </c>
      <c r="H64" s="30">
        <v>-8.0425923803734589E-2</v>
      </c>
      <c r="I64" s="30">
        <v>0.13127845606494118</v>
      </c>
      <c r="J64" s="30">
        <v>0.15231</v>
      </c>
      <c r="K64" s="30">
        <v>0.14905745568095641</v>
      </c>
      <c r="L64" s="30">
        <v>0.12307844736881951</v>
      </c>
      <c r="M64" s="30">
        <v>1.0393302701818562E-2</v>
      </c>
      <c r="N64" s="30">
        <v>0.57961072801347457</v>
      </c>
      <c r="O64" s="30">
        <v>0.13526401094407514</v>
      </c>
      <c r="P64" s="30" t="s">
        <v>125</v>
      </c>
      <c r="Q64" s="30">
        <v>-0.23961221502383434</v>
      </c>
      <c r="R64" s="29">
        <v>1.0666242455232584</v>
      </c>
      <c r="S64" s="29">
        <v>1.3002875793668496</v>
      </c>
    </row>
    <row r="65" spans="1:19" ht="15" customHeight="1">
      <c r="A65" s="27" t="s">
        <v>188</v>
      </c>
      <c r="B65" s="28">
        <v>23</v>
      </c>
      <c r="C65" s="29">
        <v>1.2108695652173913</v>
      </c>
      <c r="D65" s="29">
        <v>1.1222677313164213</v>
      </c>
      <c r="E65" s="30">
        <v>0.40656956521739135</v>
      </c>
      <c r="F65" s="30">
        <v>0.18372384501721417</v>
      </c>
      <c r="G65" s="30">
        <v>0.15520836704488483</v>
      </c>
      <c r="H65" s="30">
        <v>0.13157538600612292</v>
      </c>
      <c r="I65" s="30">
        <v>0.15117554338526795</v>
      </c>
      <c r="J65" s="30">
        <v>0.27126914830256099</v>
      </c>
      <c r="K65" s="30">
        <v>0.14730524906376588</v>
      </c>
      <c r="L65" s="30">
        <v>8.9100390939243254E-2</v>
      </c>
      <c r="M65" s="30">
        <v>7.1046576019384286E-2</v>
      </c>
      <c r="N65" s="30">
        <v>1.9129761396569069</v>
      </c>
      <c r="O65" s="30">
        <v>2.0128322473163603E-2</v>
      </c>
      <c r="P65" s="30">
        <v>0.47898449859193271</v>
      </c>
      <c r="Q65" s="30">
        <v>0.61479761946232514</v>
      </c>
      <c r="R65" s="29">
        <v>1.6966877674908654</v>
      </c>
      <c r="S65" s="29">
        <v>0.98806857283359617</v>
      </c>
    </row>
    <row r="66" spans="1:19" ht="15" customHeight="1">
      <c r="A66" s="27" t="s">
        <v>189</v>
      </c>
      <c r="B66" s="28">
        <v>163</v>
      </c>
      <c r="C66" s="29">
        <v>1.363977272727273</v>
      </c>
      <c r="D66" s="29">
        <v>1.1672914758523103</v>
      </c>
      <c r="E66" s="30">
        <v>0.91509772727272687</v>
      </c>
      <c r="F66" s="30">
        <v>0.22470753623536352</v>
      </c>
      <c r="G66" s="30">
        <v>0.18347852820934982</v>
      </c>
      <c r="H66" s="30">
        <v>0.10368419279354826</v>
      </c>
      <c r="I66" s="30">
        <v>0.22238979296452602</v>
      </c>
      <c r="J66" s="30">
        <v>8.4652193206991383E-2</v>
      </c>
      <c r="K66" s="30">
        <v>0.42960713503810605</v>
      </c>
      <c r="L66" s="30">
        <v>0.32045807469801163</v>
      </c>
      <c r="M66" s="30">
        <v>4.4057505803086795E-2</v>
      </c>
      <c r="N66" s="30">
        <v>2.2775489373376172</v>
      </c>
      <c r="O66" s="30">
        <v>2.4604861062060616E-2</v>
      </c>
      <c r="P66" s="30">
        <v>6.4105086444709969E-2</v>
      </c>
      <c r="Q66" s="30">
        <v>0.54974492544383469</v>
      </c>
      <c r="R66" s="29">
        <v>0.69397468974404308</v>
      </c>
      <c r="S66" s="29">
        <v>2.5243508386144762</v>
      </c>
    </row>
    <row r="67" spans="1:19" ht="15" customHeight="1">
      <c r="A67" s="27" t="s">
        <v>190</v>
      </c>
      <c r="B67" s="28">
        <v>19</v>
      </c>
      <c r="C67" s="29">
        <v>0.96299999999999986</v>
      </c>
      <c r="D67" s="29">
        <v>0.86909547483693605</v>
      </c>
      <c r="E67" s="30">
        <v>0.41324999999999995</v>
      </c>
      <c r="F67" s="30">
        <v>0.20381589885716536</v>
      </c>
      <c r="G67" s="30">
        <v>0.16930819658608656</v>
      </c>
      <c r="H67" s="30">
        <v>0.14201514148192809</v>
      </c>
      <c r="I67" s="30">
        <v>0.14077345807597336</v>
      </c>
      <c r="J67" s="30">
        <v>0.25091368421052634</v>
      </c>
      <c r="K67" s="30">
        <v>6.8426454232155404E-2</v>
      </c>
      <c r="L67" s="30">
        <v>4.3197285700695462E-2</v>
      </c>
      <c r="M67" s="30">
        <v>2.5849664569236888E-2</v>
      </c>
      <c r="N67" s="30">
        <v>1.1878898714833281</v>
      </c>
      <c r="O67" s="30">
        <v>4.3913437350735045E-2</v>
      </c>
      <c r="P67" s="30">
        <v>0.13257546728971964</v>
      </c>
      <c r="Q67" s="30">
        <v>1.22054073302672E-2</v>
      </c>
      <c r="R67" s="29">
        <v>3.2588496196580925</v>
      </c>
      <c r="S67" s="29">
        <v>0.60260594848894566</v>
      </c>
    </row>
    <row r="68" spans="1:19" ht="15" customHeight="1">
      <c r="A68" s="27" t="s">
        <v>191</v>
      </c>
      <c r="B68" s="28">
        <v>11</v>
      </c>
      <c r="C68" s="29">
        <v>0.85454545454545461</v>
      </c>
      <c r="D68" s="29">
        <v>0.60971769143689769</v>
      </c>
      <c r="E68" s="30">
        <v>0.24812999999999999</v>
      </c>
      <c r="F68" s="30">
        <v>0.42182127932148183</v>
      </c>
      <c r="G68" s="30">
        <v>0.2966767240414227</v>
      </c>
      <c r="H68" s="30">
        <v>0.15213155049892985</v>
      </c>
      <c r="I68" s="30">
        <v>0.12517928777495593</v>
      </c>
      <c r="J68" s="30">
        <v>3.0282359733289965E-2</v>
      </c>
      <c r="K68" s="30">
        <v>0.15133323938810345</v>
      </c>
      <c r="L68" s="30">
        <v>0.14784119394107609</v>
      </c>
      <c r="M68" s="30">
        <v>7.4719338625581291E-2</v>
      </c>
      <c r="N68" s="30">
        <v>2.0013681810208737</v>
      </c>
      <c r="O68" s="30">
        <v>1.5695116413797436E-2</v>
      </c>
      <c r="P68" s="30">
        <v>1.2347181818181816</v>
      </c>
      <c r="Q68" s="30">
        <v>0.32680813574854595</v>
      </c>
      <c r="R68" s="29">
        <v>0.84671453495463289</v>
      </c>
      <c r="S68" s="29">
        <v>2.2954373933330201</v>
      </c>
    </row>
    <row r="69" spans="1:19" ht="15" customHeight="1">
      <c r="A69" s="27" t="s">
        <v>192</v>
      </c>
      <c r="B69" s="28">
        <v>68</v>
      </c>
      <c r="C69" s="29">
        <v>1.3392857142857142</v>
      </c>
      <c r="D69" s="29">
        <v>0.77881083183395228</v>
      </c>
      <c r="E69" s="30">
        <v>0.83576538461538474</v>
      </c>
      <c r="F69" s="30">
        <v>0.98859141263900885</v>
      </c>
      <c r="G69" s="30">
        <v>0.49713149033821613</v>
      </c>
      <c r="H69" s="30">
        <v>0.12671475517945568</v>
      </c>
      <c r="I69" s="30">
        <v>0.1183249209828898</v>
      </c>
      <c r="J69" s="30">
        <v>7.577749999999997E-2</v>
      </c>
      <c r="K69" s="30">
        <v>0.22235993951895733</v>
      </c>
      <c r="L69" s="30">
        <v>0.15444764986354301</v>
      </c>
      <c r="M69" s="30">
        <v>1.4963239513856117E-2</v>
      </c>
      <c r="N69" s="30">
        <v>2.6152717241379317</v>
      </c>
      <c r="O69" s="30">
        <v>4.1326055628530957E-2</v>
      </c>
      <c r="P69" s="30">
        <v>1.8336002575349078E-3</v>
      </c>
      <c r="Q69" s="30">
        <v>0.81586275733127567</v>
      </c>
      <c r="R69" s="29">
        <v>0.76611668152562873</v>
      </c>
      <c r="S69" s="29">
        <v>1.8702072679275112</v>
      </c>
    </row>
    <row r="70" spans="1:19" ht="15" customHeight="1">
      <c r="A70" s="27" t="s">
        <v>193</v>
      </c>
      <c r="B70" s="28">
        <v>74</v>
      </c>
      <c r="C70" s="29">
        <v>1.1845588235294116</v>
      </c>
      <c r="D70" s="29">
        <v>1.1549736830177315</v>
      </c>
      <c r="E70" s="30">
        <v>2.0302577777777775</v>
      </c>
      <c r="F70" s="30">
        <v>6.756729596277547E-2</v>
      </c>
      <c r="G70" s="30">
        <v>6.3290900928021157E-2</v>
      </c>
      <c r="H70" s="30">
        <v>5.9740892321435986E-2</v>
      </c>
      <c r="I70" s="30">
        <v>9.8749807130766545E-2</v>
      </c>
      <c r="J70" s="30">
        <v>9.465702702702701E-2</v>
      </c>
      <c r="K70" s="30">
        <v>0.36566304433896868</v>
      </c>
      <c r="L70" s="30">
        <v>0.25006112458509971</v>
      </c>
      <c r="M70" s="30">
        <v>0.12432845233791696</v>
      </c>
      <c r="N70" s="30">
        <v>2.4378732872701718</v>
      </c>
      <c r="O70" s="30">
        <v>5.078019245425338E-2</v>
      </c>
      <c r="P70" s="30">
        <v>0.15277599159180205</v>
      </c>
      <c r="Q70" s="30">
        <v>0.7930802248077754</v>
      </c>
      <c r="R70" s="29">
        <v>0.39490267547429364</v>
      </c>
      <c r="S70" s="29">
        <v>7.873070645327374</v>
      </c>
    </row>
    <row r="71" spans="1:19" ht="15" customHeight="1">
      <c r="A71" s="27" t="s">
        <v>194</v>
      </c>
      <c r="B71" s="28">
        <v>83</v>
      </c>
      <c r="C71" s="29">
        <v>1.2728169014084503</v>
      </c>
      <c r="D71" s="29">
        <v>1.3113170630184154</v>
      </c>
      <c r="E71" s="30">
        <v>0.57493943661971814</v>
      </c>
      <c r="F71" s="30">
        <v>0.11200209986797474</v>
      </c>
      <c r="G71" s="30">
        <v>0.10072112263211777</v>
      </c>
      <c r="H71" s="30">
        <v>0.1147929877883065</v>
      </c>
      <c r="I71" s="30">
        <v>0.15465204307228819</v>
      </c>
      <c r="J71" s="30">
        <v>0.12023084337349393</v>
      </c>
      <c r="K71" s="30">
        <v>0.1498982343160096</v>
      </c>
      <c r="L71" s="30">
        <v>0.11770921261674201</v>
      </c>
      <c r="M71" s="30">
        <v>5.7059234739716795E-2</v>
      </c>
      <c r="N71" s="30">
        <v>0.50620331819988718</v>
      </c>
      <c r="O71" s="30">
        <v>0.14077641671898727</v>
      </c>
      <c r="P71" s="30">
        <v>5.5087163010562094E-2</v>
      </c>
      <c r="Q71" s="30">
        <v>-0.14524850164245323</v>
      </c>
      <c r="R71" s="29">
        <v>1.3138482505683819</v>
      </c>
      <c r="S71" s="29">
        <v>2.0836174861701751</v>
      </c>
    </row>
    <row r="72" spans="1:19" ht="15" customHeight="1">
      <c r="A72" s="27" t="s">
        <v>195</v>
      </c>
      <c r="B72" s="28">
        <v>27</v>
      </c>
      <c r="C72" s="29">
        <v>1.2021428571428572</v>
      </c>
      <c r="D72" s="29">
        <v>0.57863197451852577</v>
      </c>
      <c r="E72" s="30">
        <v>0.64580714285714291</v>
      </c>
      <c r="F72" s="30">
        <v>1.4403978360800263</v>
      </c>
      <c r="G72" s="30">
        <v>0.59023074630885397</v>
      </c>
      <c r="H72" s="30">
        <v>4.1827876840541095E-2</v>
      </c>
      <c r="I72" s="30">
        <v>7.6253306353999753E-2</v>
      </c>
      <c r="J72" s="30">
        <v>0.1563020697167756</v>
      </c>
      <c r="K72" s="30">
        <v>0.31582757252143429</v>
      </c>
      <c r="L72" s="30">
        <v>0.22072072541344212</v>
      </c>
      <c r="M72" s="30">
        <v>3.6622390462239952E-2</v>
      </c>
      <c r="N72" s="30">
        <v>2.0198570643210561</v>
      </c>
      <c r="O72" s="30">
        <v>-8.2133227076480006E-2</v>
      </c>
      <c r="P72" s="30">
        <v>0.43326935732153171</v>
      </c>
      <c r="Q72" s="30">
        <v>0.47278773341964958</v>
      </c>
      <c r="R72" s="29">
        <v>0.34547415613629479</v>
      </c>
      <c r="S72" s="29">
        <v>3.926103188384797</v>
      </c>
    </row>
    <row r="73" spans="1:19" ht="15" customHeight="1">
      <c r="A73" s="27" t="s">
        <v>196</v>
      </c>
      <c r="B73" s="28">
        <v>8</v>
      </c>
      <c r="C73" s="29">
        <v>2.1799999999999997</v>
      </c>
      <c r="D73" s="29">
        <v>1.2048581823197766</v>
      </c>
      <c r="E73" s="30">
        <v>0.72587499999999994</v>
      </c>
      <c r="F73" s="30">
        <v>1.0441825105024807</v>
      </c>
      <c r="G73" s="30">
        <v>0.51080688986318057</v>
      </c>
      <c r="H73" s="30">
        <v>-9.4921152191291866E-2</v>
      </c>
      <c r="I73" s="30">
        <v>-0.10387466296481826</v>
      </c>
      <c r="J73" s="30">
        <v>4.3212500000000004E-3</v>
      </c>
      <c r="K73" s="30">
        <v>-0.844389136872292</v>
      </c>
      <c r="L73" s="30">
        <v>-0.83382074145756058</v>
      </c>
      <c r="M73" s="30">
        <v>0.1810105670022755</v>
      </c>
      <c r="N73" s="30">
        <v>0.54965292534353305</v>
      </c>
      <c r="O73" s="30">
        <v>0.26006047193042608</v>
      </c>
      <c r="P73" s="30" t="s">
        <v>125</v>
      </c>
      <c r="Q73" s="30" t="s">
        <v>125</v>
      </c>
      <c r="R73" s="29">
        <v>0.1245767319043181</v>
      </c>
      <c r="S73" s="29">
        <v>8.6245908793366777</v>
      </c>
    </row>
    <row r="74" spans="1:19" ht="15" customHeight="1">
      <c r="A74" s="27" t="s">
        <v>197</v>
      </c>
      <c r="B74" s="28">
        <v>23</v>
      </c>
      <c r="C74" s="29">
        <v>1.303529411764706</v>
      </c>
      <c r="D74" s="29">
        <v>0.96407084416877464</v>
      </c>
      <c r="E74" s="30">
        <v>0.51063529411764708</v>
      </c>
      <c r="F74" s="30">
        <v>0.5787989082581867</v>
      </c>
      <c r="G74" s="30">
        <v>0.36660711204617424</v>
      </c>
      <c r="H74" s="30">
        <v>1.3360351433098081</v>
      </c>
      <c r="I74" s="30">
        <v>0.22997844691058161</v>
      </c>
      <c r="J74" s="30">
        <v>0.2544478260869566</v>
      </c>
      <c r="K74" s="30">
        <v>0.18841023744263083</v>
      </c>
      <c r="L74" s="30">
        <v>0.12724382557946853</v>
      </c>
      <c r="M74" s="30">
        <v>3.4733908887338266E-2</v>
      </c>
      <c r="N74" s="30">
        <v>0.74844495877332551</v>
      </c>
      <c r="O74" s="30">
        <v>3.1073227313427626E-2</v>
      </c>
      <c r="P74" s="30">
        <v>0.14792057375657783</v>
      </c>
      <c r="Q74" s="30">
        <v>-0.12510606884316702</v>
      </c>
      <c r="R74" s="29">
        <v>1.8073839407394385</v>
      </c>
      <c r="S74" s="29">
        <v>1.2899022652747563</v>
      </c>
    </row>
    <row r="75" spans="1:19" ht="15" customHeight="1">
      <c r="A75" s="27" t="s">
        <v>198</v>
      </c>
      <c r="B75" s="28">
        <v>6</v>
      </c>
      <c r="C75" s="29">
        <v>1.2883333333333333</v>
      </c>
      <c r="D75" s="29">
        <v>1.0725564597883406</v>
      </c>
      <c r="E75" s="30">
        <v>0.41525000000000001</v>
      </c>
      <c r="F75" s="30">
        <v>0.30855683198012424</v>
      </c>
      <c r="G75" s="30">
        <v>0.23579933590901994</v>
      </c>
      <c r="H75" s="30">
        <v>0.11485894166996913</v>
      </c>
      <c r="I75" s="30">
        <v>0.16461623345893184</v>
      </c>
      <c r="J75" s="30">
        <v>0.10206</v>
      </c>
      <c r="K75" s="30">
        <v>1.5132552396777808</v>
      </c>
      <c r="L75" s="30">
        <v>1.3872112411949571</v>
      </c>
      <c r="M75" s="30">
        <v>0.68468012859877914</v>
      </c>
      <c r="N75" s="30">
        <v>0.52023655516540379</v>
      </c>
      <c r="O75" s="30">
        <v>-1.9217570350034314E-2</v>
      </c>
      <c r="P75" s="30">
        <v>0.15433333333333332</v>
      </c>
      <c r="Q75" s="30">
        <v>-7.7719620046336091E-2</v>
      </c>
      <c r="R75" s="29">
        <v>0.11866702674434056</v>
      </c>
      <c r="S75" s="29">
        <v>15.891160640104037</v>
      </c>
    </row>
    <row r="76" spans="1:19" ht="15" customHeight="1">
      <c r="A76" s="27" t="s">
        <v>199</v>
      </c>
      <c r="B76" s="28">
        <v>14</v>
      </c>
      <c r="C76" s="29">
        <v>1.2841666666666667</v>
      </c>
      <c r="D76" s="29">
        <v>1.098521249465269</v>
      </c>
      <c r="E76" s="30">
        <v>0.3760916666666666</v>
      </c>
      <c r="F76" s="30">
        <v>0.27194222805777196</v>
      </c>
      <c r="G76" s="30">
        <v>0.21380077023861516</v>
      </c>
      <c r="H76" s="30">
        <v>0.13969690599703574</v>
      </c>
      <c r="I76" s="30">
        <v>0.12954188542664585</v>
      </c>
      <c r="J76" s="30">
        <v>0.26023944444444441</v>
      </c>
      <c r="K76" s="30">
        <v>0.37262585663851588</v>
      </c>
      <c r="L76" s="30">
        <v>0.24702875216683398</v>
      </c>
      <c r="M76" s="30">
        <v>8.6823342101619835E-2</v>
      </c>
      <c r="N76" s="30">
        <v>1.8161493261102248</v>
      </c>
      <c r="O76" s="30">
        <v>-1.7558926346393451E-2</v>
      </c>
      <c r="P76" s="30">
        <v>0.16999598987736028</v>
      </c>
      <c r="Q76" s="30">
        <v>0.32152842934376491</v>
      </c>
      <c r="R76" s="29">
        <v>0.52440003153624037</v>
      </c>
      <c r="S76" s="29">
        <v>3.8443643569154089</v>
      </c>
    </row>
    <row r="77" spans="1:19" ht="15" customHeight="1">
      <c r="A77" s="27" t="s">
        <v>200</v>
      </c>
      <c r="B77" s="28">
        <v>52</v>
      </c>
      <c r="C77" s="29">
        <v>1.4994871794871794</v>
      </c>
      <c r="D77" s="29">
        <v>1.2061394350867036</v>
      </c>
      <c r="E77" s="30">
        <v>1.2939899999999998</v>
      </c>
      <c r="F77" s="30">
        <v>0.37210157927225934</v>
      </c>
      <c r="G77" s="30">
        <v>0.27119098534207359</v>
      </c>
      <c r="H77" s="30">
        <v>0.10273589610865781</v>
      </c>
      <c r="I77" s="30">
        <v>0.11441742938681514</v>
      </c>
      <c r="J77" s="30">
        <v>0.17233442307692307</v>
      </c>
      <c r="K77" s="30">
        <v>0.18708456314406102</v>
      </c>
      <c r="L77" s="30">
        <v>0.14104448105459205</v>
      </c>
      <c r="M77" s="30">
        <v>3.8491889371560437E-2</v>
      </c>
      <c r="N77" s="30">
        <v>1.9829217127192693</v>
      </c>
      <c r="O77" s="30">
        <v>8.7791080584209251E-3</v>
      </c>
      <c r="P77" s="30">
        <v>0.1575264661076618</v>
      </c>
      <c r="Q77" s="30">
        <v>0.45403705685163975</v>
      </c>
      <c r="R77" s="29">
        <v>0.81121521757756143</v>
      </c>
      <c r="S77" s="29">
        <v>2.0880718677844343</v>
      </c>
    </row>
    <row r="78" spans="1:19" ht="15" customHeight="1">
      <c r="A78" s="27" t="s">
        <v>201</v>
      </c>
      <c r="B78" s="28">
        <v>8</v>
      </c>
      <c r="C78" s="29">
        <v>0.97500000000000009</v>
      </c>
      <c r="D78" s="29">
        <v>1.0924247986985069</v>
      </c>
      <c r="E78" s="30">
        <v>0.28794285714285711</v>
      </c>
      <c r="F78" s="30">
        <v>0.15274777886200255</v>
      </c>
      <c r="G78" s="30">
        <v>0.13250754559058514</v>
      </c>
      <c r="H78" s="30">
        <v>0.1596915585650702</v>
      </c>
      <c r="I78" s="30" t="s">
        <v>125</v>
      </c>
      <c r="J78" s="30">
        <v>0.15184491265344663</v>
      </c>
      <c r="K78" s="30" t="s">
        <v>125</v>
      </c>
      <c r="L78" s="30" t="s">
        <v>125</v>
      </c>
      <c r="M78" s="30" t="s">
        <v>125</v>
      </c>
      <c r="N78" s="30" t="s">
        <v>125</v>
      </c>
      <c r="O78" s="30" t="s">
        <v>125</v>
      </c>
      <c r="P78" s="30">
        <v>0.12240732587093624</v>
      </c>
      <c r="Q78" s="30">
        <v>9.7446887809370081E-2</v>
      </c>
      <c r="R78" s="29" t="s">
        <v>125</v>
      </c>
      <c r="S78" s="29" t="s">
        <v>125</v>
      </c>
    </row>
    <row r="79" spans="1:19" ht="15" customHeight="1">
      <c r="A79" s="27" t="s">
        <v>202</v>
      </c>
      <c r="B79" s="28">
        <v>60</v>
      </c>
      <c r="C79" s="29">
        <v>1.3268085106382976</v>
      </c>
      <c r="D79" s="29">
        <v>1.2078133576264591</v>
      </c>
      <c r="E79" s="30">
        <v>0.58925106382978709</v>
      </c>
      <c r="F79" s="30">
        <v>0.16089942601860496</v>
      </c>
      <c r="G79" s="30">
        <v>0.13859893666277545</v>
      </c>
      <c r="H79" s="30">
        <v>0.32544510328130977</v>
      </c>
      <c r="I79" s="30">
        <v>0.23320222537280194</v>
      </c>
      <c r="J79" s="30">
        <v>0.22076743081761002</v>
      </c>
      <c r="K79" s="30">
        <v>0.19041919802104437</v>
      </c>
      <c r="L79" s="30">
        <v>0.13454381509782215</v>
      </c>
      <c r="M79" s="30">
        <v>5.1200884614695186E-2</v>
      </c>
      <c r="N79" s="30">
        <v>1.3971111338401918</v>
      </c>
      <c r="O79" s="30">
        <v>-4.7914948823202554E-2</v>
      </c>
      <c r="P79" s="30">
        <v>0.25580964969303005</v>
      </c>
      <c r="Q79" s="30">
        <v>0.14020094850046044</v>
      </c>
      <c r="R79" s="29">
        <v>1.7332809033492076</v>
      </c>
      <c r="S79" s="29">
        <v>2.2450178805097964</v>
      </c>
    </row>
    <row r="80" spans="1:19" ht="15" customHeight="1">
      <c r="A80" s="27" t="s">
        <v>203</v>
      </c>
      <c r="B80" s="28">
        <v>143</v>
      </c>
      <c r="C80" s="29">
        <v>1.5364545454545451</v>
      </c>
      <c r="D80" s="29">
        <v>1.4803001916606269</v>
      </c>
      <c r="E80" s="30">
        <v>0.81915090909090904</v>
      </c>
      <c r="F80" s="30">
        <v>0.17166075896175625</v>
      </c>
      <c r="G80" s="30">
        <v>0.14651063257753047</v>
      </c>
      <c r="H80" s="30">
        <v>0.16412891243035022</v>
      </c>
      <c r="I80" s="30">
        <v>0.20135231800389847</v>
      </c>
      <c r="J80" s="30">
        <v>0.19637524475524484</v>
      </c>
      <c r="K80" s="30">
        <v>9.6840211933108392E-2</v>
      </c>
      <c r="L80" s="30">
        <v>5.8605625415379843E-2</v>
      </c>
      <c r="M80" s="30">
        <v>2.0498870696267133E-2</v>
      </c>
      <c r="N80" s="30">
        <v>1.6652104128003211</v>
      </c>
      <c r="O80" s="30">
        <v>6.3386993280664841E-2</v>
      </c>
      <c r="P80" s="30">
        <v>0.15161627219525836</v>
      </c>
      <c r="Q80" s="30">
        <v>0.41813513603654284</v>
      </c>
      <c r="R80" s="29">
        <v>3.435716564353184</v>
      </c>
      <c r="S80" s="29">
        <v>0.86031373902359931</v>
      </c>
    </row>
    <row r="81" spans="1:19" ht="15" customHeight="1">
      <c r="A81" s="27" t="s">
        <v>204</v>
      </c>
      <c r="B81" s="28">
        <v>15</v>
      </c>
      <c r="C81" s="29">
        <v>1.4371428571428573</v>
      </c>
      <c r="D81" s="29">
        <v>1.2479094014522989</v>
      </c>
      <c r="E81" s="30">
        <v>0.48256428571428572</v>
      </c>
      <c r="F81" s="30">
        <v>0.27522810176198653</v>
      </c>
      <c r="G81" s="30">
        <v>0.21582656575847334</v>
      </c>
      <c r="H81" s="30">
        <v>0.17910657602841834</v>
      </c>
      <c r="I81" s="30">
        <v>0.13111128119521998</v>
      </c>
      <c r="J81" s="30">
        <v>0.32054600000000005</v>
      </c>
      <c r="K81" s="30">
        <v>7.8660716573544745E-2</v>
      </c>
      <c r="L81" s="30">
        <v>5.0736903065538699E-2</v>
      </c>
      <c r="M81" s="30">
        <v>3.9943304189744858E-2</v>
      </c>
      <c r="N81" s="30">
        <v>1.3416503587736466</v>
      </c>
      <c r="O81" s="30">
        <v>0.1320240970679743</v>
      </c>
      <c r="P81" s="30">
        <v>4.3170125526305433E-2</v>
      </c>
      <c r="Q81" s="30">
        <v>1.3457847958326625</v>
      </c>
      <c r="R81" s="29">
        <v>2.584140404191773</v>
      </c>
      <c r="S81" s="29">
        <v>0.88968187500758611</v>
      </c>
    </row>
    <row r="82" spans="1:19" ht="15" customHeight="1">
      <c r="A82" s="27" t="s">
        <v>205</v>
      </c>
      <c r="B82" s="28">
        <v>8</v>
      </c>
      <c r="C82" s="29">
        <v>0.91749999999999998</v>
      </c>
      <c r="D82" s="29">
        <v>0.85310653358013744</v>
      </c>
      <c r="E82" s="30">
        <v>0.36348749999999996</v>
      </c>
      <c r="F82" s="30">
        <v>0.1361238537003768</v>
      </c>
      <c r="G82" s="30">
        <v>0.11981427311557524</v>
      </c>
      <c r="H82" s="30">
        <v>0.13306296914620114</v>
      </c>
      <c r="I82" s="30">
        <v>0.15060998241195195</v>
      </c>
      <c r="J82" s="30">
        <v>0.26310374999999997</v>
      </c>
      <c r="K82" s="30">
        <v>0.10020671219917039</v>
      </c>
      <c r="L82" s="30">
        <v>6.4902965979137209E-2</v>
      </c>
      <c r="M82" s="30">
        <v>4.7102296392754241E-2</v>
      </c>
      <c r="N82" s="30">
        <v>0.82470306170253815</v>
      </c>
      <c r="O82" s="30">
        <v>5.4033590414948617E-2</v>
      </c>
      <c r="P82" s="30">
        <v>0.48937504597140385</v>
      </c>
      <c r="Q82" s="30">
        <v>-2.3135029679374128E-2</v>
      </c>
      <c r="R82" s="29">
        <v>2.3205408279856563</v>
      </c>
      <c r="S82" s="29">
        <v>1.0073439355628881</v>
      </c>
    </row>
    <row r="83" spans="1:19" ht="15" customHeight="1">
      <c r="A83" s="27" t="s">
        <v>206</v>
      </c>
      <c r="B83" s="28">
        <v>38</v>
      </c>
      <c r="C83" s="29">
        <v>1.3340624999999997</v>
      </c>
      <c r="D83" s="29">
        <v>1.1857707880745314</v>
      </c>
      <c r="E83" s="30">
        <v>0.54914687500000003</v>
      </c>
      <c r="F83" s="30">
        <v>0.25223488033176406</v>
      </c>
      <c r="G83" s="30">
        <v>0.20142777069501339</v>
      </c>
      <c r="H83" s="30">
        <v>0.18716314485132907</v>
      </c>
      <c r="I83" s="30">
        <v>0.15824990193506669</v>
      </c>
      <c r="J83" s="30">
        <v>0.25958789473684213</v>
      </c>
      <c r="K83" s="30">
        <v>6.7570166072827217E-2</v>
      </c>
      <c r="L83" s="30">
        <v>4.407842115613346E-2</v>
      </c>
      <c r="M83" s="30">
        <v>1.6257867883929831E-2</v>
      </c>
      <c r="N83" s="30">
        <v>1.3953648833792771</v>
      </c>
      <c r="O83" s="30">
        <v>1.1607269128125115E-2</v>
      </c>
      <c r="P83" s="30">
        <v>0.14471557641637489</v>
      </c>
      <c r="Q83" s="30">
        <v>0.19028583257331097</v>
      </c>
      <c r="R83" s="29">
        <v>3.5901898884834811</v>
      </c>
      <c r="S83" s="29">
        <v>0.59232000776536353</v>
      </c>
    </row>
    <row r="84" spans="1:19" ht="15" customHeight="1">
      <c r="A84" s="27" t="s">
        <v>207</v>
      </c>
      <c r="B84" s="28">
        <v>29</v>
      </c>
      <c r="C84" s="29">
        <v>0.74444444444444424</v>
      </c>
      <c r="D84" s="29">
        <v>0.63023559739583479</v>
      </c>
      <c r="E84" s="30">
        <v>0.38498333333333329</v>
      </c>
      <c r="F84" s="30">
        <v>0.4210185216419749</v>
      </c>
      <c r="G84" s="30">
        <v>0.29627940468748537</v>
      </c>
      <c r="H84" s="30">
        <v>0.17525078750761156</v>
      </c>
      <c r="I84" s="30">
        <v>0.16964497022930691</v>
      </c>
      <c r="J84" s="30">
        <v>0.34504137931034484</v>
      </c>
      <c r="K84" s="30">
        <v>5.4353101707130806E-2</v>
      </c>
      <c r="L84" s="30">
        <v>3.6276996480802577E-2</v>
      </c>
      <c r="M84" s="30">
        <v>1.7250410659141294E-2</v>
      </c>
      <c r="N84" s="30">
        <v>1.2387174430071353</v>
      </c>
      <c r="O84" s="30">
        <v>3.7014574775841667E-3</v>
      </c>
      <c r="P84" s="30">
        <v>0.2416267326732674</v>
      </c>
      <c r="Q84" s="30">
        <v>0.14375071085956481</v>
      </c>
      <c r="R84" s="29">
        <v>4.6763786059047456</v>
      </c>
      <c r="S84" s="29">
        <v>0.36943335496535201</v>
      </c>
    </row>
    <row r="85" spans="1:19" ht="15" customHeight="1">
      <c r="A85" s="27" t="s">
        <v>208</v>
      </c>
      <c r="B85" s="28">
        <v>25</v>
      </c>
      <c r="C85" s="29">
        <v>1.2479166666666666</v>
      </c>
      <c r="D85" s="29">
        <v>0.74538974038849337</v>
      </c>
      <c r="E85" s="30">
        <v>0.53930454545454543</v>
      </c>
      <c r="F85" s="30">
        <v>1.498309665345043</v>
      </c>
      <c r="G85" s="30">
        <v>0.59972936346868388</v>
      </c>
      <c r="H85" s="30" t="s">
        <v>125</v>
      </c>
      <c r="I85" s="30">
        <v>0.10865985169200501</v>
      </c>
      <c r="J85" s="30">
        <v>0.269538</v>
      </c>
      <c r="K85" s="30">
        <v>0.27291523517887373</v>
      </c>
      <c r="L85" s="30">
        <v>0.19555977195876265</v>
      </c>
      <c r="M85" s="30">
        <v>8.2871822342864512E-2</v>
      </c>
      <c r="N85" s="30">
        <v>1.4113443596268025</v>
      </c>
      <c r="O85" s="30">
        <v>1.4800204281071228</v>
      </c>
      <c r="P85" s="30">
        <v>0.10443194832193466</v>
      </c>
      <c r="Q85" s="30">
        <v>-1.0593207997007827</v>
      </c>
      <c r="R85" s="29">
        <v>0.55563498874869788</v>
      </c>
      <c r="S85" s="29">
        <v>2.5759233027996262</v>
      </c>
    </row>
    <row r="86" spans="1:19" ht="15" customHeight="1">
      <c r="A86" s="27" t="s">
        <v>209</v>
      </c>
      <c r="B86" s="28">
        <v>115</v>
      </c>
      <c r="C86" s="29">
        <v>1.5586021505376342</v>
      </c>
      <c r="D86" s="29">
        <v>1.6788368581128474</v>
      </c>
      <c r="E86" s="30">
        <v>0.649720430107527</v>
      </c>
      <c r="F86" s="30">
        <v>6.2401056020687004E-2</v>
      </c>
      <c r="G86" s="30">
        <v>5.8735875371223205E-2</v>
      </c>
      <c r="H86" s="30">
        <v>0.11216424390755318</v>
      </c>
      <c r="I86" s="30">
        <v>0.23319995852180841</v>
      </c>
      <c r="J86" s="30">
        <v>7.9337043478260871E-2</v>
      </c>
      <c r="K86" s="30">
        <v>0.26929402735609054</v>
      </c>
      <c r="L86" s="30">
        <v>0.18345616828558584</v>
      </c>
      <c r="M86" s="30">
        <v>0.10566470711928246</v>
      </c>
      <c r="N86" s="30">
        <v>0.79015854197177848</v>
      </c>
      <c r="O86" s="30">
        <v>7.3393263955437715E-2</v>
      </c>
      <c r="P86" s="30">
        <v>0.50745877618065016</v>
      </c>
      <c r="Q86" s="30">
        <v>-9.9145419023266235E-2</v>
      </c>
      <c r="R86" s="29">
        <v>1.2711480933079695</v>
      </c>
      <c r="S86" s="29">
        <v>3.1766048659830846</v>
      </c>
    </row>
    <row r="87" spans="1:19" ht="15" customHeight="1">
      <c r="A87" s="27" t="s">
        <v>210</v>
      </c>
      <c r="B87" s="28">
        <v>14</v>
      </c>
      <c r="C87" s="29">
        <v>1.7892307692307694</v>
      </c>
      <c r="D87" s="29">
        <v>1.9708916661621263</v>
      </c>
      <c r="E87" s="30">
        <v>0.6030692307692308</v>
      </c>
      <c r="F87" s="30">
        <v>5.839542970690511E-2</v>
      </c>
      <c r="G87" s="30">
        <v>5.5173546736758117E-2</v>
      </c>
      <c r="H87" s="30">
        <v>-3.2527856196347293E-2</v>
      </c>
      <c r="I87" s="30">
        <v>8.6448031733079439E-2</v>
      </c>
      <c r="J87" s="30">
        <v>5.7165714285714285E-2</v>
      </c>
      <c r="K87" s="30">
        <v>8.5195009231001068E-2</v>
      </c>
      <c r="L87" s="30">
        <v>7.1849483139293902E-2</v>
      </c>
      <c r="M87" s="30">
        <v>0.22974266229607021</v>
      </c>
      <c r="N87" s="30">
        <v>0.58635746167281211</v>
      </c>
      <c r="O87" s="30">
        <v>0.23737613503635882</v>
      </c>
      <c r="P87" s="30" t="s">
        <v>125</v>
      </c>
      <c r="Q87" s="30">
        <v>2.2540261035640876</v>
      </c>
      <c r="R87" s="29">
        <v>1.2031823745410035</v>
      </c>
      <c r="S87" s="29">
        <v>2.7628800723409066</v>
      </c>
    </row>
    <row r="88" spans="1:19" ht="15" customHeight="1">
      <c r="A88" s="27" t="s">
        <v>211</v>
      </c>
      <c r="B88" s="28">
        <v>18</v>
      </c>
      <c r="C88" s="29">
        <v>1.3143750000000001</v>
      </c>
      <c r="D88" s="29">
        <v>1.4833121234953401</v>
      </c>
      <c r="E88" s="30">
        <v>0.49541874999999996</v>
      </c>
      <c r="F88" s="30">
        <v>1.7111666231139064E-2</v>
      </c>
      <c r="G88" s="30">
        <v>1.6823783267126965E-2</v>
      </c>
      <c r="H88" s="30">
        <v>0.28129032881762273</v>
      </c>
      <c r="I88" s="30">
        <v>0.30786665876395436</v>
      </c>
      <c r="J88" s="30">
        <v>0.245115</v>
      </c>
      <c r="K88" s="30">
        <v>0.11860515198985011</v>
      </c>
      <c r="L88" s="30">
        <v>8.6580273620569109E-2</v>
      </c>
      <c r="M88" s="30">
        <v>8.9543253670283027E-2</v>
      </c>
      <c r="N88" s="30">
        <v>0.94990628727210769</v>
      </c>
      <c r="O88" s="30">
        <v>0.14438712099634915</v>
      </c>
      <c r="P88" s="30">
        <v>0.28052904495364711</v>
      </c>
      <c r="Q88" s="30">
        <v>0.10675909094351013</v>
      </c>
      <c r="R88" s="29">
        <v>3.5558522269536192</v>
      </c>
      <c r="S88" s="29">
        <v>1.5759301934180885</v>
      </c>
    </row>
    <row r="89" spans="1:19" ht="15" customHeight="1">
      <c r="A89" s="27" t="s">
        <v>212</v>
      </c>
      <c r="B89" s="28">
        <v>19</v>
      </c>
      <c r="C89" s="29">
        <v>1.5900000000000003</v>
      </c>
      <c r="D89" s="29">
        <v>1.4335409737430753</v>
      </c>
      <c r="E89" s="30">
        <v>0.49187333333333327</v>
      </c>
      <c r="F89" s="30">
        <v>0.2346587996191592</v>
      </c>
      <c r="G89" s="30">
        <v>0.19005963403941373</v>
      </c>
      <c r="H89" s="30">
        <v>-2.9496741286483417E-2</v>
      </c>
      <c r="I89" s="30">
        <v>4.7481999563877483E-2</v>
      </c>
      <c r="J89" s="30">
        <v>0.12879008630654235</v>
      </c>
      <c r="K89" s="30">
        <v>3.8657997742543367E-2</v>
      </c>
      <c r="L89" s="30">
        <v>3.0055808770234404E-2</v>
      </c>
      <c r="M89" s="30">
        <v>3.5758403697190765E-2</v>
      </c>
      <c r="N89" s="30">
        <v>0.9457808323787702</v>
      </c>
      <c r="O89" s="30">
        <v>0.16619918905957073</v>
      </c>
      <c r="P89" s="30" t="s">
        <v>125</v>
      </c>
      <c r="Q89" s="30">
        <v>1.2133964930120305</v>
      </c>
      <c r="R89" s="29">
        <v>1.5797944392999002</v>
      </c>
      <c r="S89" s="29">
        <v>1.2032704055186576</v>
      </c>
    </row>
    <row r="90" spans="1:19" ht="15" customHeight="1">
      <c r="A90" s="27" t="s">
        <v>213</v>
      </c>
      <c r="B90" s="28">
        <v>13</v>
      </c>
      <c r="C90" s="29">
        <v>1.72</v>
      </c>
      <c r="D90" s="29">
        <v>1.4306088718926413</v>
      </c>
      <c r="E90" s="30">
        <v>0.52256000000000002</v>
      </c>
      <c r="F90" s="30">
        <v>0.36842117383184458</v>
      </c>
      <c r="G90" s="30">
        <v>0.26923083395457403</v>
      </c>
      <c r="H90" s="30">
        <v>0.12106374694845919</v>
      </c>
      <c r="I90" s="30">
        <v>0.14670063422833196</v>
      </c>
      <c r="J90" s="30">
        <v>0.16433846153846154</v>
      </c>
      <c r="K90" s="30">
        <v>0.1913872341884845</v>
      </c>
      <c r="L90" s="30">
        <v>0.15054277913156255</v>
      </c>
      <c r="M90" s="30">
        <v>2.1081760849427734E-2</v>
      </c>
      <c r="N90" s="30">
        <v>0.99692837582225247</v>
      </c>
      <c r="O90" s="30">
        <v>0.21561563129735628</v>
      </c>
      <c r="P90" s="30">
        <v>8.712693791143461E-2</v>
      </c>
      <c r="Q90" s="30">
        <v>2.804690282493336E-2</v>
      </c>
      <c r="R90" s="29">
        <v>0.97447805251507369</v>
      </c>
      <c r="S90" s="29">
        <v>1.2772876830093798</v>
      </c>
    </row>
    <row r="91" spans="1:19" ht="15" customHeight="1">
      <c r="A91" s="27" t="s">
        <v>214</v>
      </c>
      <c r="B91" s="28">
        <v>104</v>
      </c>
      <c r="C91" s="29">
        <v>1.0438666666666669</v>
      </c>
      <c r="D91" s="29">
        <v>1.2170641889970395</v>
      </c>
      <c r="E91" s="30">
        <v>0.9455746666666669</v>
      </c>
      <c r="F91" s="30">
        <v>0.10713449818497367</v>
      </c>
      <c r="G91" s="30">
        <v>9.6767374118148258E-2</v>
      </c>
      <c r="H91" s="30">
        <v>0.17278091276794316</v>
      </c>
      <c r="I91" s="30">
        <v>0.23214643726783549</v>
      </c>
      <c r="J91" s="30">
        <v>0.12421634615384615</v>
      </c>
      <c r="K91" s="30">
        <v>0.14443019541622104</v>
      </c>
      <c r="L91" s="30">
        <v>9.0969302929704676E-2</v>
      </c>
      <c r="M91" s="30">
        <v>4.3384773598318202E-2</v>
      </c>
      <c r="N91" s="30">
        <v>0.58131549678064542</v>
      </c>
      <c r="O91" s="30">
        <v>6.6408246378117097E-3</v>
      </c>
      <c r="P91" s="30">
        <v>0.23992132748622561</v>
      </c>
      <c r="Q91" s="30">
        <v>-0.20240282905070869</v>
      </c>
      <c r="R91" s="29">
        <v>2.55192059069886</v>
      </c>
      <c r="S91" s="29">
        <v>1.5383471834358899</v>
      </c>
    </row>
    <row r="92" spans="1:19" ht="15" customHeight="1">
      <c r="A92" s="27" t="s">
        <v>215</v>
      </c>
      <c r="B92" s="28">
        <v>85</v>
      </c>
      <c r="C92" s="29">
        <v>1.0141025641025643</v>
      </c>
      <c r="D92" s="29">
        <v>0.84085421402469029</v>
      </c>
      <c r="E92" s="30">
        <v>0.77039464285714288</v>
      </c>
      <c r="F92" s="30">
        <v>0.34063754227940135</v>
      </c>
      <c r="G92" s="30">
        <v>0.25408623251012108</v>
      </c>
      <c r="H92" s="30">
        <v>0.16304902424911896</v>
      </c>
      <c r="I92" s="30">
        <v>0.22889569539481594</v>
      </c>
      <c r="J92" s="30">
        <v>0.14265517647058823</v>
      </c>
      <c r="K92" s="30">
        <v>0.38848876813426503</v>
      </c>
      <c r="L92" s="30">
        <v>0.28642909886944623</v>
      </c>
      <c r="M92" s="30">
        <v>4.8516676552118214E-2</v>
      </c>
      <c r="N92" s="30">
        <v>0.92421265649193129</v>
      </c>
      <c r="O92" s="30">
        <v>-0.11119236607139638</v>
      </c>
      <c r="P92" s="30">
        <v>0.39676078494355388</v>
      </c>
      <c r="Q92" s="30">
        <v>-5.140090464316803E-2</v>
      </c>
      <c r="R92" s="29">
        <v>0.79913561959410451</v>
      </c>
      <c r="S92" s="29">
        <v>2.0389473547326271</v>
      </c>
    </row>
    <row r="93" spans="1:19" ht="15" customHeight="1">
      <c r="A93" s="27" t="s">
        <v>216</v>
      </c>
      <c r="B93" s="28">
        <v>28</v>
      </c>
      <c r="C93" s="29">
        <v>1.0280952380952382</v>
      </c>
      <c r="D93" s="29">
        <v>0.6618836202507129</v>
      </c>
      <c r="E93" s="30">
        <v>1.1530857142857143</v>
      </c>
      <c r="F93" s="30">
        <v>0.840582641176566</v>
      </c>
      <c r="G93" s="30">
        <v>0.45669377857396048</v>
      </c>
      <c r="H93" s="30">
        <v>0.20426966858009019</v>
      </c>
      <c r="I93" s="30">
        <v>0.22723457011347234</v>
      </c>
      <c r="J93" s="30">
        <v>0.2423039285714286</v>
      </c>
      <c r="K93" s="30">
        <v>0.38826347061470257</v>
      </c>
      <c r="L93" s="30">
        <v>0.26668499003854923</v>
      </c>
      <c r="M93" s="30">
        <v>3.7747434334779201E-2</v>
      </c>
      <c r="N93" s="30">
        <v>0.75943312706548671</v>
      </c>
      <c r="O93" s="30">
        <v>-3.7676715424673594E-2</v>
      </c>
      <c r="P93" s="30">
        <v>0.43459892563019936</v>
      </c>
      <c r="Q93" s="30">
        <v>-0.14928119362658748</v>
      </c>
      <c r="R93" s="29">
        <v>0.85207108986758373</v>
      </c>
      <c r="S93" s="29">
        <v>1.7514054447948164</v>
      </c>
    </row>
    <row r="94" spans="1:19" ht="15" customHeight="1">
      <c r="A94" s="27" t="s">
        <v>217</v>
      </c>
      <c r="B94" s="28">
        <v>181</v>
      </c>
      <c r="C94" s="29">
        <v>0.69977272727272721</v>
      </c>
      <c r="D94" s="29">
        <v>0.73739798771943499</v>
      </c>
      <c r="E94" s="30">
        <v>0.57301287878787877</v>
      </c>
      <c r="F94" s="30">
        <v>7.8112742608040728E-2</v>
      </c>
      <c r="G94" s="30">
        <v>7.2453222674170231E-2</v>
      </c>
      <c r="H94" s="30">
        <v>-3.1817261268535471E-2</v>
      </c>
      <c r="I94" s="30" t="s">
        <v>125</v>
      </c>
      <c r="J94" s="30">
        <v>0.14439674033149166</v>
      </c>
      <c r="K94" s="30" t="s">
        <v>125</v>
      </c>
      <c r="L94" s="30" t="s">
        <v>125</v>
      </c>
      <c r="M94" s="30" t="s">
        <v>125</v>
      </c>
      <c r="N94" s="30" t="s">
        <v>125</v>
      </c>
      <c r="O94" s="30" t="s">
        <v>125</v>
      </c>
      <c r="P94" s="30" t="s">
        <v>125</v>
      </c>
      <c r="Q94" s="30">
        <v>0</v>
      </c>
      <c r="R94" s="29" t="s">
        <v>125</v>
      </c>
      <c r="S94" s="29" t="s">
        <v>125</v>
      </c>
    </row>
    <row r="95" spans="1:19" ht="15" customHeight="1">
      <c r="A95" s="27" t="s">
        <v>218</v>
      </c>
      <c r="B95" s="28">
        <v>13</v>
      </c>
      <c r="C95" s="29">
        <v>0.73333333333333328</v>
      </c>
      <c r="D95" s="29">
        <v>0.65566807358600243</v>
      </c>
      <c r="E95" s="30">
        <v>0.67786000000000002</v>
      </c>
      <c r="F95" s="30">
        <v>0.21568518339458279</v>
      </c>
      <c r="G95" s="30">
        <v>0.17741861654702462</v>
      </c>
      <c r="H95" s="30">
        <v>0.79790145741409269</v>
      </c>
      <c r="I95" s="30">
        <v>0.29287630403065146</v>
      </c>
      <c r="J95" s="30">
        <v>0.22472923076923076</v>
      </c>
      <c r="K95" s="30">
        <v>0.22950763513527681</v>
      </c>
      <c r="L95" s="30">
        <v>0.15695367406303201</v>
      </c>
      <c r="M95" s="30">
        <v>5.6037286093417155E-2</v>
      </c>
      <c r="N95" s="30">
        <v>0.86388578125832416</v>
      </c>
      <c r="O95" s="30">
        <v>-1.284840002384603E-2</v>
      </c>
      <c r="P95" s="30">
        <v>0.35383650999116578</v>
      </c>
      <c r="Q95" s="30">
        <v>-1.3835364754298786E-2</v>
      </c>
      <c r="R95" s="29">
        <v>1.8660047671966788</v>
      </c>
      <c r="S95" s="29">
        <v>2.1510194030642151</v>
      </c>
    </row>
    <row r="96" spans="1:19" ht="15" customHeight="1">
      <c r="A96" s="27" t="s">
        <v>219</v>
      </c>
      <c r="B96" s="28">
        <v>15</v>
      </c>
      <c r="C96" s="29">
        <v>1.2692307692307689</v>
      </c>
      <c r="D96" s="29">
        <v>1.1874200299651081</v>
      </c>
      <c r="E96" s="30">
        <v>0.53703076923076931</v>
      </c>
      <c r="F96" s="30">
        <v>0.19519239658105991</v>
      </c>
      <c r="G96" s="30">
        <v>0.16331462377055175</v>
      </c>
      <c r="H96" s="30">
        <v>0.9122081690757774</v>
      </c>
      <c r="I96" s="30">
        <v>0.27122094306345185</v>
      </c>
      <c r="J96" s="30">
        <v>0.21523733333333336</v>
      </c>
      <c r="K96" s="30">
        <v>0.1270112933273593</v>
      </c>
      <c r="L96" s="30">
        <v>8.8069439190941887E-2</v>
      </c>
      <c r="M96" s="30">
        <v>6.5025148312721701E-2</v>
      </c>
      <c r="N96" s="30">
        <v>1.0710417741103659</v>
      </c>
      <c r="O96" s="30">
        <v>8.4715957135012579E-2</v>
      </c>
      <c r="P96" s="30">
        <v>0.36776122199592676</v>
      </c>
      <c r="Q96" s="30">
        <v>6.8563044862825023E-2</v>
      </c>
      <c r="R96" s="29">
        <v>3.0796260945345892</v>
      </c>
      <c r="S96" s="29">
        <v>1.4937491367374234</v>
      </c>
    </row>
    <row r="97" spans="1:19" ht="15" customHeight="1">
      <c r="A97" s="27" t="s">
        <v>220</v>
      </c>
      <c r="B97" s="28">
        <v>33</v>
      </c>
      <c r="C97" s="29">
        <v>1.1982142857142857</v>
      </c>
      <c r="D97" s="29">
        <v>0.96644022813497543</v>
      </c>
      <c r="E97" s="30">
        <v>0.56637142857142864</v>
      </c>
      <c r="F97" s="30">
        <v>0.4213851138721183</v>
      </c>
      <c r="G97" s="30">
        <v>0.29646090265022301</v>
      </c>
      <c r="H97" s="30">
        <v>-9.0890576902819698E-3</v>
      </c>
      <c r="I97" s="30">
        <v>0.11577141632238723</v>
      </c>
      <c r="J97" s="30">
        <v>0.25477181818181815</v>
      </c>
      <c r="K97" s="30">
        <v>0.10112153082838959</v>
      </c>
      <c r="L97" s="30">
        <v>6.0888973893522928E-2</v>
      </c>
      <c r="M97" s="30">
        <v>1.7295882512161746E-2</v>
      </c>
      <c r="N97" s="30">
        <v>1.2659322270255198</v>
      </c>
      <c r="O97" s="30">
        <v>8.3164264943617644E-2</v>
      </c>
      <c r="P97" s="30" t="s">
        <v>125</v>
      </c>
      <c r="Q97" s="30">
        <v>0.38783640393742597</v>
      </c>
      <c r="R97" s="29">
        <v>1.9013527231521048</v>
      </c>
      <c r="S97" s="29">
        <v>1.0000769809559045</v>
      </c>
    </row>
    <row r="98" spans="1:19" ht="15" customHeight="1">
      <c r="A98" s="27" t="s">
        <v>221</v>
      </c>
      <c r="B98" s="28">
        <v>5</v>
      </c>
      <c r="C98" s="29">
        <v>0.98749999999999993</v>
      </c>
      <c r="D98" s="29">
        <v>0.70416439224657701</v>
      </c>
      <c r="E98" s="30">
        <v>0.31263999999999997</v>
      </c>
      <c r="F98" s="30">
        <v>0.58682915100666877</v>
      </c>
      <c r="G98" s="30">
        <v>0.36981243420842769</v>
      </c>
      <c r="H98" s="30">
        <v>4.0872215094634477E-2</v>
      </c>
      <c r="I98" s="30">
        <v>9.5280617594528397E-2</v>
      </c>
      <c r="J98" s="30">
        <v>0.20300799999999999</v>
      </c>
      <c r="K98" s="30">
        <v>0.1464300636512339</v>
      </c>
      <c r="L98" s="30">
        <v>8.6195170929343576E-2</v>
      </c>
      <c r="M98" s="30">
        <v>3.1470023469170045E-3</v>
      </c>
      <c r="N98" s="30">
        <v>1.7354479274996284</v>
      </c>
      <c r="O98" s="30">
        <v>4.7800654292013391E-2</v>
      </c>
      <c r="P98" s="30">
        <v>0</v>
      </c>
      <c r="Q98" s="30">
        <v>0.64811615143751966</v>
      </c>
      <c r="R98" s="29">
        <v>1.1054055182816727</v>
      </c>
      <c r="S98" s="29">
        <v>1.1982744826114788</v>
      </c>
    </row>
    <row r="99" spans="1:19" ht="15" customHeight="1">
      <c r="A99" s="27" t="s">
        <v>222</v>
      </c>
      <c r="B99" s="28">
        <v>12</v>
      </c>
      <c r="C99" s="29">
        <v>0.70000000000000007</v>
      </c>
      <c r="D99" s="29">
        <v>0.4673321406260923</v>
      </c>
      <c r="E99" s="30">
        <v>0.2011</v>
      </c>
      <c r="F99" s="30">
        <v>0.7788522749218566</v>
      </c>
      <c r="G99" s="30">
        <v>0.43783977225206672</v>
      </c>
      <c r="H99" s="30">
        <v>7.1216907294600673E-2</v>
      </c>
      <c r="I99" s="30">
        <v>7.5297431668299733E-2</v>
      </c>
      <c r="J99" s="30">
        <v>0.3545658333333333</v>
      </c>
      <c r="K99" s="30">
        <v>0.37410397323866734</v>
      </c>
      <c r="L99" s="30">
        <v>0.24329210344415614</v>
      </c>
      <c r="M99" s="30">
        <v>6.0784748771163279E-2</v>
      </c>
      <c r="N99" s="30">
        <v>2.8698000291928181</v>
      </c>
      <c r="O99" s="30">
        <v>3.5943473511742222E-2</v>
      </c>
      <c r="P99" s="30">
        <v>0.40421247431506852</v>
      </c>
      <c r="Q99" s="30">
        <v>0.90251996305425053</v>
      </c>
      <c r="R99" s="29">
        <v>0.30949394001019465</v>
      </c>
      <c r="S99" s="29">
        <v>4.2308847624249033</v>
      </c>
    </row>
    <row r="100" spans="1:19" ht="15" customHeight="1">
      <c r="A100" s="27" t="s">
        <v>223</v>
      </c>
      <c r="B100" s="28">
        <v>48</v>
      </c>
      <c r="C100" s="29">
        <v>1.2544444444444443</v>
      </c>
      <c r="D100" s="29">
        <v>1.1461996720986185</v>
      </c>
      <c r="E100" s="30">
        <v>0.62583333333333335</v>
      </c>
      <c r="F100" s="30">
        <v>0.1818533425319443</v>
      </c>
      <c r="G100" s="30">
        <v>0.15387132733605563</v>
      </c>
      <c r="H100" s="30">
        <v>0.13332361008247248</v>
      </c>
      <c r="I100" s="30">
        <v>0.15416630868211134</v>
      </c>
      <c r="J100" s="30">
        <v>0.12678750000000003</v>
      </c>
      <c r="K100" s="30">
        <v>0.20992581189077603</v>
      </c>
      <c r="L100" s="30">
        <v>0.14725841909120432</v>
      </c>
      <c r="M100" s="30">
        <v>5.6527974065763917E-2</v>
      </c>
      <c r="N100" s="30">
        <v>0.97381559493453906</v>
      </c>
      <c r="O100" s="30">
        <v>8.8529053670284616E-2</v>
      </c>
      <c r="P100" s="30">
        <v>7.8341265902733895E-3</v>
      </c>
      <c r="Q100" s="30">
        <v>-0.62830649502987646</v>
      </c>
      <c r="R100" s="29">
        <v>1.0469099806553581</v>
      </c>
      <c r="S100" s="29">
        <v>3.1071848570636225</v>
      </c>
    </row>
    <row r="101" spans="1:19" ht="15" customHeight="1">
      <c r="A101" s="31" t="s">
        <v>224</v>
      </c>
      <c r="B101" s="32">
        <v>5928</v>
      </c>
      <c r="C101" s="33">
        <v>1.1458798882681571</v>
      </c>
      <c r="D101" s="33">
        <v>0.95959715150943481</v>
      </c>
      <c r="E101" s="34">
        <v>0.76270053463505372</v>
      </c>
      <c r="F101" s="34">
        <v>0.36042927269231695</v>
      </c>
      <c r="G101" s="34">
        <v>0.26493789859359679</v>
      </c>
      <c r="H101" s="34">
        <v>0.14460632345084762</v>
      </c>
      <c r="I101" s="34">
        <v>0.16591751105456606</v>
      </c>
      <c r="J101" s="34">
        <v>0.15324328303487669</v>
      </c>
      <c r="K101" s="34">
        <v>0.20225125937902969</v>
      </c>
      <c r="L101" s="34">
        <v>0.14844664491585927</v>
      </c>
      <c r="M101" s="34">
        <v>4.4700430292057891E-2</v>
      </c>
      <c r="N101" s="34">
        <v>1.2487739786369287</v>
      </c>
      <c r="O101" s="34">
        <v>9.1550430507154348E-2</v>
      </c>
      <c r="P101" s="34">
        <v>0.28067260747981321</v>
      </c>
      <c r="Q101" s="34">
        <v>7.7992641198013371E-2</v>
      </c>
      <c r="R101" s="33">
        <v>1.1176912159153845</v>
      </c>
      <c r="S101" s="33">
        <v>1.8751887794305808</v>
      </c>
    </row>
  </sheetData>
  <phoneticPr fontId="4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4B33-33E4-47B5-A382-CD3F034C30A3}">
  <dimension ref="A1"/>
  <sheetViews>
    <sheetView showGridLines="0" topLeftCell="A7" zoomScale="115" zoomScaleNormal="115" workbookViewId="0">
      <selection activeCell="F29" sqref="F29"/>
    </sheetView>
  </sheetViews>
  <sheetFormatPr defaultRowHeight="15" customHeight="1"/>
  <cols>
    <col min="1" max="256" width="11.42578125" style="3" customWidth="1"/>
    <col min="257" max="16384" width="9.140625" style="3"/>
  </cols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Read me first</vt:lpstr>
      <vt:lpstr>Inputs</vt:lpstr>
      <vt:lpstr>Normalized Earnings</vt:lpstr>
      <vt:lpstr>valuation</vt:lpstr>
      <vt:lpstr>Industry averages</vt:lpstr>
      <vt:lpstr>Augmented Dividends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채동우</cp:lastModifiedBy>
  <cp:revision/>
  <dcterms:created xsi:type="dcterms:W3CDTF">2000-04-06T19:14:27Z</dcterms:created>
  <dcterms:modified xsi:type="dcterms:W3CDTF">2025-03-28T08:55:39Z</dcterms:modified>
  <cp:category/>
  <cp:contentStatus/>
</cp:coreProperties>
</file>