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ate1904="1"/>
  <mc:AlternateContent xmlns:mc="http://schemas.openxmlformats.org/markup-compatibility/2006">
    <mc:Choice Requires="x15">
      <x15ac:absPath xmlns:x15ac="http://schemas.microsoft.com/office/spreadsheetml/2010/11/ac" url="D:\working\waccache\OS1PEPF0000EE49\EXCELCNV\9b321bb8-0966-4583-9add-3d81ee9db9d9\"/>
    </mc:Choice>
  </mc:AlternateContent>
  <xr:revisionPtr revIDLastSave="0" documentId="8_{55CC2644-63EF-4372-AFC9-C35004B29465}" xr6:coauthVersionLast="47" xr6:coauthVersionMax="47" xr10:uidLastSave="{00000000-0000-0000-0000-000000000000}"/>
  <bookViews>
    <workbookView xWindow="-60" yWindow="-60" windowWidth="15480" windowHeight="11640" firstSheet="4" activeTab="4" xr2:uid="{7F6A3E01-C5A0-4E59-A28E-2D929A533D5D}"/>
  </bookViews>
  <sheets>
    <sheet name="Read me first" sheetId="3" r:id="rId1"/>
    <sheet name="Inputs" sheetId="2" r:id="rId2"/>
    <sheet name="Normalized Earnings" sheetId="4" r:id="rId3"/>
    <sheet name="Normalized Reinvestment" sheetId="6" r:id="rId4"/>
    <sheet name="valuation" sheetId="1" r:id="rId5"/>
    <sheet name="Industry averages" sheetId="7" r:id="rId6"/>
  </sheets>
  <calcPr calcId="191028" iterate="1" iterateCount="200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B51" i="2"/>
  <c r="B3" i="2"/>
  <c r="C5" i="6"/>
  <c r="D5" i="6"/>
  <c r="E5" i="6"/>
  <c r="F5" i="6"/>
  <c r="G5" i="6"/>
  <c r="G6" i="6"/>
  <c r="G7" i="6"/>
  <c r="B15" i="2"/>
  <c r="B14" i="6"/>
  <c r="B16" i="2"/>
  <c r="B24" i="6"/>
  <c r="B17" i="2"/>
  <c r="G5" i="4"/>
  <c r="B30" i="2"/>
  <c r="B31" i="2"/>
  <c r="B45" i="2"/>
  <c r="D3" i="1"/>
  <c r="D4" i="1"/>
  <c r="D5" i="1"/>
  <c r="D6" i="1"/>
  <c r="D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D19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D20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D21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22" i="1"/>
  <c r="E24" i="1"/>
  <c r="E25" i="1"/>
  <c r="E26" i="1"/>
  <c r="E27" i="1"/>
  <c r="E28" i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2" authorId="0" shapeId="0" xr:uid="{D3248A6C-5F51-4157-8FA3-DA0CD5288A84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Current net income of the firm should be entered here. If it is negative, you will have to normalize the earnings.</t>
        </r>
      </text>
    </comment>
    <comment ref="B4" authorId="0" shapeId="0" xr:uid="{AB59BF1A-0944-426D-9955-0A5B072E1597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book value of common equity. If you have more than one class of shares, enter the book value of all classes of common stock.</t>
        </r>
      </text>
    </comment>
    <comment ref="C4" authorId="0" shapeId="0" xr:uid="{B377412D-DFC7-4827-ADDD-8E2F3068A86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book value of equity from the end of last year. If you do not have this number, enter this year's number here as well.</t>
        </r>
      </text>
    </comment>
    <comment ref="B12" authorId="0" shapeId="0" xr:uid="{D1246AEE-F860-4A57-A4C9-C3B8DBD646F9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have negative earnings or if your firm had an abnormal year, you can normalize. If you choose this option, go into the normalized earnings worksheet and select your options.</t>
        </r>
      </text>
    </comment>
    <comment ref="B13" authorId="0" shapeId="0" xr:uid="{EC2FD6C1-1700-4E29-A44D-F2B637DCC865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You can normalize any or all of the items that go into reinvestment - net cap ex, working capital changes and the debt ratio. To do this, go to the normalize reinvestment worksheet.</t>
        </r>
      </text>
    </comment>
    <comment ref="B20" authorId="0" shapeId="0" xr:uid="{6F60691D-51CD-413D-B57A-5F6D2A005422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beta for your stock. It can be a regression beta or a bottom-up beta.</t>
        </r>
      </text>
    </comment>
    <comment ref="B21" authorId="0" shapeId="0" xr:uid="{64EC0EF2-0324-4AB4-9DBB-F57710861EC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current long term government bond rate.</t>
        </r>
      </text>
    </comment>
    <comment ref="B22" authorId="0" shapeId="0" xr:uid="{4C41551A-8B95-468A-8797-287E5F4F7DB2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risk premium to use to compute your cost of equity.</t>
        </r>
      </text>
    </comment>
    <comment ref="B25" authorId="0" shapeId="0" xr:uid="{3C88B280-70DE-4520-8471-516BF07BC2B5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Number of years of high growth. (Restricted to 15 years or less)</t>
        </r>
      </text>
    </comment>
    <comment ref="B27" authorId="0" shapeId="0" xr:uid="{C43A5032-F0FD-4549-95EC-0D9CC46C305E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answer "yes",
g = Retention ratio * ROE
If no, you have to input the growth rate.</t>
        </r>
      </text>
    </comment>
    <comment ref="B28" authorId="0" shapeId="0" xr:uid="{AFECD51E-51D9-4906-B921-0BE0011A1B91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Input a growth rate to use for high growth period. This can be an analyst estimate of growth in EPS or historical growth in EPS.</t>
        </r>
      </text>
    </comment>
    <comment ref="B30" authorId="0" shapeId="0" xr:uid="{8E1537A3-E2D1-4CA6-8A39-9C36820B4BDC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DO NOT INPUT. This number is calculated based upon your inputs above.</t>
        </r>
      </text>
    </comment>
    <comment ref="B31" authorId="0" shapeId="0" xr:uid="{75DB08B4-F25A-47F7-9A28-06E4C506886B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DO NOT INPUT. This number is calculated based upon your inputs above.</t>
        </r>
      </text>
    </comment>
    <comment ref="B32" authorId="0" shapeId="0" xr:uid="{B2FE8923-307B-4D89-A93D-64F88FDCC4A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believe that the fundamentals for your firm in the future will be different from the base year numbers above, answer yes.</t>
        </r>
      </text>
    </comment>
    <comment ref="B34" authorId="0" shapeId="0" xr:uid="{7A255254-AEF6-4FC1-B366-2A38154DF05A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return on equity to use for the high growth period. This can be an industry average or your firm's historical ROE.</t>
        </r>
      </text>
    </comment>
    <comment ref="B35" authorId="0" shapeId="0" xr:uid="{F6C2FE9B-A7FE-4BF6-B92D-624798AD1BF6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retention ratio to use for the high growth period. This can be an industry average or your firm's historical retention ratio.</t>
        </r>
      </text>
    </comment>
    <comment ref="B36" authorId="0" shapeId="0" xr:uid="{431297AC-0C0A-4EEA-A201-D971F99FF03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In stable growth, your fundamentals may change. This is your chance to reset them.</t>
        </r>
      </text>
    </comment>
    <comment ref="B38" authorId="0" shapeId="0" xr:uid="{47EBEFA2-32E9-49AD-BC58-B9A83D40B49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return on equity to use for the stable growth period. Check industry averages.</t>
        </r>
      </text>
    </comment>
    <comment ref="B40" authorId="0" shapeId="0" xr:uid="{7A77E3C4-C2D5-4896-A0E4-6CDB75C62563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want to me adjust the beta, payout ratio and growth rate gradually towards stable growth levels in the second half of your high growth phase, answer yes.</t>
        </r>
      </text>
    </comment>
    <comment ref="B43" authorId="0" shapeId="0" xr:uid="{6417049C-1E67-464F-83E8-E389EE8BE92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a growth rate that can be sustained forever. It cannot be greater than the growth rate of the economy.</t>
        </r>
      </text>
    </comment>
    <comment ref="B45" authorId="0" shapeId="0" xr:uid="{8F7C3153-965F-493E-95F9-FE0C2E8D4B7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DO NOT INPUT. This number is computed based upon your stable growth rate and ROE.</t>
        </r>
      </text>
    </comment>
    <comment ref="B46" authorId="0" shapeId="0" xr:uid="{29D8558C-D5F0-481C-BCBB-347898F5DE43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feel the stable payout ratio is inappropriate, you can change it here. You might be better off adjusting the ROE in stable growth instead, though.</t>
        </r>
      </text>
    </comment>
    <comment ref="B47" authorId="0" shapeId="0" xr:uid="{B5575484-BF65-4713-8AEB-84FCDC4A4F12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payout ratio in stable growth, if you want to override the fundamentals.</t>
        </r>
      </text>
    </comment>
    <comment ref="B49" authorId="0" shapeId="0" xr:uid="{5CD55E49-7374-4F88-8D63-4FF1B1280335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Generally, stable growth beta should be between 0.8 and 1.20. If your firm's beta is higher or lower, you should answer yes.</t>
        </r>
      </text>
    </comment>
    <comment ref="B50" authorId="0" shapeId="0" xr:uid="{12C0B1A9-1315-4AB8-8AB9-7BCA7ED33E49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The beta in stable growth should be between 0.8 and 1.2. If this is different from your high growth beta, I will adjust the cost of equity gradually over the last half of the high growth period.</t>
        </r>
      </text>
    </comment>
    <comment ref="B51" authorId="0" shapeId="0" xr:uid="{CD0B79AE-9F1F-41A9-B929-3138F2DD39F3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As a default, I have set this equal to the high growth premium. You can change it, if you want.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2" authorId="0" shapeId="0" xr:uid="{95E7E6CB-45E4-4057-A330-AFAB20BD55C9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1: Average net income over last 5 years
2: Normalized ROE</t>
        </r>
      </text>
    </comment>
    <comment ref="B8" authorId="0" shapeId="0" xr:uid="{53944163-2FAA-4F9D-9535-24F21719C4A9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You can either use an average return on equity for this firm from past years or an industry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2" authorId="0" shapeId="0" xr:uid="{67C083AF-2EC3-4D52-9323-2B774721DE77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0: Do not normalize
1: Company's average over last 5 years
2: Industry average</t>
        </r>
      </text>
    </comment>
    <comment ref="B9" authorId="0" shapeId="0" xr:uid="{04D46CBF-8967-4B1B-8246-46D11F9FF774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You can either use an average return on equity for this firm from past years or an industry average.</t>
        </r>
      </text>
    </comment>
    <comment ref="B12" authorId="0" shapeId="0" xr:uid="{CF998493-BFC4-4E08-B1FA-AE7C4A65F02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0: Do not normalize
1: Use current non-cash working capital as percent of revenues.
2: Industry average</t>
        </r>
      </text>
    </comment>
    <comment ref="B14" authorId="0" shapeId="0" xr:uid="{C53465CA-5CAD-43A5-AFEA-2B8326753CDA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non-cash WC jumps around from year to year, use an average over time. If this is negative, enter 0.</t>
        </r>
      </text>
    </comment>
    <comment ref="B19" authorId="0" shapeId="0" xr:uid="{C8D1F4EB-4BA1-4A0B-BFEF-4F3645B99E9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You can either use an average return on equity for this firm from past years or an industry average.</t>
        </r>
      </text>
    </comment>
    <comment ref="B22" authorId="0" shapeId="0" xr:uid="{1C3987BC-9AEF-490C-B5EC-F29DA19D992E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0: Do not normalize
1: Use current book debt to capital ratio
2: Use current market debt to capital ratio
3: Use industry average book debt to capital ratio</t>
        </r>
      </text>
    </comment>
    <comment ref="B24" authorId="0" shapeId="0" xr:uid="{DF631EF8-467A-4918-9937-8514496958D7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non-cash WC jumps around from year to year, use an average over time. If this is negative, enter 0.</t>
        </r>
      </text>
    </comment>
    <comment ref="B27" authorId="0" shapeId="0" xr:uid="{B1A879B6-2F57-411C-8096-0C6BD81B362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You can either use an average return on equity for this firm from past years or an industry average.</t>
        </r>
      </text>
    </comment>
  </commentList>
</comments>
</file>

<file path=xl/sharedStrings.xml><?xml version="1.0" encoding="utf-8"?>
<sst xmlns="http://schemas.openxmlformats.org/spreadsheetml/2006/main" count="350" uniqueCount="250">
  <si>
    <t>Dividend Discount Model</t>
  </si>
  <si>
    <t>Assumptions</t>
  </si>
  <si>
    <t>1. The firm is expected to grow at a higher growth rate in the first period.</t>
  </si>
  <si>
    <t>2. The growth rate will drop at the end of the first period to the stable growth rate.</t>
  </si>
  <si>
    <t>3. The dividend payout ratio is consistent with the expected growth rate.</t>
  </si>
  <si>
    <t>Inputs needed</t>
  </si>
  <si>
    <t>1. Length of high growth period</t>
  </si>
  <si>
    <t>2. Expected growth rate in earnings during the high growth period.</t>
  </si>
  <si>
    <t>3. Dividend payout ratio during the high growth period.</t>
  </si>
  <si>
    <t>4. Expected growth rate in earnings during the stable growth period.</t>
  </si>
  <si>
    <t>5. Expected payout ratio during the stable growth period.</t>
  </si>
  <si>
    <t>6. Current Earnings per share</t>
  </si>
  <si>
    <t>7. Inputs for the Cost of Equity</t>
  </si>
  <si>
    <t>How the model works</t>
  </si>
  <si>
    <t>The expected dividends are estimated for the high growth period, using the payout</t>
  </si>
  <si>
    <t>ratio for the high growth period and the expected growth rate in earnings per share.</t>
  </si>
  <si>
    <t>The expected growth rate is estimated either using fundamentals:</t>
  </si>
  <si>
    <t>Expected growth = Retention Ratio * Return on Equity</t>
  </si>
  <si>
    <t>Alternatively, you can input the expected growth rate.</t>
  </si>
  <si>
    <t>At the end of the high growth phase, the expected terminal price is estimated using</t>
  </si>
  <si>
    <t>dividends per share one year after the high growth period, using the growth rate</t>
  </si>
  <si>
    <t>in stable growth, the payout ratio in stable growth and the cost of equity in stable</t>
  </si>
  <si>
    <t xml:space="preserve">growth. </t>
  </si>
  <si>
    <t>The dividends per share and the terminal price are discounted back to the present at</t>
  </si>
  <si>
    <t>the cost of equity changes.</t>
  </si>
  <si>
    <t>If your cost of equity in stable growth is different from your cost of equity in high</t>
  </si>
  <si>
    <t>growth, the cost of equity in the second half of the stable growth period will be</t>
  </si>
  <si>
    <t xml:space="preserve">adjusted gradually from the high growth cost of equity to a stable growth cost of </t>
  </si>
  <si>
    <t>equity.</t>
  </si>
  <si>
    <t>Options Available</t>
  </si>
  <si>
    <t>You can make this model into a three stage model by answering yes to the question</t>
  </si>
  <si>
    <t>of whether you want me to adjust the inputs in the second half of the high growth</t>
  </si>
  <si>
    <t xml:space="preserve">period. If you do, I will adjust the growth rate, the payout ratio and the cost of </t>
  </si>
  <si>
    <t>equity from high-growth levels to stable growth levels gradually.</t>
  </si>
  <si>
    <t>You can also make this a stable growth model by setting the high</t>
  </si>
  <si>
    <t>growth period to zero.</t>
  </si>
  <si>
    <t>Inputs from current financials</t>
  </si>
  <si>
    <t>Net Income  =</t>
  </si>
  <si>
    <t>(in currency)</t>
  </si>
  <si>
    <t>Interest income from cash and marketable securities =</t>
  </si>
  <si>
    <t>Last year</t>
  </si>
  <si>
    <t>Book Value of Equity =</t>
  </si>
  <si>
    <t>Cash and Marketable Securities</t>
  </si>
  <si>
    <t>Market Value of Equity =</t>
  </si>
  <si>
    <t>Number of shares outstanding =</t>
  </si>
  <si>
    <t>Current Capital Expenditures =</t>
  </si>
  <si>
    <t>Current Depreciation =</t>
  </si>
  <si>
    <t>Change in non-cash Working capital in most recent year =</t>
  </si>
  <si>
    <t>Net Debt Issued (Paid) during the year =</t>
  </si>
  <si>
    <t>Do you want to normalize the net income/earnings per share?</t>
  </si>
  <si>
    <t>No</t>
  </si>
  <si>
    <t>Do you want to normalize your reinvestment needs?</t>
  </si>
  <si>
    <t>If yes, these will be your normalized values</t>
  </si>
  <si>
    <t>Normalized Net Capital Expenditures =</t>
  </si>
  <si>
    <t>Normalized Working Capital Change =</t>
  </si>
  <si>
    <t>Normalized Net Debt issued =</t>
  </si>
  <si>
    <t>Inputs for Discount Rate</t>
  </si>
  <si>
    <t>Beta of the stock =</t>
  </si>
  <si>
    <t>Riskfree rate=</t>
  </si>
  <si>
    <t>(in percent)</t>
  </si>
  <si>
    <t>Risk Premium=</t>
  </si>
  <si>
    <t>Inputs for High Growth Period</t>
  </si>
  <si>
    <t>Length of high growth period</t>
  </si>
  <si>
    <t>Do you want to calculate the growth rate from fundamentals?</t>
  </si>
  <si>
    <t>Yes</t>
  </si>
  <si>
    <t>(Yes or No)</t>
  </si>
  <si>
    <t>If no, enter the expected growth rate in earnings in high growth period=</t>
  </si>
  <si>
    <t>If yes, the following will be the inputs to the fundamental growth formulation:</t>
  </si>
  <si>
    <t>Non-cash ROE =</t>
  </si>
  <si>
    <t>Equity Reinvestment Rate =</t>
  </si>
  <si>
    <t>Do you want to change any of these inputs for the high growth period?</t>
  </si>
  <si>
    <t>If yes, specify the values for these inputs (Please enter all variables)</t>
  </si>
  <si>
    <t>Do you want to change any of these inputs for the stable growth period?</t>
  </si>
  <si>
    <t xml:space="preserve">If yes, specify the values for these inputs </t>
  </si>
  <si>
    <t>ROE =</t>
  </si>
  <si>
    <t>Do you want me to gradually adjust your inputs during the second half?</t>
  </si>
  <si>
    <t>Inputs for Stable Growth Period</t>
  </si>
  <si>
    <t>Enter growth rate in stable growth period?</t>
  </si>
  <si>
    <t>Stable equity reinvestment ratio from fundamentals is =</t>
  </si>
  <si>
    <t>Do you want to change this equity reinvestment rate?</t>
  </si>
  <si>
    <t>If yes, enter the stable period equity reinvestment rate =</t>
  </si>
  <si>
    <t>Will the beta to change in the stable period?</t>
  </si>
  <si>
    <t>If yes, enter the beta for stable period =</t>
  </si>
  <si>
    <t>Enter the risk premium to use in stable period =</t>
  </si>
  <si>
    <t>Normalized Earnings Calculation</t>
  </si>
  <si>
    <t>Choose the approach to normalized earnings</t>
  </si>
  <si>
    <t>Approach 1: Average Net Income over last 5 years</t>
  </si>
  <si>
    <t>Current</t>
  </si>
  <si>
    <t>Average</t>
  </si>
  <si>
    <t>Net Income</t>
  </si>
  <si>
    <t>Approach 2: Normalized return on equity</t>
  </si>
  <si>
    <t>Normalized ROE =</t>
  </si>
  <si>
    <t>Normalizing Net Cap Ex</t>
  </si>
  <si>
    <t>Approach 1: Average Net Cap Ex over last 5 years</t>
  </si>
  <si>
    <t>Net Cap Ex</t>
  </si>
  <si>
    <t>EBIT</t>
  </si>
  <si>
    <t>Approach 2: Industry average</t>
  </si>
  <si>
    <t>Industry average net cap ex/ EBIT</t>
  </si>
  <si>
    <t>Normalizing Non-cash Working Capital</t>
  </si>
  <si>
    <t>Total non-cash working capital current year=</t>
  </si>
  <si>
    <t>Revenues in current year =</t>
  </si>
  <si>
    <t>Revenues last year =</t>
  </si>
  <si>
    <t>Industry average non-cash WC/ Revenues</t>
  </si>
  <si>
    <t>Normalizing Net Debt Issued</t>
  </si>
  <si>
    <t>Approaches 1 or 2: Current Book or Market Debt Ratio</t>
  </si>
  <si>
    <t>Book value of debt in current year =</t>
  </si>
  <si>
    <t>Industry average debt to capital ratio =</t>
  </si>
  <si>
    <t>Output from the program</t>
  </si>
  <si>
    <t>Cost of Equity =</t>
  </si>
  <si>
    <t>Net Income =</t>
  </si>
  <si>
    <t>Net Income without interest income from cash=</t>
  </si>
  <si>
    <t>Growth rate in Net Income =</t>
  </si>
  <si>
    <t>Equity Reinvestment Rate for high growth phase=</t>
  </si>
  <si>
    <t>The dividends for the high growth phase are shown below (upto 10 years)</t>
  </si>
  <si>
    <t>Expected Growth Rate</t>
  </si>
  <si>
    <t>Equity Reinvestment Rate</t>
  </si>
  <si>
    <t>FCFE</t>
  </si>
  <si>
    <t>Cost of Equity</t>
  </si>
  <si>
    <t>Cumulative Cost of Equity</t>
  </si>
  <si>
    <t>Present Value</t>
  </si>
  <si>
    <t>Growth Rate in Stable Phase =</t>
  </si>
  <si>
    <t>Equity Reinvestment rate inn st</t>
  </si>
  <si>
    <t>Cost of Equity in Stable Phase =</t>
  </si>
  <si>
    <t>Price at the end of growth phase =</t>
  </si>
  <si>
    <t>Present Value of FCFEs in high growth phase =</t>
  </si>
  <si>
    <t>Present Value of Terminal Equity Value =</t>
  </si>
  <si>
    <t>Value of equity in operating assets =</t>
  </si>
  <si>
    <t>Value of Cash and Marketable Securities =</t>
  </si>
  <si>
    <t>Value of equity in firm =</t>
  </si>
  <si>
    <t>Value per share =</t>
  </si>
  <si>
    <t>Industry Name</t>
  </si>
  <si>
    <t>Number of firms</t>
  </si>
  <si>
    <t>Levered Beta</t>
  </si>
  <si>
    <t>Unlevered Beta</t>
  </si>
  <si>
    <t>Std Dev: Equity</t>
  </si>
  <si>
    <t>Market D/E</t>
  </si>
  <si>
    <t>Market Debt/Capital</t>
  </si>
  <si>
    <t>ROE</t>
  </si>
  <si>
    <t>ROC</t>
  </si>
  <si>
    <t>Effective Tax Rate</t>
  </si>
  <si>
    <t>Pre-tax Operating Margin</t>
  </si>
  <si>
    <t>After-tax Operating Margin</t>
  </si>
  <si>
    <t>Net Margin</t>
  </si>
  <si>
    <t>Cap Ex/ Depreciation</t>
  </si>
  <si>
    <t>Non-cash WC/ Revenues</t>
  </si>
  <si>
    <t>Payout Ratio</t>
  </si>
  <si>
    <t>Reinvestment Rate</t>
  </si>
  <si>
    <t>Sales/Capital</t>
  </si>
  <si>
    <t>EV/Sales</t>
  </si>
  <si>
    <t>Advertising</t>
  </si>
  <si>
    <t>NA</t>
  </si>
  <si>
    <t>Aerospace/Defense</t>
  </si>
  <si>
    <t>Air Transport</t>
  </si>
  <si>
    <t>Apparel</t>
  </si>
  <si>
    <t>Auto Parts</t>
  </si>
  <si>
    <t>Automotive</t>
  </si>
  <si>
    <t>Bank</t>
  </si>
  <si>
    <t>Bank (Canadian)</t>
  </si>
  <si>
    <t>Bank (Midwest)</t>
  </si>
  <si>
    <t>Beverage</t>
  </si>
  <si>
    <t>Biotechnology</t>
  </si>
  <si>
    <t>Building Materials</t>
  </si>
  <si>
    <t>Cable TV</t>
  </si>
  <si>
    <t>Canadian Energy</t>
  </si>
  <si>
    <t>Chemical (Basic)</t>
  </si>
  <si>
    <t>Chemical (Diversified)</t>
  </si>
  <si>
    <t>Chemical (Specialty)</t>
  </si>
  <si>
    <t>Coal</t>
  </si>
  <si>
    <t>Computer Software/Svcs</t>
  </si>
  <si>
    <t>Computers/Peripherals</t>
  </si>
  <si>
    <t>Diversified Co.</t>
  </si>
  <si>
    <t>Drug</t>
  </si>
  <si>
    <t>E-Commerce</t>
  </si>
  <si>
    <t>Educational Services</t>
  </si>
  <si>
    <t>Electric Util. (Central)</t>
  </si>
  <si>
    <t>Electric Utility (East)</t>
  </si>
  <si>
    <t>Electric Utility (West)</t>
  </si>
  <si>
    <t>Electrical Equipment</t>
  </si>
  <si>
    <t>Electronics</t>
  </si>
  <si>
    <t>Engineering &amp; Const</t>
  </si>
  <si>
    <t>Entertainment</t>
  </si>
  <si>
    <t>Entertainment Tech</t>
  </si>
  <si>
    <t>Environmental</t>
  </si>
  <si>
    <t>Financial Svcs. (Div.)</t>
  </si>
  <si>
    <t>Food Processing</t>
  </si>
  <si>
    <t>Foreign Electronics</t>
  </si>
  <si>
    <t>Funeral Services</t>
  </si>
  <si>
    <t>Furn/Home Furnishings</t>
  </si>
  <si>
    <t>Healthcare Information</t>
  </si>
  <si>
    <t>Heavy Truck/Equip Makers</t>
  </si>
  <si>
    <t>Homebuilding</t>
  </si>
  <si>
    <t>Hotel/Gaming</t>
  </si>
  <si>
    <t>Household Products</t>
  </si>
  <si>
    <t>Human Resources</t>
  </si>
  <si>
    <t>Industrial Services</t>
  </si>
  <si>
    <t>Information Services</t>
  </si>
  <si>
    <t>Insurance (Life)</t>
  </si>
  <si>
    <t>Insurance (Prop/Cas.)</t>
  </si>
  <si>
    <t>Internet</t>
  </si>
  <si>
    <t>Machinery</t>
  </si>
  <si>
    <t>Maritime</t>
  </si>
  <si>
    <t>Medical Services</t>
  </si>
  <si>
    <t>Medical Supplies</t>
  </si>
  <si>
    <t>Metal Fabricating</t>
  </si>
  <si>
    <t>Metals &amp; Mining (Div.)</t>
  </si>
  <si>
    <t>Natural Gas (Div.)</t>
  </si>
  <si>
    <t>Natural Gas Utility</t>
  </si>
  <si>
    <t>Newspaper</t>
  </si>
  <si>
    <t>Office Equip/Supplies</t>
  </si>
  <si>
    <t>Oil/Gas Distribution</t>
  </si>
  <si>
    <t>Oilfield Svcs/Equip.</t>
  </si>
  <si>
    <t>Packaging &amp; Container</t>
  </si>
  <si>
    <t>Paper/Forest Products</t>
  </si>
  <si>
    <t>Petroleum (Integrated)</t>
  </si>
  <si>
    <t>Petroleum (Producing)</t>
  </si>
  <si>
    <t>Pharmacy Services</t>
  </si>
  <si>
    <t>Pipeline MLPs</t>
  </si>
  <si>
    <t>Power</t>
  </si>
  <si>
    <t>Precious Metals</t>
  </si>
  <si>
    <t>Precision Instrument</t>
  </si>
  <si>
    <t>Property Management</t>
  </si>
  <si>
    <t>Public/Private Equity</t>
  </si>
  <si>
    <t>Publishing</t>
  </si>
  <si>
    <t>R.E.I.T.</t>
  </si>
  <si>
    <t>Railroad</t>
  </si>
  <si>
    <t>Recreation</t>
  </si>
  <si>
    <t>Reinsurance</t>
  </si>
  <si>
    <t>Restaurant</t>
  </si>
  <si>
    <t>Retail (Special Lines)</t>
  </si>
  <si>
    <t>Retail Automotive</t>
  </si>
  <si>
    <t>Retail Building Supply</t>
  </si>
  <si>
    <t>Retail Store</t>
  </si>
  <si>
    <t>Retail/Wholesale Food</t>
  </si>
  <si>
    <t>Securities Brokerage</t>
  </si>
  <si>
    <t>Semiconductor</t>
  </si>
  <si>
    <t>Semiconductor Equip</t>
  </si>
  <si>
    <t>Shoe</t>
  </si>
  <si>
    <t>Steel (General)</t>
  </si>
  <si>
    <t>Steel (Integrated)</t>
  </si>
  <si>
    <t>Telecom. Equipment</t>
  </si>
  <si>
    <t>Telecom. Services</t>
  </si>
  <si>
    <t>Telecom. Utility</t>
  </si>
  <si>
    <t>Thrift</t>
  </si>
  <si>
    <t>Tobacco</t>
  </si>
  <si>
    <t>Toiletries/Cosmetics</t>
  </si>
  <si>
    <t>Trucking</t>
  </si>
  <si>
    <t>Utility (Foreign)</t>
  </si>
  <si>
    <t>Water Utility</t>
  </si>
  <si>
    <t>Wireless Networking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</si>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</sst>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&quot;$&quot;#,##0.00_);[Red]\(&quot;$&quot;#,##0.00\)"/>
    <numFmt numFmtId="178" formatCode="0.0000"/>
  </numFmts>
  <fonts count="26">
    <font>
      <sz val="10"/>
      <name val="Geneva"/>
    </font>
    <font>
      <b/>
      <sz val="10"/>
      <name val="Geneva"/>
    </font>
    <font>
      <i/>
      <sz val="10"/>
      <name val="Geneva"/>
    </font>
    <font>
      <sz val="10"/>
      <name val="Geneva"/>
    </font>
    <font>
      <sz val="14"/>
      <name val="Times"/>
    </font>
    <font>
      <b/>
      <sz val="12"/>
      <name val="Times"/>
    </font>
    <font>
      <sz val="12"/>
      <name val="Times"/>
    </font>
    <font>
      <b/>
      <sz val="14"/>
      <name val="Times"/>
    </font>
    <font>
      <sz val="14"/>
      <name val="Geneva"/>
    </font>
    <font>
      <sz val="10"/>
      <name val="Times"/>
    </font>
    <font>
      <sz val="10"/>
      <name val="Geneva"/>
    </font>
    <font>
      <i/>
      <sz val="10"/>
      <name val="Times"/>
    </font>
    <font>
      <b/>
      <sz val="10"/>
      <name val="Times"/>
    </font>
    <font>
      <b/>
      <i/>
      <sz val="10"/>
      <name val="Times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8"/>
      <color indexed="10"/>
      <name val="Times"/>
    </font>
    <font>
      <b/>
      <sz val="10"/>
      <color indexed="10"/>
      <name val="Times"/>
    </font>
    <font>
      <sz val="10"/>
      <color indexed="10"/>
      <name val="Geneva"/>
    </font>
    <font>
      <sz val="10"/>
      <color indexed="10"/>
      <name val="Times"/>
    </font>
    <font>
      <sz val="8"/>
      <name val="Geneva"/>
    </font>
    <font>
      <i/>
      <sz val="9"/>
      <name val="Geneva"/>
    </font>
    <font>
      <b/>
      <sz val="9"/>
      <name val="Geneva"/>
    </font>
    <font>
      <sz val="8"/>
      <name val="Verdana"/>
    </font>
    <font>
      <sz val="9"/>
      <name val="Genev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177" fontId="9" fillId="2" borderId="1" xfId="1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9" fillId="2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10" fontId="9" fillId="3" borderId="1" xfId="2" applyNumberFormat="1" applyFont="1" applyFill="1" applyBorder="1" applyAlignment="1">
      <alignment horizontal="center"/>
    </xf>
    <xf numFmtId="10" fontId="9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177" fontId="12" fillId="3" borderId="1" xfId="1" applyFont="1" applyFill="1" applyBorder="1" applyAlignment="1">
      <alignment horizontal="center"/>
    </xf>
    <xf numFmtId="177" fontId="9" fillId="3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10" fontId="11" fillId="3" borderId="1" xfId="0" applyNumberFormat="1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0" fontId="16" fillId="0" borderId="0" xfId="0" applyFont="1"/>
    <xf numFmtId="9" fontId="9" fillId="2" borderId="1" xfId="0" applyNumberFormat="1" applyFont="1" applyFill="1" applyBorder="1"/>
    <xf numFmtId="176" fontId="9" fillId="3" borderId="1" xfId="1" applyNumberFormat="1" applyFont="1" applyFill="1" applyBorder="1" applyAlignment="1">
      <alignment horizontal="center"/>
    </xf>
    <xf numFmtId="10" fontId="9" fillId="0" borderId="1" xfId="2" applyNumberFormat="1" applyFont="1" applyBorder="1" applyAlignment="1">
      <alignment horizontal="center"/>
    </xf>
    <xf numFmtId="0" fontId="17" fillId="0" borderId="0" xfId="0" applyFont="1" applyAlignment="1">
      <alignment horizontal="centerContinuous"/>
    </xf>
    <xf numFmtId="0" fontId="18" fillId="0" borderId="0" xfId="0" applyFont="1"/>
    <xf numFmtId="0" fontId="19" fillId="0" borderId="0" xfId="0" applyFont="1"/>
    <xf numFmtId="0" fontId="20" fillId="0" borderId="0" xfId="0" applyFont="1"/>
    <xf numFmtId="2" fontId="9" fillId="2" borderId="1" xfId="0" applyNumberFormat="1" applyFont="1" applyFill="1" applyBorder="1" applyAlignment="1">
      <alignment horizontal="center"/>
    </xf>
    <xf numFmtId="177" fontId="20" fillId="3" borderId="1" xfId="1" applyFont="1" applyFill="1" applyBorder="1" applyAlignment="1">
      <alignment horizontal="center"/>
    </xf>
    <xf numFmtId="177" fontId="9" fillId="0" borderId="0" xfId="0" applyNumberFormat="1" applyFont="1"/>
    <xf numFmtId="0" fontId="9" fillId="2" borderId="1" xfId="0" applyFont="1" applyFill="1" applyBorder="1"/>
    <xf numFmtId="177" fontId="9" fillId="2" borderId="2" xfId="1" applyFont="1" applyFill="1" applyBorder="1"/>
    <xf numFmtId="177" fontId="9" fillId="0" borderId="0" xfId="1" applyFont="1" applyFill="1" applyBorder="1"/>
    <xf numFmtId="177" fontId="9" fillId="0" borderId="0" xfId="1" applyFont="1" applyFill="1" applyBorder="1" applyAlignment="1">
      <alignment horizontal="center"/>
    </xf>
    <xf numFmtId="177" fontId="20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177" fontId="9" fillId="2" borderId="0" xfId="1" applyFont="1" applyFill="1" applyBorder="1"/>
    <xf numFmtId="177" fontId="0" fillId="0" borderId="0" xfId="0" applyNumberFormat="1"/>
    <xf numFmtId="0" fontId="22" fillId="0" borderId="1" xfId="0" applyFont="1" applyBorder="1"/>
    <xf numFmtId="0" fontId="22" fillId="0" borderId="3" xfId="0" applyFont="1" applyBorder="1" applyAlignment="1">
      <alignment horizontal="center"/>
    </xf>
    <xf numFmtId="0" fontId="22" fillId="0" borderId="3" xfId="0" applyFont="1" applyBorder="1"/>
    <xf numFmtId="2" fontId="22" fillId="0" borderId="3" xfId="0" applyNumberFormat="1" applyFont="1" applyBorder="1"/>
    <xf numFmtId="0" fontId="25" fillId="0" borderId="4" xfId="0" applyFont="1" applyBorder="1"/>
    <xf numFmtId="0" fontId="25" fillId="0" borderId="5" xfId="0" applyFont="1" applyBorder="1" applyAlignment="1">
      <alignment horizontal="center"/>
    </xf>
    <xf numFmtId="2" fontId="25" fillId="0" borderId="5" xfId="0" applyNumberFormat="1" applyFont="1" applyBorder="1" applyAlignment="1">
      <alignment horizontal="center"/>
    </xf>
    <xf numFmtId="10" fontId="25" fillId="0" borderId="5" xfId="0" applyNumberFormat="1" applyFont="1" applyBorder="1" applyAlignment="1">
      <alignment horizontal="center"/>
    </xf>
    <xf numFmtId="0" fontId="23" fillId="0" borderId="4" xfId="0" applyFont="1" applyBorder="1"/>
    <xf numFmtId="0" fontId="23" fillId="0" borderId="5" xfId="0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77" fontId="9" fillId="4" borderId="1" xfId="1" applyFont="1" applyFill="1" applyBorder="1" applyAlignment="1">
      <alignment horizontal="center"/>
    </xf>
    <xf numFmtId="10" fontId="9" fillId="4" borderId="1" xfId="2" applyNumberFormat="1" applyFont="1" applyFill="1" applyBorder="1" applyAlignment="1">
      <alignment horizontal="center"/>
    </xf>
    <xf numFmtId="178" fontId="9" fillId="4" borderId="1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/>
  </cellXfs>
  <cellStyles count="3">
    <cellStyle name="백분율" xfId="2" builtinId="5"/>
    <cellStyle name="통화" xfId="1" builtinId="4"/>
    <cellStyle name="표준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590550</xdr:colOff>
          <xdr:row>47</xdr:row>
          <xdr:rowOff>85725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8246DB89-3781-1F91-1701-2520A3101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B854-E099-4D7B-95F8-2217B2C823D1}">
  <dimension ref="A1:H32"/>
  <sheetViews>
    <sheetView workbookViewId="0">
      <selection activeCell="A2" sqref="A2"/>
    </sheetView>
  </sheetViews>
  <sheetFormatPr defaultRowHeight="12.75"/>
  <cols>
    <col min="1" max="1" width="16.28515625" style="41" bestFit="1" customWidth="1"/>
    <col min="2" max="2" width="48" bestFit="1" customWidth="1"/>
    <col min="3" max="256" width="11.42578125" customWidth="1"/>
  </cols>
  <sheetData>
    <row r="1" spans="1:8" ht="20.100000000000001" customHeight="1">
      <c r="A1" s="39" t="s">
        <v>0</v>
      </c>
      <c r="B1" s="2"/>
      <c r="C1" s="2"/>
      <c r="D1" s="2"/>
      <c r="E1" s="2"/>
      <c r="F1" s="2"/>
      <c r="G1" s="2"/>
      <c r="H1" s="2"/>
    </row>
    <row r="2" spans="1:8" s="35" customFormat="1" ht="14.1" customHeight="1">
      <c r="A2" s="40" t="s">
        <v>1</v>
      </c>
      <c r="B2" s="10" t="s">
        <v>2</v>
      </c>
      <c r="C2" s="70"/>
      <c r="D2" s="70"/>
      <c r="E2" s="70"/>
      <c r="F2" s="70"/>
      <c r="G2" s="70"/>
      <c r="H2" s="70"/>
    </row>
    <row r="3" spans="1:8" s="11" customFormat="1" ht="14.1" customHeight="1">
      <c r="A3" s="41"/>
      <c r="B3" s="10" t="s">
        <v>3</v>
      </c>
      <c r="C3" s="70"/>
      <c r="D3" s="70"/>
      <c r="E3" s="70"/>
      <c r="F3" s="70"/>
      <c r="G3" s="70"/>
      <c r="H3" s="70"/>
    </row>
    <row r="4" spans="1:8" s="11" customFormat="1" ht="14.1" customHeight="1">
      <c r="A4" s="41"/>
      <c r="B4" s="10" t="s">
        <v>4</v>
      </c>
      <c r="C4" s="70"/>
      <c r="D4" s="70"/>
      <c r="E4" s="70"/>
      <c r="F4" s="70"/>
      <c r="G4" s="70"/>
      <c r="H4" s="70"/>
    </row>
    <row r="5" spans="1:8" s="11" customFormat="1" ht="14.1" customHeight="1">
      <c r="A5" s="40" t="s">
        <v>5</v>
      </c>
      <c r="B5" s="10" t="s">
        <v>6</v>
      </c>
      <c r="C5" s="70"/>
      <c r="D5" s="70"/>
      <c r="E5" s="70"/>
      <c r="F5" s="70"/>
      <c r="G5" s="70"/>
      <c r="H5" s="70"/>
    </row>
    <row r="6" spans="1:8" s="11" customFormat="1" ht="14.1" customHeight="1">
      <c r="A6" s="41"/>
      <c r="B6" s="10" t="s">
        <v>7</v>
      </c>
      <c r="C6" s="70"/>
      <c r="D6" s="70"/>
      <c r="E6" s="70"/>
      <c r="F6" s="70"/>
      <c r="G6" s="70"/>
      <c r="H6" s="70"/>
    </row>
    <row r="7" spans="1:8" s="35" customFormat="1" ht="14.1" customHeight="1">
      <c r="A7" s="40"/>
      <c r="B7" s="10" t="s">
        <v>8</v>
      </c>
      <c r="C7" s="70"/>
      <c r="D7" s="70"/>
      <c r="E7" s="70"/>
      <c r="F7" s="70"/>
      <c r="G7" s="70"/>
      <c r="H7" s="70"/>
    </row>
    <row r="8" spans="1:8" s="11" customFormat="1" ht="14.1" customHeight="1">
      <c r="A8" s="41"/>
      <c r="B8" s="10" t="s">
        <v>9</v>
      </c>
      <c r="C8" s="70"/>
      <c r="D8" s="70"/>
      <c r="E8" s="70"/>
      <c r="F8" s="70"/>
      <c r="G8" s="70"/>
      <c r="H8" s="70"/>
    </row>
    <row r="9" spans="1:8" s="11" customFormat="1" ht="14.1" customHeight="1">
      <c r="A9" s="41"/>
      <c r="B9" s="10" t="s">
        <v>10</v>
      </c>
      <c r="C9" s="70"/>
      <c r="D9" s="70"/>
      <c r="E9" s="70"/>
      <c r="F9" s="70"/>
      <c r="G9" s="70"/>
      <c r="H9" s="70"/>
    </row>
    <row r="10" spans="1:8" s="11" customFormat="1" ht="14.1" customHeight="1">
      <c r="A10" s="41"/>
      <c r="B10" s="10" t="s">
        <v>11</v>
      </c>
      <c r="C10" s="70"/>
      <c r="D10" s="70"/>
      <c r="E10" s="70"/>
      <c r="F10" s="70"/>
      <c r="G10" s="70"/>
      <c r="H10" s="70"/>
    </row>
    <row r="11" spans="1:8" s="11" customFormat="1" ht="14.1" customHeight="1">
      <c r="A11" s="41"/>
      <c r="B11" s="10" t="s">
        <v>12</v>
      </c>
      <c r="C11" s="70"/>
      <c r="D11" s="70"/>
      <c r="E11" s="70"/>
      <c r="F11" s="70"/>
      <c r="G11" s="70"/>
      <c r="H11" s="70"/>
    </row>
    <row r="12" spans="1:8" s="10" customFormat="1" ht="14.1" customHeight="1">
      <c r="A12" s="40" t="s">
        <v>13</v>
      </c>
      <c r="B12" s="10" t="s">
        <v>14</v>
      </c>
    </row>
    <row r="13" spans="1:8" s="10" customFormat="1" ht="14.1" customHeight="1">
      <c r="A13" s="42"/>
      <c r="B13" s="10" t="s">
        <v>15</v>
      </c>
    </row>
    <row r="14" spans="1:8" s="10" customFormat="1" ht="14.1" customHeight="1">
      <c r="A14" s="42"/>
      <c r="B14" s="10" t="s">
        <v>16</v>
      </c>
    </row>
    <row r="15" spans="1:8" s="10" customFormat="1" ht="14.1" customHeight="1">
      <c r="A15" s="42"/>
      <c r="B15" s="10" t="s">
        <v>17</v>
      </c>
    </row>
    <row r="16" spans="1:8" s="10" customFormat="1" ht="14.1" customHeight="1">
      <c r="A16" s="42"/>
      <c r="B16" s="10" t="s">
        <v>18</v>
      </c>
    </row>
    <row r="17" spans="1:2" s="10" customFormat="1">
      <c r="A17" s="42"/>
      <c r="B17" s="10" t="s">
        <v>19</v>
      </c>
    </row>
    <row r="18" spans="1:2" s="10" customFormat="1" ht="14.1" customHeight="1">
      <c r="A18" s="42"/>
      <c r="B18" s="10" t="s">
        <v>20</v>
      </c>
    </row>
    <row r="19" spans="1:2" s="10" customFormat="1" ht="14.1" customHeight="1">
      <c r="A19" s="42"/>
      <c r="B19" s="10" t="s">
        <v>21</v>
      </c>
    </row>
    <row r="20" spans="1:2" s="10" customFormat="1" ht="14.1" customHeight="1">
      <c r="A20" s="42"/>
      <c r="B20" s="10" t="s">
        <v>22</v>
      </c>
    </row>
    <row r="21" spans="1:2" s="10" customFormat="1" ht="14.1" customHeight="1">
      <c r="A21" s="42"/>
      <c r="B21" s="10" t="s">
        <v>23</v>
      </c>
    </row>
    <row r="22" spans="1:2" s="10" customFormat="1" ht="14.1" customHeight="1">
      <c r="A22" s="42"/>
      <c r="B22" s="10" t="s">
        <v>24</v>
      </c>
    </row>
    <row r="23" spans="1:2" s="10" customFormat="1" ht="14.1" customHeight="1">
      <c r="A23" s="42"/>
      <c r="B23" s="10" t="s">
        <v>25</v>
      </c>
    </row>
    <row r="24" spans="1:2" s="10" customFormat="1" ht="14.1" customHeight="1">
      <c r="A24" s="42"/>
      <c r="B24" s="10" t="s">
        <v>26</v>
      </c>
    </row>
    <row r="25" spans="1:2" s="10" customFormat="1" ht="14.1" customHeight="1">
      <c r="A25" s="42"/>
      <c r="B25" s="10" t="s">
        <v>27</v>
      </c>
    </row>
    <row r="26" spans="1:2" s="10" customFormat="1" ht="14.1" customHeight="1">
      <c r="A26" s="42"/>
      <c r="B26" s="10" t="s">
        <v>28</v>
      </c>
    </row>
    <row r="27" spans="1:2" s="10" customFormat="1" ht="14.1" customHeight="1">
      <c r="A27" s="40" t="s">
        <v>29</v>
      </c>
      <c r="B27" s="10" t="s">
        <v>30</v>
      </c>
    </row>
    <row r="28" spans="1:2" s="10" customFormat="1" ht="14.1" customHeight="1">
      <c r="A28" s="42"/>
      <c r="B28" s="10" t="s">
        <v>31</v>
      </c>
    </row>
    <row r="29" spans="1:2" s="10" customFormat="1" ht="14.1" customHeight="1">
      <c r="A29" s="42"/>
      <c r="B29" s="10" t="s">
        <v>32</v>
      </c>
    </row>
    <row r="30" spans="1:2">
      <c r="A30" s="42"/>
      <c r="B30" s="10" t="s">
        <v>33</v>
      </c>
    </row>
    <row r="31" spans="1:2">
      <c r="A31" s="42"/>
      <c r="B31" s="10" t="s">
        <v>34</v>
      </c>
    </row>
    <row r="32" spans="1:2">
      <c r="A32" s="42"/>
      <c r="B32" s="10" t="s">
        <v>35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BA2C-901C-4C54-AB41-807E2C5900E8}">
  <dimension ref="A1:H51"/>
  <sheetViews>
    <sheetView workbookViewId="0">
      <selection activeCell="B51" sqref="B51"/>
    </sheetView>
  </sheetViews>
  <sheetFormatPr defaultRowHeight="12.75"/>
  <cols>
    <col min="1" max="1" width="43.85546875" bestFit="1" customWidth="1"/>
    <col min="2" max="256" width="11.42578125" customWidth="1"/>
  </cols>
  <sheetData>
    <row r="1" spans="1:6" s="4" customFormat="1" ht="15.75">
      <c r="A1" s="4" t="s">
        <v>36</v>
      </c>
    </row>
    <row r="2" spans="1:6">
      <c r="A2" s="10" t="s">
        <v>37</v>
      </c>
      <c r="B2" s="18">
        <v>11809</v>
      </c>
      <c r="C2" s="10"/>
      <c r="D2" s="12" t="s">
        <v>38</v>
      </c>
      <c r="E2" s="10"/>
    </row>
    <row r="3" spans="1:6">
      <c r="A3" s="10" t="s">
        <v>39</v>
      </c>
      <c r="B3" s="18">
        <f>7021*0.015</f>
        <v>105.315</v>
      </c>
      <c r="C3" s="27" t="s">
        <v>40</v>
      </c>
      <c r="D3" s="12"/>
      <c r="E3" s="10"/>
      <c r="F3" s="53"/>
    </row>
    <row r="4" spans="1:6">
      <c r="A4" s="10" t="s">
        <v>41</v>
      </c>
      <c r="B4" s="18">
        <v>31317</v>
      </c>
      <c r="C4" s="47">
        <v>25346</v>
      </c>
      <c r="D4" s="12" t="s">
        <v>38</v>
      </c>
      <c r="E4" s="10"/>
    </row>
    <row r="5" spans="1:6">
      <c r="A5" s="10" t="s">
        <v>42</v>
      </c>
      <c r="B5" s="18">
        <v>8517</v>
      </c>
      <c r="C5" s="52">
        <v>7021</v>
      </c>
      <c r="D5" s="12"/>
      <c r="E5" s="10"/>
    </row>
    <row r="6" spans="1:6">
      <c r="A6" s="10" t="s">
        <v>43</v>
      </c>
      <c r="B6" s="18">
        <v>156173</v>
      </c>
      <c r="C6" s="48"/>
      <c r="D6" s="12"/>
      <c r="E6" s="10"/>
    </row>
    <row r="7" spans="1:6">
      <c r="A7" s="10" t="s">
        <v>44</v>
      </c>
      <c r="B7" s="43">
        <v>2289.25</v>
      </c>
      <c r="C7" s="48"/>
      <c r="D7" s="12"/>
      <c r="E7" s="10"/>
    </row>
    <row r="8" spans="1:6" s="10" customFormat="1" ht="14.1" customHeight="1">
      <c r="A8" s="10" t="s">
        <v>45</v>
      </c>
      <c r="B8" s="13">
        <v>2215</v>
      </c>
      <c r="C8" s="12"/>
    </row>
    <row r="9" spans="1:6" s="10" customFormat="1" ht="14.1" customHeight="1">
      <c r="A9" s="10" t="s">
        <v>46</v>
      </c>
      <c r="B9" s="13">
        <v>1443</v>
      </c>
      <c r="C9" s="12"/>
    </row>
    <row r="10" spans="1:6" s="10" customFormat="1" ht="14.1" customHeight="1">
      <c r="A10" s="10" t="s">
        <v>47</v>
      </c>
      <c r="B10" s="13">
        <v>335</v>
      </c>
      <c r="C10" s="12"/>
    </row>
    <row r="11" spans="1:6" s="10" customFormat="1" ht="14.1" customHeight="1">
      <c r="A11" s="10" t="s">
        <v>48</v>
      </c>
      <c r="B11" s="13">
        <v>150</v>
      </c>
      <c r="C11" s="12"/>
      <c r="E11" s="45"/>
    </row>
    <row r="12" spans="1:6" s="10" customFormat="1" ht="14.1" customHeight="1">
      <c r="A12" s="10" t="s">
        <v>49</v>
      </c>
      <c r="B12" s="13" t="s">
        <v>50</v>
      </c>
      <c r="C12" s="12"/>
      <c r="E12" s="45"/>
    </row>
    <row r="13" spans="1:6" s="10" customFormat="1" ht="14.1" customHeight="1">
      <c r="A13" s="10" t="s">
        <v>51</v>
      </c>
      <c r="B13" s="13" t="s">
        <v>50</v>
      </c>
      <c r="C13" s="12"/>
    </row>
    <row r="14" spans="1:6" s="10" customFormat="1" ht="14.1" customHeight="1">
      <c r="A14" s="10" t="s">
        <v>52</v>
      </c>
      <c r="B14" s="49"/>
      <c r="C14" s="12"/>
      <c r="D14" s="5"/>
    </row>
    <row r="15" spans="1:6" s="10" customFormat="1" ht="14.1" customHeight="1">
      <c r="A15" s="10" t="s">
        <v>53</v>
      </c>
      <c r="B15" s="31">
        <f>IF('Normalized Reinvestment'!B2=0,Inputs!B8-Inputs!B9,IF('Normalized Reinvestment'!B2=1,'Normalized Reinvestment'!G7*'Normalized Reinvestment'!F6,'Normalized Reinvestment'!B9*'Normalized Reinvestment'!F6))</f>
        <v>4242.6098079237972</v>
      </c>
      <c r="C15" s="12"/>
    </row>
    <row r="16" spans="1:6" s="10" customFormat="1" ht="14.1" customHeight="1">
      <c r="A16" s="10" t="s">
        <v>54</v>
      </c>
      <c r="B16" s="31">
        <f>IF('Normalized Reinvestment'!B12=0,Inputs!B10,IF('Normalized Reinvestment'!B12=1,('Normalized Reinvestment'!B14/'Normalized Reinvestment'!B15)*('Normalized Reinvestment'!B15-'Normalized Reinvestment'!B16),'Normalized Reinvestment'!B19*('Normalized Reinvestment'!B15-'Normalized Reinvestment'!B16)))</f>
        <v>336.30537636037866</v>
      </c>
      <c r="C16" s="12"/>
    </row>
    <row r="17" spans="1:6" s="10" customFormat="1" ht="14.1" customHeight="1">
      <c r="A17" s="10" t="s">
        <v>55</v>
      </c>
      <c r="B17" s="31">
        <f>IF('Normalized Reinvestment'!B22=0,Inputs!B11,IF('Normalized Reinvestment'!B22=1,('Normalized Reinvestment'!B24/('Normalized Reinvestment'!B24+Inputs!B4))*(Inputs!B15+Inputs!B16),(IF('Normalized Reinvestment'!B22=2,('Normalized Reinvestment'!B24/('Normalized Reinvestment'!B24+Inputs!B6))*(Inputs!B15+Inputs!B16),'Normalized Reinvestment'!B27*(Inputs!B15+Inputs!B16)))))</f>
        <v>958.67062921657828</v>
      </c>
      <c r="C17" s="12"/>
    </row>
    <row r="18" spans="1:6">
      <c r="A18" s="10"/>
      <c r="B18" s="10"/>
      <c r="C18" s="12"/>
      <c r="D18" s="10"/>
      <c r="E18" s="10"/>
    </row>
    <row r="19" spans="1:6">
      <c r="A19" s="15" t="s">
        <v>56</v>
      </c>
      <c r="B19" s="10"/>
      <c r="C19" s="10"/>
      <c r="D19" s="12"/>
      <c r="E19" s="10"/>
    </row>
    <row r="20" spans="1:6">
      <c r="A20" s="10" t="s">
        <v>57</v>
      </c>
      <c r="B20" s="16">
        <v>0.9</v>
      </c>
      <c r="C20" s="10"/>
      <c r="D20" s="12"/>
      <c r="E20" s="10"/>
    </row>
    <row r="21" spans="1:6">
      <c r="A21" s="10" t="s">
        <v>58</v>
      </c>
      <c r="B21" s="14">
        <v>3.5000000000000003E-2</v>
      </c>
      <c r="C21" s="12" t="s">
        <v>59</v>
      </c>
      <c r="D21" s="12"/>
      <c r="E21" s="10"/>
    </row>
    <row r="22" spans="1:6">
      <c r="A22" s="10" t="s">
        <v>60</v>
      </c>
      <c r="B22" s="14">
        <v>5.5E-2</v>
      </c>
      <c r="C22" s="12" t="s">
        <v>59</v>
      </c>
      <c r="D22" s="12"/>
      <c r="E22" s="10"/>
    </row>
    <row r="23" spans="1:6">
      <c r="A23" s="10"/>
      <c r="B23" s="10"/>
      <c r="C23" s="10"/>
      <c r="D23" s="12"/>
      <c r="E23" s="10"/>
    </row>
    <row r="24" spans="1:6" ht="15.75">
      <c r="A24" s="22" t="s">
        <v>61</v>
      </c>
      <c r="B24" s="10"/>
      <c r="C24" s="10"/>
      <c r="D24" s="12"/>
      <c r="E24" s="5"/>
    </row>
    <row r="25" spans="1:6">
      <c r="A25" s="10" t="s">
        <v>62</v>
      </c>
      <c r="B25" s="17">
        <v>10</v>
      </c>
      <c r="C25" s="10"/>
      <c r="D25" s="12"/>
      <c r="E25" s="10"/>
    </row>
    <row r="26" spans="1:6">
      <c r="A26" s="10"/>
      <c r="B26" s="10"/>
      <c r="C26" s="10"/>
      <c r="D26" s="10"/>
      <c r="E26" s="12"/>
      <c r="F26" s="10"/>
    </row>
    <row r="27" spans="1:6">
      <c r="A27" s="10" t="s">
        <v>63</v>
      </c>
      <c r="B27" s="17" t="s">
        <v>64</v>
      </c>
      <c r="C27" s="12" t="s">
        <v>65</v>
      </c>
    </row>
    <row r="28" spans="1:6">
      <c r="A28" s="10" t="s">
        <v>66</v>
      </c>
      <c r="B28" s="17"/>
      <c r="C28" s="12"/>
    </row>
    <row r="29" spans="1:6">
      <c r="A29" s="15" t="s">
        <v>67</v>
      </c>
      <c r="B29" s="10"/>
      <c r="C29" s="10"/>
      <c r="D29" s="10"/>
      <c r="E29" s="12"/>
      <c r="F29" s="10"/>
    </row>
    <row r="30" spans="1:6">
      <c r="A30" s="10" t="s">
        <v>68</v>
      </c>
      <c r="B30" s="24">
        <f>IF(B12="No",(B2-B3)/(C4-C5),IF('Normalized Earnings'!B2=1,('Normalized Earnings'!G5-B3)/(C4-C5),'Normalized Earnings'!B8))</f>
        <v>0.63867312414733968</v>
      </c>
      <c r="C30" s="12" t="s">
        <v>59</v>
      </c>
      <c r="D30" s="70"/>
      <c r="E30" s="70"/>
      <c r="F30" s="10"/>
    </row>
    <row r="31" spans="1:6">
      <c r="A31" s="10" t="s">
        <v>69</v>
      </c>
      <c r="B31" s="24">
        <f>IF(B13="Yes",(B15+B16-B17)/(B2-B3),(Inputs!B8-Inputs!B9+Inputs!B10-B11)/(B2-B3))</f>
        <v>8.1769118017103168E-2</v>
      </c>
      <c r="C31" s="12" t="s">
        <v>59</v>
      </c>
      <c r="D31" s="71"/>
      <c r="E31" s="70"/>
      <c r="F31" s="10"/>
    </row>
    <row r="32" spans="1:6">
      <c r="A32" s="10" t="s">
        <v>70</v>
      </c>
      <c r="B32" s="17" t="s">
        <v>64</v>
      </c>
    </row>
    <row r="33" spans="1:8">
      <c r="A33" s="15" t="s">
        <v>71</v>
      </c>
      <c r="B33" s="10"/>
      <c r="C33" s="10"/>
      <c r="D33" s="10"/>
      <c r="E33" s="12"/>
      <c r="F33" s="10"/>
    </row>
    <row r="34" spans="1:8">
      <c r="A34" s="10" t="s">
        <v>68</v>
      </c>
      <c r="B34" s="14">
        <v>0.3</v>
      </c>
      <c r="C34" s="12" t="s">
        <v>59</v>
      </c>
      <c r="D34" s="10"/>
      <c r="E34" s="70"/>
      <c r="F34" s="70"/>
    </row>
    <row r="35" spans="1:8">
      <c r="A35" s="10" t="s">
        <v>69</v>
      </c>
      <c r="B35" s="14">
        <v>0.25</v>
      </c>
      <c r="C35" s="12" t="s">
        <v>59</v>
      </c>
      <c r="D35" s="10"/>
      <c r="E35" s="70"/>
      <c r="F35" s="70"/>
    </row>
    <row r="36" spans="1:8">
      <c r="A36" s="10" t="s">
        <v>72</v>
      </c>
      <c r="B36" s="17" t="s">
        <v>64</v>
      </c>
    </row>
    <row r="37" spans="1:8" ht="15.75">
      <c r="A37" s="15" t="s">
        <v>73</v>
      </c>
      <c r="B37" s="12"/>
      <c r="C37" s="10"/>
      <c r="D37" s="12"/>
      <c r="E37" s="5"/>
      <c r="F37" s="10"/>
      <c r="H37">
        <f>(2215-1442+335-150)/11704</f>
        <v>8.1852358168147649E-2</v>
      </c>
    </row>
    <row r="38" spans="1:8">
      <c r="A38" s="10" t="s">
        <v>74</v>
      </c>
      <c r="B38" s="14">
        <v>0.15</v>
      </c>
      <c r="C38" s="12" t="s">
        <v>59</v>
      </c>
      <c r="D38" s="10"/>
      <c r="E38" s="71"/>
      <c r="F38" s="70"/>
    </row>
    <row r="39" spans="1:8">
      <c r="A39" s="10"/>
      <c r="B39" s="34"/>
      <c r="C39" s="12"/>
      <c r="D39" s="10"/>
      <c r="E39" s="70"/>
      <c r="F39" s="70"/>
    </row>
    <row r="40" spans="1:8">
      <c r="A40" s="10" t="s">
        <v>75</v>
      </c>
      <c r="B40" s="14" t="s">
        <v>64</v>
      </c>
      <c r="C40" s="12"/>
      <c r="D40" s="10"/>
      <c r="E40" s="70"/>
      <c r="F40" s="70"/>
    </row>
    <row r="41" spans="1:8">
      <c r="A41" s="10"/>
      <c r="B41" s="34"/>
      <c r="C41" s="12"/>
      <c r="D41" s="10"/>
      <c r="E41" s="70"/>
      <c r="F41" s="70"/>
    </row>
    <row r="42" spans="1:8" ht="13.5">
      <c r="A42" s="22" t="s">
        <v>76</v>
      </c>
      <c r="B42" s="10"/>
      <c r="C42" s="10"/>
      <c r="D42" s="12"/>
      <c r="E42" s="10"/>
    </row>
    <row r="43" spans="1:8">
      <c r="A43" s="10" t="s">
        <v>77</v>
      </c>
      <c r="B43" s="14">
        <v>0.03</v>
      </c>
      <c r="C43" s="12" t="s">
        <v>59</v>
      </c>
      <c r="D43" s="10"/>
    </row>
    <row r="44" spans="1:8">
      <c r="A44" s="10"/>
      <c r="B44" s="19"/>
      <c r="C44" s="12"/>
      <c r="D44" s="10"/>
    </row>
    <row r="45" spans="1:8">
      <c r="A45" s="10" t="s">
        <v>78</v>
      </c>
      <c r="B45" s="23">
        <f>B43/B38</f>
        <v>0.2</v>
      </c>
      <c r="C45" s="12" t="s">
        <v>59</v>
      </c>
      <c r="D45" s="10"/>
    </row>
    <row r="46" spans="1:8">
      <c r="A46" s="10" t="s">
        <v>79</v>
      </c>
      <c r="B46" s="17" t="s">
        <v>50</v>
      </c>
      <c r="C46" s="12" t="s">
        <v>65</v>
      </c>
      <c r="D46" s="10"/>
    </row>
    <row r="47" spans="1:8">
      <c r="A47" s="10" t="s">
        <v>80</v>
      </c>
      <c r="B47" s="14"/>
      <c r="C47" s="12" t="s">
        <v>59</v>
      </c>
      <c r="D47" s="10"/>
    </row>
    <row r="48" spans="1:8">
      <c r="A48" s="10"/>
      <c r="B48" s="20"/>
      <c r="C48" s="12"/>
      <c r="D48" s="10"/>
    </row>
    <row r="49" spans="1:4">
      <c r="A49" s="10" t="s">
        <v>81</v>
      </c>
      <c r="B49" s="17" t="s">
        <v>64</v>
      </c>
      <c r="C49" s="12" t="s">
        <v>65</v>
      </c>
      <c r="D49" s="10"/>
    </row>
    <row r="50" spans="1:4">
      <c r="A50" s="10" t="s">
        <v>82</v>
      </c>
      <c r="B50" s="43">
        <v>1</v>
      </c>
      <c r="C50" s="12"/>
      <c r="D50" s="10"/>
    </row>
    <row r="51" spans="1:4" s="10" customFormat="1">
      <c r="A51" s="10" t="s">
        <v>83</v>
      </c>
      <c r="B51" s="14">
        <f>B22</f>
        <v>5.5E-2</v>
      </c>
    </row>
  </sheetData>
  <phoneticPr fontId="24" type="noConversion"/>
  <pageMargins left="0.75" right="0.75" top="1" bottom="1" header="0.5" footer="0.5"/>
  <pageSetup paperSize="0" orientation="landscape" horizontalDpi="4294967292" verticalDpi="4294967292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054" r:id="rId3">
          <objectPr defaultSize="0" r:id="rId4">
            <anchor moveWithCells="1">
              <from>
                <xdr:col>7</xdr:col>
                <xdr:colOff>0</xdr:colOff>
                <xdr:row>45</xdr:row>
                <xdr:rowOff>0</xdr:rowOff>
              </from>
              <to>
                <xdr:col>8</xdr:col>
                <xdr:colOff>590550</xdr:colOff>
                <xdr:row>47</xdr:row>
                <xdr:rowOff>85725</xdr:rowOff>
              </to>
            </anchor>
          </objectPr>
        </oleObject>
      </mc:Choice>
      <mc:Fallback>
        <oleObject progId="Equation.3" shapeId="1054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F82A-BA9F-4FAD-B78A-A3C4F3456918}">
  <dimension ref="A1:J9"/>
  <sheetViews>
    <sheetView workbookViewId="0">
      <selection activeCell="C6" sqref="C6"/>
    </sheetView>
  </sheetViews>
  <sheetFormatPr defaultRowHeight="12.75"/>
  <cols>
    <col min="1" max="1" width="35.42578125" bestFit="1" customWidth="1"/>
    <col min="2" max="256" width="11.42578125" customWidth="1"/>
  </cols>
  <sheetData>
    <row r="1" spans="1:10" s="5" customFormat="1" ht="15.75">
      <c r="A1" s="69" t="s">
        <v>84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s="10" customFormat="1">
      <c r="A2" s="10" t="s">
        <v>85</v>
      </c>
      <c r="B2" s="17">
        <v>1</v>
      </c>
    </row>
    <row r="3" spans="1:10" s="10" customFormat="1">
      <c r="A3" s="10" t="s">
        <v>86</v>
      </c>
    </row>
    <row r="4" spans="1:10" s="10" customFormat="1">
      <c r="B4" s="28">
        <v>-5</v>
      </c>
      <c r="C4" s="28">
        <v>-4</v>
      </c>
      <c r="D4" s="28">
        <v>-3</v>
      </c>
      <c r="E4" s="28">
        <v>-2</v>
      </c>
      <c r="F4" s="28" t="s">
        <v>87</v>
      </c>
      <c r="G4" s="28" t="s">
        <v>88</v>
      </c>
    </row>
    <row r="5" spans="1:10" s="10" customFormat="1">
      <c r="A5" s="10" t="s">
        <v>89</v>
      </c>
      <c r="B5" s="13"/>
      <c r="C5" s="13">
        <v>15320</v>
      </c>
      <c r="D5" s="13">
        <v>11460</v>
      </c>
      <c r="E5" s="13">
        <v>21510</v>
      </c>
      <c r="F5" s="13">
        <v>25330</v>
      </c>
      <c r="G5" s="31">
        <f>AVERAGE(B5:F5)</f>
        <v>18405</v>
      </c>
    </row>
    <row r="6" spans="1:10" s="10" customFormat="1"/>
    <row r="7" spans="1:10" s="10" customFormat="1">
      <c r="A7" s="10" t="s">
        <v>90</v>
      </c>
    </row>
    <row r="8" spans="1:10" s="10" customFormat="1">
      <c r="A8" s="10" t="s">
        <v>91</v>
      </c>
      <c r="B8" s="36">
        <v>0.22</v>
      </c>
    </row>
    <row r="9" spans="1:10" s="10" customFormat="1"/>
  </sheetData>
  <mergeCells count="1">
    <mergeCell ref="A1:J1"/>
  </mergeCells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F37E-1E72-4160-90ED-05C76054F17A}">
  <dimension ref="A1:G27"/>
  <sheetViews>
    <sheetView workbookViewId="0">
      <selection activeCell="B25" sqref="B25"/>
    </sheetView>
  </sheetViews>
  <sheetFormatPr defaultRowHeight="12.75"/>
  <cols>
    <col min="1" max="1" width="26.140625" bestFit="1" customWidth="1"/>
    <col min="2" max="256" width="11.42578125" customWidth="1"/>
  </cols>
  <sheetData>
    <row r="1" spans="1:7">
      <c r="A1" t="s">
        <v>92</v>
      </c>
    </row>
    <row r="2" spans="1:7" s="10" customFormat="1">
      <c r="A2" s="10" t="s">
        <v>85</v>
      </c>
      <c r="B2" s="17">
        <v>1</v>
      </c>
    </row>
    <row r="3" spans="1:7" s="10" customFormat="1">
      <c r="A3" s="10" t="s">
        <v>93</v>
      </c>
    </row>
    <row r="4" spans="1:7" s="10" customFormat="1">
      <c r="B4" s="28">
        <v>-5</v>
      </c>
      <c r="C4" s="28">
        <v>-4</v>
      </c>
      <c r="D4" s="28">
        <v>-3</v>
      </c>
      <c r="E4" s="28">
        <v>-2</v>
      </c>
      <c r="F4" s="28" t="s">
        <v>87</v>
      </c>
      <c r="G4" s="28" t="s">
        <v>88</v>
      </c>
    </row>
    <row r="5" spans="1:7" s="10" customFormat="1">
      <c r="A5" s="10" t="s">
        <v>94</v>
      </c>
      <c r="B5" s="13"/>
      <c r="C5" s="13">
        <f>9989-7848</f>
        <v>2141</v>
      </c>
      <c r="D5" s="13">
        <f>11437-8310</f>
        <v>3127</v>
      </c>
      <c r="E5" s="13">
        <f>12859-9047</f>
        <v>3812</v>
      </c>
      <c r="F5" s="13">
        <f>11986-9767</f>
        <v>2219</v>
      </c>
      <c r="G5" s="31">
        <f>AVERAGE(B5:F5)</f>
        <v>2824.75</v>
      </c>
    </row>
    <row r="6" spans="1:7" s="10" customFormat="1">
      <c r="A6" s="10" t="s">
        <v>95</v>
      </c>
      <c r="B6" s="13"/>
      <c r="C6" s="13">
        <v>21510</v>
      </c>
      <c r="D6" s="13">
        <v>14970</v>
      </c>
      <c r="E6" s="13">
        <v>23183</v>
      </c>
      <c r="F6" s="13">
        <v>35872</v>
      </c>
      <c r="G6" s="31">
        <f>AVERAGE(B6:F6)</f>
        <v>23883.75</v>
      </c>
    </row>
    <row r="7" spans="1:7" s="10" customFormat="1">
      <c r="G7" s="24">
        <f>G5/G6</f>
        <v>0.11827079080965092</v>
      </c>
    </row>
    <row r="8" spans="1:7" s="15" customFormat="1">
      <c r="A8" s="15" t="s">
        <v>96</v>
      </c>
    </row>
    <row r="9" spans="1:7" s="10" customFormat="1">
      <c r="A9" s="10" t="s">
        <v>97</v>
      </c>
      <c r="B9" s="36">
        <v>0.22</v>
      </c>
    </row>
    <row r="11" spans="1:7">
      <c r="A11" t="s">
        <v>98</v>
      </c>
    </row>
    <row r="12" spans="1:7" s="10" customFormat="1">
      <c r="A12" s="10" t="s">
        <v>85</v>
      </c>
      <c r="B12" s="17">
        <v>1</v>
      </c>
    </row>
    <row r="13" spans="1:7" s="15" customFormat="1">
      <c r="A13" s="15" t="s">
        <v>86</v>
      </c>
    </row>
    <row r="14" spans="1:7" s="10" customFormat="1">
      <c r="A14" s="10" t="s">
        <v>99</v>
      </c>
      <c r="B14" s="46">
        <f>(24309+8968+2068-15334-18263)</f>
        <v>1748</v>
      </c>
    </row>
    <row r="15" spans="1:7" s="10" customFormat="1">
      <c r="A15" s="10" t="s">
        <v>100</v>
      </c>
      <c r="B15" s="46">
        <v>263989</v>
      </c>
    </row>
    <row r="16" spans="1:7" s="10" customFormat="1">
      <c r="A16" s="10" t="s">
        <v>101</v>
      </c>
      <c r="B16" s="46">
        <v>213199</v>
      </c>
    </row>
    <row r="17" spans="1:4" s="10" customFormat="1"/>
    <row r="18" spans="1:4" s="15" customFormat="1">
      <c r="A18" s="15" t="s">
        <v>96</v>
      </c>
    </row>
    <row r="19" spans="1:4" s="10" customFormat="1">
      <c r="A19" s="10" t="s">
        <v>102</v>
      </c>
      <c r="B19" s="36">
        <v>0.22</v>
      </c>
    </row>
    <row r="21" spans="1:4">
      <c r="A21" t="s">
        <v>103</v>
      </c>
    </row>
    <row r="22" spans="1:4" s="10" customFormat="1">
      <c r="A22" s="10" t="s">
        <v>85</v>
      </c>
      <c r="B22" s="17">
        <v>1</v>
      </c>
    </row>
    <row r="23" spans="1:4" s="15" customFormat="1">
      <c r="A23" s="15" t="s">
        <v>104</v>
      </c>
    </row>
    <row r="24" spans="1:4" s="10" customFormat="1" ht="15.75">
      <c r="A24" s="10" t="s">
        <v>105</v>
      </c>
      <c r="B24" s="46">
        <f>3280+5013</f>
        <v>8293</v>
      </c>
      <c r="D24" s="5"/>
    </row>
    <row r="25" spans="1:4" s="10" customFormat="1"/>
    <row r="26" spans="1:4" s="15" customFormat="1">
      <c r="A26" s="15" t="s">
        <v>96</v>
      </c>
    </row>
    <row r="27" spans="1:4" s="10" customFormat="1">
      <c r="A27" s="10" t="s">
        <v>106</v>
      </c>
      <c r="B27" s="36">
        <v>0.15</v>
      </c>
    </row>
  </sheetData>
  <pageMargins left="0.75" right="0.75" top="1" bottom="1" header="0.5" footer="0.5"/>
  <pageSetup paperSize="0" horizontalDpi="4294967292" verticalDpi="4294967292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89A0-0228-4663-8482-7F0A0EDBF0D6}">
  <dimension ref="A1:Q30"/>
  <sheetViews>
    <sheetView showGridLines="0" tabSelected="1" workbookViewId="0">
      <selection activeCell="B10" sqref="B10:L17"/>
    </sheetView>
  </sheetViews>
  <sheetFormatPr defaultColWidth="12.42578125" defaultRowHeight="12.75"/>
  <cols>
    <col min="1" max="1" width="2.7109375" customWidth="1"/>
    <col min="2" max="2" width="16.5703125" customWidth="1"/>
  </cols>
  <sheetData>
    <row r="1" spans="1:17" ht="20.100000000000001" customHeight="1"/>
    <row r="2" spans="1:17" ht="20.100000000000001" customHeight="1">
      <c r="A2" s="9"/>
      <c r="B2" s="8" t="s">
        <v>107</v>
      </c>
      <c r="C2" s="3"/>
      <c r="D2" s="3"/>
      <c r="E2" s="3"/>
      <c r="F2" s="3"/>
      <c r="G2" s="3"/>
      <c r="H2" s="9"/>
      <c r="I2" s="9"/>
    </row>
    <row r="3" spans="1:17" ht="20.100000000000001" customHeight="1">
      <c r="B3" s="10" t="s">
        <v>108</v>
      </c>
      <c r="C3" s="10"/>
      <c r="D3" s="24">
        <f>Inputs!B21+Inputs!B20*Inputs!B22</f>
        <v>8.4500000000000006E-2</v>
      </c>
      <c r="E3" s="12"/>
      <c r="F3" s="12"/>
      <c r="G3" s="10"/>
    </row>
    <row r="4" spans="1:17" ht="20.100000000000001" customHeight="1">
      <c r="B4" s="10" t="s">
        <v>109</v>
      </c>
      <c r="C4" s="10"/>
      <c r="D4" s="37">
        <f>IF(Inputs!B12="No",Inputs!B2,IF('Normalized Earnings'!B2=1,'Normalized Earnings'!G5,'Normalized Earnings'!B8*Inputs!C4))</f>
        <v>11809</v>
      </c>
      <c r="E4" s="12"/>
      <c r="F4" s="12"/>
      <c r="G4" s="10"/>
    </row>
    <row r="5" spans="1:17" ht="20.100000000000001" customHeight="1">
      <c r="B5" s="10" t="s">
        <v>110</v>
      </c>
      <c r="C5" s="10"/>
      <c r="D5" s="37">
        <f>D4-Inputs!B3</f>
        <v>11703.684999999999</v>
      </c>
      <c r="E5" s="12"/>
      <c r="F5" s="12"/>
      <c r="G5" s="10"/>
    </row>
    <row r="6" spans="1:17" s="7" customFormat="1" ht="20.100000000000001" customHeight="1">
      <c r="B6" s="10" t="s">
        <v>111</v>
      </c>
      <c r="C6" s="15"/>
      <c r="D6" s="33">
        <f>IF(Inputs!B27="Yes",IF(Inputs!B32="Yes",Inputs!B34*Inputs!B35,Inputs!B30*Inputs!B31),Inputs!B28)</f>
        <v>7.4999999999999997E-2</v>
      </c>
      <c r="E6" s="25"/>
      <c r="F6" s="25"/>
      <c r="G6" s="15"/>
    </row>
    <row r="7" spans="1:17" ht="20.100000000000001" customHeight="1">
      <c r="B7" s="10" t="s">
        <v>112</v>
      </c>
      <c r="C7" s="10"/>
      <c r="D7" s="24">
        <f>IF(Inputs!B32="Yes",Inputs!B35,Inputs!B31)</f>
        <v>0.25</v>
      </c>
      <c r="E7" s="12"/>
      <c r="F7" s="10"/>
    </row>
    <row r="8" spans="1:17" ht="20.100000000000001" customHeight="1">
      <c r="B8" s="10"/>
      <c r="C8" s="10"/>
      <c r="D8" s="10"/>
      <c r="E8" s="26"/>
      <c r="F8" s="12"/>
      <c r="G8" s="10"/>
    </row>
    <row r="9" spans="1:17" ht="20.100000000000001" customHeight="1">
      <c r="B9" s="15" t="s">
        <v>113</v>
      </c>
      <c r="C9" s="10"/>
      <c r="D9" s="10"/>
      <c r="E9" s="26"/>
      <c r="F9" s="12"/>
      <c r="G9" s="10"/>
    </row>
    <row r="10" spans="1:17" s="10" customFormat="1" ht="20.100000000000001" customHeight="1">
      <c r="B10" s="28"/>
      <c r="C10" s="28">
        <f>IF(Inputs!B25=0," ",1)</f>
        <v>1</v>
      </c>
      <c r="D10" s="28">
        <f>IF(Inputs!B25&lt;2," ",2)</f>
        <v>2</v>
      </c>
      <c r="E10" s="29">
        <f>IF(Inputs!B25&lt;3," ",3)</f>
        <v>3</v>
      </c>
      <c r="F10" s="28">
        <f>IF(Inputs!B25&lt;4," ",4)</f>
        <v>4</v>
      </c>
      <c r="G10" s="28">
        <f>IF(Inputs!B25&lt;5," ",5)</f>
        <v>5</v>
      </c>
      <c r="H10" s="28">
        <f>IF(Inputs!B25&lt;6," ",6)</f>
        <v>6</v>
      </c>
      <c r="I10" s="28">
        <f>IF(Inputs!B25&lt;7," ",7)</f>
        <v>7</v>
      </c>
      <c r="J10" s="28">
        <f>IF(Inputs!B25&lt;8," ",8)</f>
        <v>8</v>
      </c>
      <c r="K10" s="28">
        <f>IF(Inputs!B25&lt;9," ",9)</f>
        <v>9</v>
      </c>
      <c r="L10" s="28">
        <f>IF(Inputs!B25&lt;10," ",10)</f>
        <v>10</v>
      </c>
      <c r="M10" s="28" t="str">
        <f>IF(Inputs!B25&lt;11," ",11)</f>
        <v xml:space="preserve"> </v>
      </c>
      <c r="N10" s="28" t="str">
        <f>IF(Inputs!B25&lt;12," ",12)</f>
        <v xml:space="preserve"> </v>
      </c>
      <c r="O10" s="28" t="str">
        <f>IF(Inputs!B25&lt;13," ",13)</f>
        <v xml:space="preserve"> </v>
      </c>
      <c r="P10" s="28" t="str">
        <f>IF(Inputs!B25&lt;14," ",14)</f>
        <v xml:space="preserve"> </v>
      </c>
      <c r="Q10" s="28" t="str">
        <f>IF(Inputs!B25&lt;15," ",15)</f>
        <v xml:space="preserve"> </v>
      </c>
    </row>
    <row r="11" spans="1:17" s="10" customFormat="1" ht="20.100000000000001" customHeight="1">
      <c r="B11" s="32" t="s">
        <v>114</v>
      </c>
      <c r="C11" s="38">
        <f>IF(Inputs!$B$25&lt;C10," ",IF(Inputs!$B$40="Yes",IF(C10&lt;(Inputs!$B$25/2),$D$6,$D$19+(($D$6-$D$19)/(Inputs!$B$25/2))*(Inputs!$B$25-C10)),$D$6))</f>
        <v>7.4999999999999997E-2</v>
      </c>
      <c r="D11" s="38">
        <f>IF(Inputs!$B$25&lt;D10," ",IF(Inputs!$B$40="Yes",IF(D10&lt;(Inputs!$B$25/2),$D$6,$D$19+(($D$6-$D$19)/(Inputs!$B$25/2))*(Inputs!$B$25-D10)),$D$6))</f>
        <v>7.4999999999999997E-2</v>
      </c>
      <c r="E11" s="38">
        <f>IF(Inputs!$B$25&lt;E10," ",IF(Inputs!$B$40="Yes",IF(E10&lt;(Inputs!$B$25/2),$D$6,$D$19+(($D$6-$D$19)/(Inputs!$B$25/2))*(Inputs!$B$25-E10)),$D$6))</f>
        <v>7.4999999999999997E-2</v>
      </c>
      <c r="F11" s="38">
        <f>IF(Inputs!$B$25&lt;F10," ",IF(Inputs!$B$40="Yes",IF(F10&lt;(Inputs!$B$25/2),$D$6,$D$19+(($D$6-$D$19)/(Inputs!$B$25/2))*(Inputs!$B$25-F10)),$D$6))</f>
        <v>7.4999999999999997E-2</v>
      </c>
      <c r="G11" s="38">
        <f>IF(Inputs!$B$25&lt;G10," ",IF(Inputs!$B$40="Yes",IF(G10&lt;(Inputs!$B$25/2),$D$6,$D$19+(($D$6-$D$19)/(Inputs!$B$25/2))*(Inputs!$B$25-G10)),$D$6))</f>
        <v>7.4999999999999997E-2</v>
      </c>
      <c r="H11" s="38">
        <f>IF(Inputs!$B$25&lt;H10," ",IF(Inputs!$B$40="Yes",IF(H10&lt;(Inputs!$B$25/2),$D$6,$D$19+(($D$6-$D$19)/(Inputs!$B$25/2))*(Inputs!$B$25-H10)),$D$6))</f>
        <v>6.6000000000000003E-2</v>
      </c>
      <c r="I11" s="38">
        <f>IF(Inputs!$B$25&lt;I10," ",IF(Inputs!$B$40="Yes",IF(I10&lt;(Inputs!$B$25/2),$D$6,$D$19+(($D$6-$D$19)/(Inputs!$B$25/2))*(Inputs!$B$25-I10)),$D$6))</f>
        <v>5.6999999999999995E-2</v>
      </c>
      <c r="J11" s="38">
        <f>IF(Inputs!$B$25&lt;J10," ",IF(Inputs!$B$40="Yes",IF(J10&lt;(Inputs!$B$25/2),$D$6,$D$19+(($D$6-$D$19)/(Inputs!$B$25/2))*(Inputs!$B$25-J10)),$D$6))</f>
        <v>4.8000000000000001E-2</v>
      </c>
      <c r="K11" s="38">
        <f>IF(Inputs!$B$25&lt;K10," ",IF(Inputs!$B$40="Yes",IF(K10&lt;(Inputs!$B$25/2),$D$6,$D$19+(($D$6-$D$19)/(Inputs!$B$25/2))*(Inputs!$B$25-K10)),$D$6))</f>
        <v>3.9E-2</v>
      </c>
      <c r="L11" s="38">
        <f>IF(Inputs!$B$25&lt;L10," ",IF(Inputs!$B$40="Yes",IF(L10&lt;(Inputs!$B$25/2),$D$6,$D$19+(($D$6-$D$19)/(Inputs!$B$25/2))*(Inputs!$B$25-L10)),$D$6))</f>
        <v>0.03</v>
      </c>
      <c r="M11" s="38" t="str">
        <f>IF(Inputs!$B$25&lt;M10," ",IF(Inputs!$B$40="Yes",IF(M10&lt;(Inputs!$B$25/2),$D$6,$D$19+(($D$6-$D$19)/(Inputs!$B$25/2))*(Inputs!$B$25-M10)),$D$6))</f>
        <v xml:space="preserve"> </v>
      </c>
      <c r="N11" s="38" t="str">
        <f>IF(Inputs!$B$25&lt;N10," ",IF(Inputs!$B$40="Yes",IF(N10&lt;(Inputs!$B$25/2),$D$6,$D$19+(($D$6-$D$19)/(Inputs!$B$25/2))*(Inputs!$B$25-N10)),$D$6))</f>
        <v xml:space="preserve"> </v>
      </c>
      <c r="O11" s="38" t="str">
        <f>IF(Inputs!$B$25&lt;O10," ",IF(Inputs!$B$40="Yes",IF(O10&lt;(Inputs!$B$25/2),$D$6,$D$19+(($D$6-$D$19)/(Inputs!$B$25/2))*(Inputs!$B$25-O10)),$D$6))</f>
        <v xml:space="preserve"> </v>
      </c>
      <c r="P11" s="38" t="str">
        <f>IF(Inputs!$B$25&lt;P10," ",IF(Inputs!$B$40="Yes",IF(P10&lt;(Inputs!$B$25/2),$D$6,$D$19+(($D$6-$D$19)/(Inputs!$B$25/2))*(Inputs!$B$25-P10)),$D$6))</f>
        <v xml:space="preserve"> </v>
      </c>
      <c r="Q11" s="38" t="str">
        <f>IF(Inputs!$B$25&lt;Q10," ",IF(Inputs!$B$40="Yes",IF(Q10&lt;(Inputs!$B$25/2),$D$6,$D$19+(($D$6-$D$19)/(Inputs!$B$25/2))*(Inputs!$B$25-Q10)),$D$6))</f>
        <v xml:space="preserve"> </v>
      </c>
    </row>
    <row r="12" spans="1:17" s="10" customFormat="1" ht="20.100000000000001" customHeight="1">
      <c r="B12" s="32" t="s">
        <v>89</v>
      </c>
      <c r="C12" s="66">
        <f>IF(Inputs!$B$25&lt;C10," ",D5*(1+D11))</f>
        <v>12581.461374999999</v>
      </c>
      <c r="D12" s="66">
        <f>IF(Inputs!$B$25&lt;D10," ",C12*(1+D11))</f>
        <v>13525.070978124999</v>
      </c>
      <c r="E12" s="66">
        <f>IF(Inputs!$B$25&lt;E10," ",D12*(1+E11))</f>
        <v>14539.451301484372</v>
      </c>
      <c r="F12" s="66">
        <f>IF(Inputs!$B$25&lt;F10," ",E12*(1+F11))</f>
        <v>15629.9101490957</v>
      </c>
      <c r="G12" s="66">
        <f>IF(Inputs!$B$25&lt;G10," ",F12*(1+G11))</f>
        <v>16802.153410277875</v>
      </c>
      <c r="H12" s="66">
        <f>IF(Inputs!$B$25&lt;H10," ",G12*(1+H11))</f>
        <v>17911.095535356217</v>
      </c>
      <c r="I12" s="66">
        <f>IF(Inputs!$B$25&lt;I10," ",H12*(1+I11))</f>
        <v>18932.02798087152</v>
      </c>
      <c r="J12" s="66">
        <f>IF(Inputs!$B$25&lt;J10," ",I12*(1+J11))</f>
        <v>19840.765323953354</v>
      </c>
      <c r="K12" s="66">
        <f>IF(Inputs!$B$25&lt;K10," ",J12*(1+K11))</f>
        <v>20614.555171587534</v>
      </c>
      <c r="L12" s="66">
        <f>IF(Inputs!$B$25&lt;L10," ",K12*(1+L11))</f>
        <v>21232.99182673516</v>
      </c>
      <c r="M12" s="31" t="str">
        <f>IF(Inputs!$B$25&lt;M10," ",L12*(1+M11))</f>
        <v xml:space="preserve"> </v>
      </c>
      <c r="N12" s="31" t="str">
        <f>IF(Inputs!$B$25&lt;N10," ",M12*(1+N11))</f>
        <v xml:space="preserve"> </v>
      </c>
      <c r="O12" s="31" t="str">
        <f>IF(Inputs!$B$25&lt;O10," ",N12*(1+O11))</f>
        <v xml:space="preserve"> </v>
      </c>
      <c r="P12" s="31" t="str">
        <f>IF(Inputs!$B$25&lt;P10," ",O12*(1+P11))</f>
        <v xml:space="preserve"> </v>
      </c>
      <c r="Q12" s="31" t="str">
        <f>IF(Inputs!$B$25&lt;Q10," ",P12*(1+Q11))</f>
        <v xml:space="preserve"> </v>
      </c>
    </row>
    <row r="13" spans="1:17" s="10" customFormat="1" ht="20.100000000000001" customHeight="1">
      <c r="B13" s="32" t="s">
        <v>115</v>
      </c>
      <c r="C13" s="67">
        <f>IF(Inputs!$B$25&lt;C10," ",IF(Inputs!$B$40="Yes",IF(C10&lt;(Inputs!$B$25/2),$D$7,$D$20+(($D$7-$D$20)/(Inputs!$B$25/2))*(Inputs!$B$25-C10)),$D$7))</f>
        <v>0.25</v>
      </c>
      <c r="D13" s="67">
        <f>IF(Inputs!$B$25&lt;D10," ",IF(Inputs!$B$40="Yes",IF(D10&lt;(Inputs!$B$25/2),$D$7,$D$20+(($D$7-$D$20)/(Inputs!$B$25/2))*(Inputs!$B$25-D10)),$D$7))</f>
        <v>0.25</v>
      </c>
      <c r="E13" s="67">
        <f>IF(Inputs!$B$25&lt;E10," ",IF(Inputs!$B$40="Yes",IF(E10&lt;(Inputs!$B$25/2),$D$7,$D$20+(($D$7-$D$20)/(Inputs!$B$25/2))*(Inputs!$B$25-E10)),$D$7))</f>
        <v>0.25</v>
      </c>
      <c r="F13" s="67">
        <f>IF(Inputs!$B$25&lt;F10," ",IF(Inputs!$B$40="Yes",IF(F10&lt;(Inputs!$B$25/2),$D$7,$D$20+(($D$7-$D$20)/(Inputs!$B$25/2))*(Inputs!$B$25-F10)),$D$7))</f>
        <v>0.25</v>
      </c>
      <c r="G13" s="67">
        <f>IF(Inputs!$B$25&lt;G10," ",IF(Inputs!$B$40="Yes",IF(G10&lt;(Inputs!$B$25/2),$D$7,$D$20+(($D$7-$D$20)/(Inputs!$B$25/2))*(Inputs!$B$25-G10)),$D$7))</f>
        <v>0.25</v>
      </c>
      <c r="H13" s="67">
        <f>IF(Inputs!$B$25&lt;H10," ",IF(Inputs!$B$40="Yes",IF(H10&lt;(Inputs!$B$25/2),$D$7,$D$20+(($D$7-$D$20)/(Inputs!$B$25/2))*(Inputs!$B$25-H10)),$D$7))</f>
        <v>0.24</v>
      </c>
      <c r="I13" s="67">
        <f>IF(Inputs!$B$25&lt;I10," ",IF(Inputs!$B$40="Yes",IF(I10&lt;(Inputs!$B$25/2),$D$7,$D$20+(($D$7-$D$20)/(Inputs!$B$25/2))*(Inputs!$B$25-I10)),$D$7))</f>
        <v>0.23</v>
      </c>
      <c r="J13" s="67">
        <f>IF(Inputs!$B$25&lt;J10," ",IF(Inputs!$B$40="Yes",IF(J10&lt;(Inputs!$B$25/2),$D$7,$D$20+(($D$7-$D$20)/(Inputs!$B$25/2))*(Inputs!$B$25-J10)),$D$7))</f>
        <v>0.22</v>
      </c>
      <c r="K13" s="67">
        <f>IF(Inputs!$B$25&lt;K10," ",IF(Inputs!$B$40="Yes",IF(K10&lt;(Inputs!$B$25/2),$D$7,$D$20+(($D$7-$D$20)/(Inputs!$B$25/2))*(Inputs!$B$25-K10)),$D$7))</f>
        <v>0.21000000000000002</v>
      </c>
      <c r="L13" s="67">
        <f>IF(Inputs!$B$25&lt;L10," ",IF(Inputs!$B$40="Yes",IF(L10&lt;(Inputs!$B$25/2),$D$7,$D$20+(($D$7-$D$20)/(Inputs!$B$25/2))*(Inputs!$B$25-L10)),$D$7))</f>
        <v>0.2</v>
      </c>
      <c r="M13" s="23" t="str">
        <f>IF(Inputs!$B$25&lt;M10," ",IF(Inputs!$B$40="Yes",IF(M10&lt;(Inputs!$B$25/2),$D$7,$D$20+(($D$7-$D$20)/(Inputs!$B$25/2))*(Inputs!$B$25-M10)),$D$7))</f>
        <v xml:space="preserve"> </v>
      </c>
      <c r="N13" s="23" t="str">
        <f>IF(Inputs!$B$25&lt;N10," ",IF(Inputs!$B$40="Yes",IF(N10&lt;(Inputs!$B$25/2),$D$7,$D$20+(($D$7-$D$20)/(Inputs!$B$25/2))*(Inputs!$B$25-N10)),$D$7))</f>
        <v xml:space="preserve"> </v>
      </c>
      <c r="O13" s="23" t="str">
        <f>IF(Inputs!$B$25&lt;O10," ",IF(Inputs!$B$40="Yes",IF(O10&lt;(Inputs!$B$25/2),$D$7,$D$20+(($D$7-$D$20)/(Inputs!$B$25/2))*(Inputs!$B$25-O10)),$D$7))</f>
        <v xml:space="preserve"> </v>
      </c>
      <c r="P13" s="23" t="str">
        <f>IF(Inputs!$B$25&lt;P10," ",IF(Inputs!$B$40="Yes",IF(P10&lt;(Inputs!$B$25/2),$D$7,$D$20+(($D$7-$D$20)/(Inputs!$B$25/2))*(Inputs!$B$25-P10)),$D$7))</f>
        <v xml:space="preserve"> </v>
      </c>
      <c r="Q13" s="23" t="str">
        <f>IF(Inputs!$B$25&lt;Q10," ",IF(Inputs!$B$40="Yes",IF(Q10&lt;(Inputs!$B$25/2),$D$7,$D$20+(($D$7-$D$20)/(Inputs!$B$25/2))*(Inputs!$B$25-Q10)),$D$7))</f>
        <v xml:space="preserve"> </v>
      </c>
    </row>
    <row r="14" spans="1:17" s="10" customFormat="1" ht="20.100000000000001" customHeight="1">
      <c r="B14" s="32" t="s">
        <v>116</v>
      </c>
      <c r="C14" s="66">
        <f>IF(Inputs!$B$25&lt;C10," ",C12*(1-C13))</f>
        <v>9436.0960312499992</v>
      </c>
      <c r="D14" s="66">
        <f>IF(Inputs!$B$25&lt;D10," ",D12*(1-D13))</f>
        <v>10143.80323359375</v>
      </c>
      <c r="E14" s="66">
        <f>IF(Inputs!$B$25&lt;E10," ",E12*(1-E13))</f>
        <v>10904.58847611328</v>
      </c>
      <c r="F14" s="66">
        <f>IF(Inputs!$B$25&lt;F10," ",F12*(1-F13))</f>
        <v>11722.432611821776</v>
      </c>
      <c r="G14" s="66">
        <f>IF(Inputs!$B$25&lt;G10," ",G12*(1-G13))</f>
        <v>12601.615057708406</v>
      </c>
      <c r="H14" s="66">
        <f>IF(Inputs!$B$25&lt;H10," ",H12*(1-H13))</f>
        <v>13612.432606870725</v>
      </c>
      <c r="I14" s="66">
        <f>IF(Inputs!$B$25&lt;I10," ",I12*(1-I13))</f>
        <v>14577.66154527107</v>
      </c>
      <c r="J14" s="66">
        <f>IF(Inputs!$B$25&lt;J10," ",J12*(1-J13))</f>
        <v>15475.796952683617</v>
      </c>
      <c r="K14" s="66">
        <f>IF(Inputs!$B$25&lt;K10," ",K12*(1-K13))</f>
        <v>16285.498585554153</v>
      </c>
      <c r="L14" s="66">
        <f>IF(Inputs!$B$25&lt;L10," ",L12*(1-L13))</f>
        <v>16986.393461388128</v>
      </c>
      <c r="M14" s="31" t="str">
        <f>IF(Inputs!$B$25&lt;M10," ",M12*M13)</f>
        <v xml:space="preserve"> </v>
      </c>
      <c r="N14" s="31" t="str">
        <f>IF(Inputs!$B$25&lt;N10," ",N12*N13)</f>
        <v xml:space="preserve"> </v>
      </c>
      <c r="O14" s="31" t="str">
        <f>IF(Inputs!$B$25&lt;O10," ",O12*O13)</f>
        <v xml:space="preserve"> </v>
      </c>
      <c r="P14" s="31" t="str">
        <f>IF(Inputs!$B$25&lt;P10," ",P12*P13)</f>
        <v xml:space="preserve"> </v>
      </c>
      <c r="Q14" s="31" t="str">
        <f>IF(Inputs!$B$25&lt;Q10," ",Q12*Q13)</f>
        <v xml:space="preserve"> </v>
      </c>
    </row>
    <row r="15" spans="1:17" s="10" customFormat="1" ht="20.100000000000001" customHeight="1">
      <c r="B15" s="32" t="s">
        <v>117</v>
      </c>
      <c r="C15" s="67">
        <f>IF(Inputs!$B$25&lt;C10," ",IF(Inputs!$B$40="Yes",IF(C10&lt;(Inputs!$B$25/2),$D$3,$D$21+(($D$3-$D$21)/(Inputs!$B$25/2))*(Inputs!$B$25-C10)),$D$3))</f>
        <v>8.4500000000000006E-2</v>
      </c>
      <c r="D15" s="67">
        <f>IF(Inputs!$B$25&lt;D10," ",IF(Inputs!$B$40="Yes",IF(D10&lt;(Inputs!$B$25/2),$D$3,$D$21+(($D$3-$D$21)/(Inputs!$B$25/2))*(Inputs!$B$25-D10)),$D$3))</f>
        <v>8.4500000000000006E-2</v>
      </c>
      <c r="E15" s="67">
        <f>IF(Inputs!$B$25&lt;E10," ",IF(Inputs!$B$40="Yes",IF(E10&lt;(Inputs!$B$25/2),$D$3,$D$21+(($D$3-$D$21)/(Inputs!$B$25/2))*(Inputs!$B$25-E10)),$D$3))</f>
        <v>8.4500000000000006E-2</v>
      </c>
      <c r="F15" s="67">
        <f>IF(Inputs!$B$25&lt;F10," ",IF(Inputs!$B$40="Yes",IF(F10&lt;(Inputs!$B$25/2),$D$3,$D$21+(($D$3-$D$21)/(Inputs!$B$25/2))*(Inputs!$B$25-F10)),$D$3))</f>
        <v>8.4500000000000006E-2</v>
      </c>
      <c r="G15" s="67">
        <f>IF(Inputs!$B$25&lt;G10," ",IF(Inputs!$B$40="Yes",IF(G10&lt;(Inputs!$B$25/2),$D$3,$D$21+(($D$3-$D$21)/(Inputs!$B$25/2))*(Inputs!$B$25-G10)),$D$3))</f>
        <v>8.4500000000000006E-2</v>
      </c>
      <c r="H15" s="67">
        <f>IF(Inputs!$B$25&lt;H10," ",IF(Inputs!$B$40="Yes",IF(H10&lt;(Inputs!$B$25/2),$D$3,$D$21+(($D$3-$D$21)/(Inputs!$B$25/2))*(Inputs!$B$25-H10)),$D$3))</f>
        <v>8.5600000000000009E-2</v>
      </c>
      <c r="I15" s="67">
        <f>IF(Inputs!$B$25&lt;I10," ",IF(Inputs!$B$40="Yes",IF(I10&lt;(Inputs!$B$25/2),$D$3,$D$21+(($D$3-$D$21)/(Inputs!$B$25/2))*(Inputs!$B$25-I10)),$D$3))</f>
        <v>8.6699999999999999E-2</v>
      </c>
      <c r="J15" s="67">
        <f>IF(Inputs!$B$25&lt;J10," ",IF(Inputs!$B$40="Yes",IF(J10&lt;(Inputs!$B$25/2),$D$3,$D$21+(($D$3-$D$21)/(Inputs!$B$25/2))*(Inputs!$B$25-J10)),$D$3))</f>
        <v>8.7800000000000003E-2</v>
      </c>
      <c r="K15" s="67">
        <f>IF(Inputs!$B$25&lt;K10," ",IF(Inputs!$B$40="Yes",IF(K10&lt;(Inputs!$B$25/2),$D$3,$D$21+(($D$3-$D$21)/(Inputs!$B$25/2))*(Inputs!$B$25-K10)),$D$3))</f>
        <v>8.8899999999999993E-2</v>
      </c>
      <c r="L15" s="67">
        <f>IF(Inputs!$B$25&lt;L10," ",IF(Inputs!$B$40="Yes",IF(L10&lt;(Inputs!$B$25/2),$D$3,$D$21+(($D$3-$D$21)/(Inputs!$B$25/2))*(Inputs!$B$25-L10)),$D$3))</f>
        <v>0.09</v>
      </c>
      <c r="M15" s="23" t="str">
        <f>IF(Inputs!$B$25&lt;M10," ",IF(Inputs!$B$40="Yes",IF(M10&lt;(Inputs!$B$25/2),$D$3,$D$21+(($D$3-$D$21)/(Inputs!$B$25/2))*(Inputs!$B$25-M10)),$D$3))</f>
        <v xml:space="preserve"> </v>
      </c>
      <c r="N15" s="23" t="str">
        <f>IF(Inputs!$B$25&lt;N10," ",IF(Inputs!$B$40="Yes",IF(N10&lt;(Inputs!$B$25/2),$D$3,$D$21+(($D$3-$D$21)/(Inputs!$B$25/2))*(Inputs!$B$25-N10)),$D$3))</f>
        <v xml:space="preserve"> </v>
      </c>
      <c r="O15" s="23" t="str">
        <f>IF(Inputs!$B$25&lt;O10," ",IF(Inputs!$B$40="Yes",IF(O10&lt;(Inputs!$B$25/2),$D$3,$D$21+(($D$3-$D$21)/(Inputs!$B$25/2))*(Inputs!$B$25-O10)),$D$3))</f>
        <v xml:space="preserve"> </v>
      </c>
      <c r="P15" s="23" t="str">
        <f>IF(Inputs!$B$25&lt;P10," ",IF(Inputs!$B$40="Yes",IF(P10&lt;(Inputs!$B$25/2),$D$3,$D$21+(($D$3-$D$21)/(Inputs!$B$25/2))*(Inputs!$B$25-P10)),$D$3))</f>
        <v xml:space="preserve"> </v>
      </c>
      <c r="Q15" s="23" t="str">
        <f>IF(Inputs!$B$25&lt;Q10," ",IF(Inputs!$B$40="Yes",IF(Q10&lt;(Inputs!$B$25/2),$D$3,$D$21+(($D$3-$D$21)/(Inputs!$B$25/2))*(Inputs!$B$25-Q10)),$D$3))</f>
        <v xml:space="preserve"> </v>
      </c>
    </row>
    <row r="16" spans="1:17" s="10" customFormat="1" ht="20.100000000000001" customHeight="1">
      <c r="B16" s="32" t="s">
        <v>118</v>
      </c>
      <c r="C16" s="68">
        <f>IF(Inputs!$B$25&lt;C10," ",(1+C15))</f>
        <v>1.0845</v>
      </c>
      <c r="D16" s="68">
        <f>IF(Inputs!$B$25&lt;D10," ",(1+C15)*(1+D15))</f>
        <v>1.17614025</v>
      </c>
      <c r="E16" s="68">
        <f>IF(Inputs!$B$25&lt;E10," ",(1+C15)*(1+D15)*(1+E15))</f>
        <v>1.275524101125</v>
      </c>
      <c r="F16" s="68">
        <f>IF(Inputs!$B$25&lt;F10," ",(1+C15)*(1+D15)*(1+E15)*(1+F15))</f>
        <v>1.3833058876700626</v>
      </c>
      <c r="G16" s="68">
        <f>IF(Inputs!$B$25&lt;G10," ",(1+C15)*(1+D15)*(1+E15)*(1+F15)*(1+G15))</f>
        <v>1.5001952351781829</v>
      </c>
      <c r="H16" s="68">
        <f>IF(Inputs!$B$25&lt;H10," ",(1+C15)*(1+D15)*(1+E15)*(1+F15)*(1+G15)*(1+H15))</f>
        <v>1.6286119473094351</v>
      </c>
      <c r="I16" s="68">
        <f>IF(Inputs!$B$25&lt;I10," ",(1+C15)*(1+D15)*(1+E15)*(1+F15)*(1+G15)*(1+H15)*(1+I15))</f>
        <v>1.7698126031411632</v>
      </c>
      <c r="J16" s="68">
        <f>IF(Inputs!$B$25&lt;J10," ",(1+C15)*(1+D15)*(1+E15)*(1+F15)*(1+G15)*(1+H15)*(1+I15)*(1+J15))</f>
        <v>1.9252021496969576</v>
      </c>
      <c r="K16" s="68">
        <f>IF(Inputs!$B$25&lt;K10," ",(1+C15)*(1+D15)*(1+E15)*(1+F15)*(1+G15)*(1+H15)*(1+I15)*(1+J15)*(1+K15))</f>
        <v>2.0963526208050172</v>
      </c>
      <c r="L16" s="68">
        <f>IF(Inputs!$B$25&lt;L10," ",(1+C15)*(1+D15)*(1+E15)*(1+F15)*(1+G15)*(1+H15)*(1+I15)*(1+J15)*(1+K15)*(1+L15))</f>
        <v>2.2850243566774688</v>
      </c>
      <c r="M16" s="23" t="str">
        <f>IF(Inputs!$B$25&lt;M10," ",(1+C15)*(1+D15)*(1+E15)*(1+F15)*(1+G15)*(1+H15)*(1+I15)*(1+J15)*(1+K15)*(1+L15)*(1+M15))</f>
        <v xml:space="preserve"> </v>
      </c>
      <c r="N16" s="23" t="str">
        <f>IF(Inputs!$B$25&lt;N10," ",(1+C15)*(1+D15)*(1+E15)*(1+F15)*(1+G15)*(1+H15)*(1+I15)*(1+J15)*(1+K15)*(1+L15)*(1+M15)*(1+N15))</f>
        <v xml:space="preserve"> </v>
      </c>
      <c r="O16" s="23" t="str">
        <f>IF(Inputs!$B$25&lt;O10," ",(1+C15)*(1+D15)*(1+E15)*(1+F15)*(1+G15)*(1+H15)*(1+I15)*(1+J15)*(1+K15)*(1+L15)*(1+M15)*(1+N15)*(1+O15))</f>
        <v xml:space="preserve"> </v>
      </c>
      <c r="P16" s="23" t="str">
        <f>IF(Inputs!$B$25&lt;P10," ",(1+C15)*(1+D15)*(1+E15)*(1+F15)*(1+G15)*(1+H15)*(1+I15)*(1+J15)*(1+K15)*(1+L15)*(1+M15)*(1+N15)*(1+O15)*(1+P15))</f>
        <v xml:space="preserve"> </v>
      </c>
      <c r="Q16" s="23" t="str">
        <f>IF(Inputs!$B$25&lt;Q10," ",(1+C15)*(1+D15)*(1+E15)*(1+F15)*(1+G15)*(1+H15)*(1+I15)*(1+J15)*(1+K15)*(1+L15)*(1+M15)*(1+N15)*(1+O15)*(1+P15)*(1+Q15))</f>
        <v xml:space="preserve"> </v>
      </c>
    </row>
    <row r="17" spans="2:17" s="10" customFormat="1" ht="20.100000000000001" customHeight="1">
      <c r="B17" s="32" t="s">
        <v>119</v>
      </c>
      <c r="C17" s="66">
        <f>IF(Inputs!$B$25&lt;C10," ",C14/C16)</f>
        <v>8700.8723201936373</v>
      </c>
      <c r="D17" s="66">
        <f>IF(Inputs!$B$25&lt;D10," ",D14/D16)</f>
        <v>8624.654443714302</v>
      </c>
      <c r="E17" s="66">
        <f>IF(Inputs!$B$25&lt;E10," ",E14/E16)</f>
        <v>8549.1042203714824</v>
      </c>
      <c r="F17" s="66">
        <f>IF(Inputs!$B$25&lt;F10," ",F14/F16)</f>
        <v>8474.2158016591457</v>
      </c>
      <c r="G17" s="66">
        <f>IF(Inputs!$B$25&lt;G10," ",G14/G16)</f>
        <v>8399.9833903029776</v>
      </c>
      <c r="H17" s="66">
        <f>IF(Inputs!$B$25&lt;H10," ",H14/H16)</f>
        <v>8358.3032958583426</v>
      </c>
      <c r="I17" s="66">
        <f>IF(Inputs!$B$25&lt;I10," ",I14/I16)</f>
        <v>8236.8390412622302</v>
      </c>
      <c r="J17" s="66">
        <f>IF(Inputs!$B$25&lt;J10," ",J14/J16)</f>
        <v>8038.5308914804782</v>
      </c>
      <c r="K17" s="66">
        <f>IF(Inputs!$B$25&lt;K10," ",K14/K16)</f>
        <v>7768.492010328102</v>
      </c>
      <c r="L17" s="66">
        <f>IF(Inputs!$B$25&lt;L10," ",L14/L16)</f>
        <v>7433.7909842182735</v>
      </c>
      <c r="M17" s="31" t="str">
        <f>IF(Inputs!$B$25&lt;M10," ",M14/M16)</f>
        <v xml:space="preserve"> </v>
      </c>
      <c r="N17" s="31" t="str">
        <f>IF(Inputs!$B$25&lt;N10," ",N14/N16)</f>
        <v xml:space="preserve"> </v>
      </c>
      <c r="O17" s="31" t="str">
        <f>IF(Inputs!$B$25&lt;O10," ",O14/O16)</f>
        <v xml:space="preserve"> </v>
      </c>
      <c r="P17" s="31" t="str">
        <f>IF(Inputs!$B$25&lt;P10," ",P14/P16)</f>
        <v xml:space="preserve"> </v>
      </c>
      <c r="Q17" s="31" t="str">
        <f>IF(Inputs!$B$25&lt;Q10," ",Q14/Q16)</f>
        <v xml:space="preserve"> </v>
      </c>
    </row>
    <row r="18" spans="2:17" ht="20.100000000000001" customHeight="1">
      <c r="B18" s="10"/>
      <c r="C18" s="10"/>
      <c r="D18" s="10"/>
      <c r="E18" s="12"/>
      <c r="F18" s="12"/>
      <c r="G18" s="10"/>
    </row>
    <row r="19" spans="2:17" ht="20.100000000000001" customHeight="1">
      <c r="B19" s="10" t="s">
        <v>120</v>
      </c>
      <c r="C19" s="10"/>
      <c r="D19" s="24">
        <f>Inputs!B43</f>
        <v>0.03</v>
      </c>
      <c r="E19" s="12"/>
      <c r="F19" s="10"/>
    </row>
    <row r="20" spans="2:17" ht="20.100000000000001" customHeight="1">
      <c r="B20" s="10" t="s">
        <v>121</v>
      </c>
      <c r="C20" s="10"/>
      <c r="D20" s="24">
        <f>IF(Inputs!B46="No",Inputs!B45,Inputs!B47)</f>
        <v>0.2</v>
      </c>
      <c r="E20" s="12"/>
      <c r="F20" s="10"/>
    </row>
    <row r="21" spans="2:17" ht="20.100000000000001" customHeight="1">
      <c r="B21" s="10" t="s">
        <v>122</v>
      </c>
      <c r="C21" s="10"/>
      <c r="D21" s="24">
        <f>IF(Inputs!B49="No",Inputs!B21+Inputs!B20*Inputs!B51,Inputs!B21+Inputs!B50*Inputs!B51)</f>
        <v>0.09</v>
      </c>
      <c r="E21" s="12"/>
      <c r="F21" s="45"/>
    </row>
    <row r="22" spans="2:17" s="1" customFormat="1" ht="20.100000000000001" customHeight="1">
      <c r="B22" s="21" t="s">
        <v>123</v>
      </c>
      <c r="C22" s="21"/>
      <c r="D22" s="30">
        <f>IF(Inputs!B25=0,D5*(1-D20)*(1+D19)/(D21-D19),MAX(C12:Q12)*(1+D19)*(1-D20)/(D21-D19))</f>
        <v>291599.75442049623</v>
      </c>
      <c r="E22" s="27"/>
      <c r="F22" s="21"/>
    </row>
    <row r="23" spans="2:17" ht="20.100000000000001" customHeight="1">
      <c r="B23" s="5"/>
      <c r="C23" s="5"/>
      <c r="D23" s="5"/>
      <c r="E23" s="6"/>
      <c r="F23" s="6"/>
      <c r="G23" s="5"/>
    </row>
    <row r="24" spans="2:17" s="42" customFormat="1" ht="20.100000000000001" customHeight="1">
      <c r="B24" s="42" t="s">
        <v>124</v>
      </c>
      <c r="E24" s="44">
        <f>SUM(C17:Q17)</f>
        <v>82584.786399388977</v>
      </c>
    </row>
    <row r="25" spans="2:17" s="42" customFormat="1" ht="20.100000000000001" customHeight="1">
      <c r="B25" s="42" t="s">
        <v>125</v>
      </c>
      <c r="E25" s="44">
        <f>IF(Inputs!B25=0,valuation!D22,D22/MAX(C16:Q16))</f>
        <v>127613.41189574703</v>
      </c>
      <c r="G25" s="5"/>
    </row>
    <row r="26" spans="2:17" s="42" customFormat="1" ht="20.100000000000001" customHeight="1">
      <c r="B26" s="42" t="s">
        <v>126</v>
      </c>
      <c r="E26" s="44">
        <f>E24+E25</f>
        <v>210198.19829513601</v>
      </c>
      <c r="G26" s="5"/>
    </row>
    <row r="27" spans="2:17" s="42" customFormat="1" ht="20.100000000000001" customHeight="1">
      <c r="B27" s="42" t="s">
        <v>127</v>
      </c>
      <c r="E27" s="44">
        <f>Inputs!B5</f>
        <v>8517</v>
      </c>
    </row>
    <row r="28" spans="2:17" s="42" customFormat="1" ht="20.100000000000001" customHeight="1">
      <c r="B28" s="42" t="s">
        <v>128</v>
      </c>
      <c r="E28" s="44">
        <f>E26+E27</f>
        <v>218715.19829513601</v>
      </c>
    </row>
    <row r="29" spans="2:17" s="42" customFormat="1" ht="20.100000000000001" customHeight="1">
      <c r="B29" s="42" t="s">
        <v>129</v>
      </c>
      <c r="E29" s="50">
        <f>E28/Inputs!B7</f>
        <v>95.540110645467294</v>
      </c>
      <c r="F29" s="51"/>
    </row>
    <row r="30" spans="2:17" ht="20.100000000000001" customHeight="1">
      <c r="B30" s="5"/>
      <c r="C30" s="5"/>
      <c r="D30" s="5"/>
      <c r="E30" s="6"/>
      <c r="F30" s="6"/>
      <c r="G30" s="5"/>
    </row>
  </sheetData>
  <printOptions gridLinesSet="0"/>
  <pageMargins left="0.75" right="0.75" top="1" bottom="1" header="0.5" footer="0.5"/>
  <pageSetup orientation="portrait" horizontalDpi="4294967292" verticalDpi="4294967292"/>
  <headerFooter alignWithMargins="0">
    <oddHeader>&amp;C Two-Stage Dividend Discount Model</oddHeader>
    <oddFooter>Page &amp;p</oddFooter>
  </headerFooter>
  <rowBreaks count="4" manualBreakCount="4">
    <brk id="19" max="65535" man="1"/>
    <brk id="72" max="65535" man="1"/>
    <brk id="80" max="65535" man="1"/>
    <brk id="107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8377-38B1-4A24-87F5-2C3DAC3A335A}">
  <dimension ref="A1:S101"/>
  <sheetViews>
    <sheetView topLeftCell="A72" workbookViewId="0">
      <selection activeCell="A102" sqref="A102:IV102"/>
    </sheetView>
  </sheetViews>
  <sheetFormatPr defaultRowHeight="12.75"/>
  <cols>
    <col min="1" max="1" width="20.7109375" style="10" bestFit="1" customWidth="1"/>
    <col min="2" max="2" width="13" style="12" bestFit="1" customWidth="1"/>
    <col min="3" max="3" width="10.85546875" style="12" bestFit="1" customWidth="1"/>
    <col min="4" max="4" width="12.140625" style="12" bestFit="1" customWidth="1"/>
    <col min="5" max="5" width="12.42578125" style="12" bestFit="1" customWidth="1"/>
    <col min="6" max="6" width="9.85546875" style="12" bestFit="1" customWidth="1"/>
    <col min="7" max="7" width="15.5703125" style="12" bestFit="1" customWidth="1"/>
    <col min="8" max="9" width="8.140625" style="12" bestFit="1" customWidth="1"/>
    <col min="10" max="10" width="14.42578125" style="12" bestFit="1" customWidth="1"/>
    <col min="11" max="11" width="19" style="12" bestFit="1" customWidth="1"/>
    <col min="12" max="12" width="20.28515625" style="12" bestFit="1" customWidth="1"/>
    <col min="13" max="13" width="9.42578125" style="12" bestFit="1" customWidth="1"/>
    <col min="14" max="14" width="16" style="12" bestFit="1" customWidth="1"/>
    <col min="15" max="15" width="18" style="12" bestFit="1" customWidth="1"/>
    <col min="16" max="16" width="10.5703125" style="12" bestFit="1" customWidth="1"/>
    <col min="17" max="17" width="14.42578125" bestFit="1" customWidth="1"/>
    <col min="18" max="18" width="11.140625" bestFit="1" customWidth="1"/>
    <col min="19" max="256" width="11.42578125" customWidth="1"/>
  </cols>
  <sheetData>
    <row r="1" spans="1:19">
      <c r="A1" s="54" t="s">
        <v>130</v>
      </c>
      <c r="B1" s="55" t="s">
        <v>131</v>
      </c>
      <c r="C1" s="56" t="s">
        <v>132</v>
      </c>
      <c r="D1" s="56" t="s">
        <v>133</v>
      </c>
      <c r="E1" s="56" t="s">
        <v>134</v>
      </c>
      <c r="F1" s="56" t="s">
        <v>135</v>
      </c>
      <c r="G1" s="56" t="s">
        <v>136</v>
      </c>
      <c r="H1" s="56" t="s">
        <v>137</v>
      </c>
      <c r="I1" s="56" t="s">
        <v>138</v>
      </c>
      <c r="J1" s="56" t="s">
        <v>139</v>
      </c>
      <c r="K1" s="56" t="s">
        <v>140</v>
      </c>
      <c r="L1" s="56" t="s">
        <v>141</v>
      </c>
      <c r="M1" s="56" t="s">
        <v>142</v>
      </c>
      <c r="N1" s="56" t="s">
        <v>143</v>
      </c>
      <c r="O1" s="56" t="s">
        <v>144</v>
      </c>
      <c r="P1" s="56" t="s">
        <v>145</v>
      </c>
      <c r="Q1" s="56" t="s">
        <v>146</v>
      </c>
      <c r="R1" s="57" t="s">
        <v>147</v>
      </c>
      <c r="S1" s="56" t="s">
        <v>148</v>
      </c>
    </row>
    <row r="2" spans="1:19">
      <c r="A2" s="58" t="s">
        <v>149</v>
      </c>
      <c r="B2" s="59">
        <v>28</v>
      </c>
      <c r="C2" s="60">
        <v>1.79</v>
      </c>
      <c r="D2" s="60">
        <v>1.55</v>
      </c>
      <c r="E2" s="61">
        <v>1.0107999999999999</v>
      </c>
      <c r="F2" s="61">
        <v>0.36549999999999999</v>
      </c>
      <c r="G2" s="61">
        <v>0.26769999999999999</v>
      </c>
      <c r="H2" s="61">
        <v>4.5999999999999999E-3</v>
      </c>
      <c r="I2" s="61">
        <v>9.7900000000000001E-2</v>
      </c>
      <c r="J2" s="61">
        <v>0.12859999999999999</v>
      </c>
      <c r="K2" s="61">
        <v>0.1368</v>
      </c>
      <c r="L2" s="61">
        <v>7.6999999999999999E-2</v>
      </c>
      <c r="M2" s="61">
        <v>1.15E-2</v>
      </c>
      <c r="N2" s="61">
        <v>0.68410000000000004</v>
      </c>
      <c r="O2" s="61">
        <v>-0.15509999999999999</v>
      </c>
      <c r="P2" s="61" t="s">
        <v>150</v>
      </c>
      <c r="Q2" s="61">
        <v>-0.21479999999999999</v>
      </c>
      <c r="R2" s="60">
        <v>1.27</v>
      </c>
      <c r="S2" s="60">
        <v>1.54</v>
      </c>
    </row>
    <row r="3" spans="1:19">
      <c r="A3" s="58" t="s">
        <v>151</v>
      </c>
      <c r="B3" s="59">
        <v>63</v>
      </c>
      <c r="C3" s="60">
        <v>1.1499999999999999</v>
      </c>
      <c r="D3" s="60">
        <v>1.07</v>
      </c>
      <c r="E3" s="61">
        <v>0.59630000000000005</v>
      </c>
      <c r="F3" s="61">
        <v>0.2364</v>
      </c>
      <c r="G3" s="61">
        <v>0.19120000000000001</v>
      </c>
      <c r="H3" s="61">
        <v>0.37609999999999999</v>
      </c>
      <c r="I3" s="61">
        <v>0.23549999999999999</v>
      </c>
      <c r="J3" s="61">
        <v>0.21099999999999999</v>
      </c>
      <c r="K3" s="61">
        <v>0.1145</v>
      </c>
      <c r="L3" s="61">
        <v>8.0199999999999994E-2</v>
      </c>
      <c r="M3" s="61">
        <v>2.7699999999999999E-2</v>
      </c>
      <c r="N3" s="61">
        <v>1.0681</v>
      </c>
      <c r="O3" s="61">
        <v>1.2800000000000001E-2</v>
      </c>
      <c r="P3" s="61">
        <v>0.14050000000000001</v>
      </c>
      <c r="Q3" s="61">
        <v>2.92E-2</v>
      </c>
      <c r="R3" s="60">
        <v>2.94</v>
      </c>
      <c r="S3" s="60">
        <v>0.89</v>
      </c>
    </row>
    <row r="4" spans="1:19">
      <c r="A4" s="58" t="s">
        <v>152</v>
      </c>
      <c r="B4" s="59">
        <v>40</v>
      </c>
      <c r="C4" s="60">
        <v>1.21</v>
      </c>
      <c r="D4" s="60">
        <v>0.95</v>
      </c>
      <c r="E4" s="61">
        <v>0.60619999999999996</v>
      </c>
      <c r="F4" s="61">
        <v>0.52639999999999998</v>
      </c>
      <c r="G4" s="61">
        <v>0.34489999999999998</v>
      </c>
      <c r="H4" s="61">
        <v>-4.24E-2</v>
      </c>
      <c r="I4" s="61">
        <v>0.12959999999999999</v>
      </c>
      <c r="J4" s="61">
        <v>0.223</v>
      </c>
      <c r="K4" s="61">
        <v>0.1017</v>
      </c>
      <c r="L4" s="61">
        <v>5.8299999999999998E-2</v>
      </c>
      <c r="M4" s="61">
        <v>1.8599999999999998E-2</v>
      </c>
      <c r="N4" s="61">
        <v>1.3732</v>
      </c>
      <c r="O4" s="61">
        <v>-8.5500000000000007E-2</v>
      </c>
      <c r="P4" s="61">
        <v>6.0499999999999998E-2</v>
      </c>
      <c r="Q4" s="61">
        <v>0.25030000000000002</v>
      </c>
      <c r="R4" s="60">
        <v>2.2200000000000002</v>
      </c>
      <c r="S4" s="60">
        <v>1.08</v>
      </c>
    </row>
    <row r="5" spans="1:19">
      <c r="A5" s="58" t="s">
        <v>153</v>
      </c>
      <c r="B5" s="59">
        <v>48</v>
      </c>
      <c r="C5" s="60">
        <v>1.35</v>
      </c>
      <c r="D5" s="60">
        <v>1.32</v>
      </c>
      <c r="E5" s="61">
        <v>0.66449999999999998</v>
      </c>
      <c r="F5" s="61">
        <v>0.158</v>
      </c>
      <c r="G5" s="61">
        <v>0.13639999999999999</v>
      </c>
      <c r="H5" s="61">
        <v>0.15859999999999999</v>
      </c>
      <c r="I5" s="61">
        <v>0.1716</v>
      </c>
      <c r="J5" s="61">
        <v>0.20860000000000001</v>
      </c>
      <c r="K5" s="61">
        <v>0.127</v>
      </c>
      <c r="L5" s="61">
        <v>8.6999999999999994E-2</v>
      </c>
      <c r="M5" s="61">
        <v>6.4899999999999999E-2</v>
      </c>
      <c r="N5" s="61">
        <v>0.81940000000000002</v>
      </c>
      <c r="O5" s="61">
        <v>0.1681</v>
      </c>
      <c r="P5" s="61">
        <v>0.21410000000000001</v>
      </c>
      <c r="Q5" s="61">
        <v>7.6200000000000004E-2</v>
      </c>
      <c r="R5" s="60">
        <v>1.97</v>
      </c>
      <c r="S5" s="60">
        <v>1.26</v>
      </c>
    </row>
    <row r="6" spans="1:19">
      <c r="A6" s="58" t="s">
        <v>154</v>
      </c>
      <c r="B6" s="59">
        <v>47</v>
      </c>
      <c r="C6" s="60">
        <v>1.78</v>
      </c>
      <c r="D6" s="60">
        <v>1.58</v>
      </c>
      <c r="E6" s="61">
        <v>0.74670000000000003</v>
      </c>
      <c r="F6" s="61">
        <v>0.2467</v>
      </c>
      <c r="G6" s="61">
        <v>0.19789999999999999</v>
      </c>
      <c r="H6" s="61">
        <v>5.1999999999999998E-2</v>
      </c>
      <c r="I6" s="61">
        <v>0.1431</v>
      </c>
      <c r="J6" s="61">
        <v>0.13450000000000001</v>
      </c>
      <c r="K6" s="61">
        <v>8.2299999999999998E-2</v>
      </c>
      <c r="L6" s="61">
        <v>5.79E-2</v>
      </c>
      <c r="M6" s="61">
        <v>2.18E-2</v>
      </c>
      <c r="N6" s="61">
        <v>0.85450000000000004</v>
      </c>
      <c r="O6" s="61">
        <v>8.7099999999999997E-2</v>
      </c>
      <c r="P6" s="61">
        <v>0.44769999999999999</v>
      </c>
      <c r="Q6" s="61">
        <v>-4.4000000000000003E-3</v>
      </c>
      <c r="R6" s="60">
        <v>2.4700000000000002</v>
      </c>
      <c r="S6" s="60">
        <v>1</v>
      </c>
    </row>
    <row r="7" spans="1:19">
      <c r="A7" s="58" t="s">
        <v>155</v>
      </c>
      <c r="B7" s="59">
        <v>19</v>
      </c>
      <c r="C7" s="60">
        <v>1.5</v>
      </c>
      <c r="D7" s="60">
        <v>0.93</v>
      </c>
      <c r="E7" s="61">
        <v>0.4461</v>
      </c>
      <c r="F7" s="61">
        <v>1.0858000000000001</v>
      </c>
      <c r="G7" s="61">
        <v>0.52059999999999995</v>
      </c>
      <c r="H7" s="61">
        <v>-2.3948</v>
      </c>
      <c r="I7" s="61">
        <v>0.1211</v>
      </c>
      <c r="J7" s="61">
        <v>0.20430000000000001</v>
      </c>
      <c r="K7" s="61">
        <v>7.6300000000000007E-2</v>
      </c>
      <c r="L7" s="61">
        <v>6.6600000000000006E-2</v>
      </c>
      <c r="M7" s="61">
        <v>-8.3000000000000001E-3</v>
      </c>
      <c r="N7" s="61">
        <v>0.88339999999999996</v>
      </c>
      <c r="O7" s="61">
        <v>0.1522</v>
      </c>
      <c r="P7" s="61" t="s">
        <v>150</v>
      </c>
      <c r="Q7" s="61">
        <v>4.6300000000000001E-2</v>
      </c>
      <c r="R7" s="60">
        <v>1.82</v>
      </c>
      <c r="S7" s="60">
        <v>0.9</v>
      </c>
    </row>
    <row r="8" spans="1:19">
      <c r="A8" s="58" t="s">
        <v>156</v>
      </c>
      <c r="B8" s="59">
        <v>418</v>
      </c>
      <c r="C8" s="60">
        <v>0.75</v>
      </c>
      <c r="D8" s="60">
        <v>0.47</v>
      </c>
      <c r="E8" s="61">
        <v>0.48199999999999998</v>
      </c>
      <c r="F8" s="61">
        <v>0.85860000000000003</v>
      </c>
      <c r="G8" s="61">
        <v>0.46200000000000002</v>
      </c>
      <c r="H8" s="61">
        <v>2.9700000000000001E-2</v>
      </c>
      <c r="I8" s="61" t="s">
        <v>150</v>
      </c>
      <c r="J8" s="61">
        <v>0.1389</v>
      </c>
      <c r="K8" s="61" t="s">
        <v>150</v>
      </c>
      <c r="L8" s="61" t="s">
        <v>150</v>
      </c>
      <c r="M8" s="61" t="s">
        <v>150</v>
      </c>
      <c r="N8" s="61" t="s">
        <v>150</v>
      </c>
      <c r="O8" s="61" t="s">
        <v>150</v>
      </c>
      <c r="P8" s="61">
        <v>0.24660000000000001</v>
      </c>
      <c r="Q8" s="61">
        <v>0</v>
      </c>
      <c r="R8" s="60" t="s">
        <v>150</v>
      </c>
      <c r="S8" s="60" t="s">
        <v>150</v>
      </c>
    </row>
    <row r="9" spans="1:19">
      <c r="A9" s="58" t="s">
        <v>157</v>
      </c>
      <c r="B9" s="59">
        <v>7</v>
      </c>
      <c r="C9" s="60">
        <v>0.86</v>
      </c>
      <c r="D9" s="60">
        <v>0.84</v>
      </c>
      <c r="E9" s="61">
        <v>0.24229999999999999</v>
      </c>
      <c r="F9" s="61">
        <v>0.13769999999999999</v>
      </c>
      <c r="G9" s="61">
        <v>0.121</v>
      </c>
      <c r="H9" s="61">
        <v>0.12740000000000001</v>
      </c>
      <c r="I9" s="61" t="s">
        <v>150</v>
      </c>
      <c r="J9" s="61">
        <v>0.20269999999999999</v>
      </c>
      <c r="K9" s="61" t="s">
        <v>150</v>
      </c>
      <c r="L9" s="61" t="s">
        <v>150</v>
      </c>
      <c r="M9" s="61" t="s">
        <v>150</v>
      </c>
      <c r="N9" s="61" t="s">
        <v>150</v>
      </c>
      <c r="O9" s="61" t="s">
        <v>150</v>
      </c>
      <c r="P9" s="61">
        <v>0.66080000000000005</v>
      </c>
      <c r="Q9" s="61">
        <v>0</v>
      </c>
      <c r="R9" s="60" t="s">
        <v>150</v>
      </c>
      <c r="S9" s="60" t="s">
        <v>150</v>
      </c>
    </row>
    <row r="10" spans="1:19">
      <c r="A10" s="58" t="s">
        <v>158</v>
      </c>
      <c r="B10" s="59">
        <v>40</v>
      </c>
      <c r="C10" s="60">
        <v>0.96</v>
      </c>
      <c r="D10" s="60">
        <v>0.68</v>
      </c>
      <c r="E10" s="61">
        <v>0.40639999999999998</v>
      </c>
      <c r="F10" s="61">
        <v>0.69030000000000002</v>
      </c>
      <c r="G10" s="61">
        <v>0.40839999999999999</v>
      </c>
      <c r="H10" s="61">
        <v>1.6000000000000001E-3</v>
      </c>
      <c r="I10" s="61" t="s">
        <v>150</v>
      </c>
      <c r="J10" s="61">
        <v>0.1802</v>
      </c>
      <c r="K10" s="61" t="s">
        <v>150</v>
      </c>
      <c r="L10" s="61" t="s">
        <v>150</v>
      </c>
      <c r="M10" s="61" t="s">
        <v>150</v>
      </c>
      <c r="N10" s="61" t="s">
        <v>150</v>
      </c>
      <c r="O10" s="61" t="s">
        <v>150</v>
      </c>
      <c r="P10" s="61">
        <v>0.32179999999999997</v>
      </c>
      <c r="Q10" s="61">
        <v>0</v>
      </c>
      <c r="R10" s="60" t="s">
        <v>150</v>
      </c>
      <c r="S10" s="60" t="s">
        <v>150</v>
      </c>
    </row>
    <row r="11" spans="1:19">
      <c r="A11" s="58" t="s">
        <v>159</v>
      </c>
      <c r="B11" s="59">
        <v>34</v>
      </c>
      <c r="C11" s="60">
        <v>0.92</v>
      </c>
      <c r="D11" s="60">
        <v>0.86</v>
      </c>
      <c r="E11" s="61">
        <v>0.80269999999999997</v>
      </c>
      <c r="F11" s="61">
        <v>0.13089999999999999</v>
      </c>
      <c r="G11" s="61">
        <v>0.1157</v>
      </c>
      <c r="H11" s="61">
        <v>0.3634</v>
      </c>
      <c r="I11" s="61">
        <v>0.2326</v>
      </c>
      <c r="J11" s="61">
        <v>0.1908</v>
      </c>
      <c r="K11" s="61">
        <v>0.21529999999999999</v>
      </c>
      <c r="L11" s="61">
        <v>0.16120000000000001</v>
      </c>
      <c r="M11" s="61">
        <v>7.46E-2</v>
      </c>
      <c r="N11" s="61">
        <v>1.1042000000000001</v>
      </c>
      <c r="O11" s="61">
        <v>4.7E-2</v>
      </c>
      <c r="P11" s="61">
        <v>0.26390000000000002</v>
      </c>
      <c r="Q11" s="61">
        <v>2.52E-2</v>
      </c>
      <c r="R11" s="60">
        <v>1.44</v>
      </c>
      <c r="S11" s="60">
        <v>2.84</v>
      </c>
    </row>
    <row r="12" spans="1:19">
      <c r="A12" s="58" t="s">
        <v>160</v>
      </c>
      <c r="B12" s="59">
        <v>120</v>
      </c>
      <c r="C12" s="60">
        <v>1.1299999999999999</v>
      </c>
      <c r="D12" s="60">
        <v>1.2</v>
      </c>
      <c r="E12" s="61">
        <v>0.86119999999999997</v>
      </c>
      <c r="F12" s="61">
        <v>0.13239999999999999</v>
      </c>
      <c r="G12" s="61">
        <v>0.1169</v>
      </c>
      <c r="H12" s="61">
        <v>0.16500000000000001</v>
      </c>
      <c r="I12" s="61">
        <v>0.13789999999999999</v>
      </c>
      <c r="J12" s="61">
        <v>5.74E-2</v>
      </c>
      <c r="K12" s="61">
        <v>0.2341</v>
      </c>
      <c r="L12" s="61">
        <v>0.151</v>
      </c>
      <c r="M12" s="61">
        <v>6.9699999999999998E-2</v>
      </c>
      <c r="N12" s="61">
        <v>0.86070000000000002</v>
      </c>
      <c r="O12" s="61">
        <v>7.0400000000000004E-2</v>
      </c>
      <c r="P12" s="61">
        <v>9.4999999999999998E-3</v>
      </c>
      <c r="Q12" s="61">
        <v>-3.9600000000000003E-2</v>
      </c>
      <c r="R12" s="60">
        <v>0.91</v>
      </c>
      <c r="S12" s="60">
        <v>4.59</v>
      </c>
    </row>
    <row r="13" spans="1:19">
      <c r="A13" s="58" t="s">
        <v>161</v>
      </c>
      <c r="B13" s="59">
        <v>47</v>
      </c>
      <c r="C13" s="60">
        <v>1.33</v>
      </c>
      <c r="D13" s="60">
        <v>0.88</v>
      </c>
      <c r="E13" s="61">
        <v>0.75639999999999996</v>
      </c>
      <c r="F13" s="61">
        <v>0.71379999999999999</v>
      </c>
      <c r="G13" s="61">
        <v>0.41649999999999998</v>
      </c>
      <c r="H13" s="61">
        <v>2.0799999999999999E-2</v>
      </c>
      <c r="I13" s="61">
        <v>0.11219999999999999</v>
      </c>
      <c r="J13" s="61">
        <v>0.1169</v>
      </c>
      <c r="K13" s="61">
        <v>0.14449999999999999</v>
      </c>
      <c r="L13" s="61">
        <v>0.1386</v>
      </c>
      <c r="M13" s="61">
        <v>-5.7000000000000002E-3</v>
      </c>
      <c r="N13" s="61">
        <v>0.75380000000000003</v>
      </c>
      <c r="O13" s="61">
        <v>8.8400000000000006E-2</v>
      </c>
      <c r="P13" s="61">
        <v>0.26129999999999998</v>
      </c>
      <c r="Q13" s="61">
        <v>-0.1133</v>
      </c>
      <c r="R13" s="60">
        <v>0.81</v>
      </c>
      <c r="S13" s="60">
        <v>1.4</v>
      </c>
    </row>
    <row r="14" spans="1:19">
      <c r="A14" s="58" t="s">
        <v>162</v>
      </c>
      <c r="B14" s="59">
        <v>24</v>
      </c>
      <c r="C14" s="60">
        <v>1.43</v>
      </c>
      <c r="D14" s="60">
        <v>0.97</v>
      </c>
      <c r="E14" s="61">
        <v>0.49359999999999998</v>
      </c>
      <c r="F14" s="61">
        <v>0.68400000000000005</v>
      </c>
      <c r="G14" s="61">
        <v>0.40620000000000001</v>
      </c>
      <c r="H14" s="61">
        <v>0.12690000000000001</v>
      </c>
      <c r="I14" s="61">
        <v>0.14099999999999999</v>
      </c>
      <c r="J14" s="61">
        <v>0.2298</v>
      </c>
      <c r="K14" s="61">
        <v>0.34010000000000001</v>
      </c>
      <c r="L14" s="61">
        <v>0.21190000000000001</v>
      </c>
      <c r="M14" s="61">
        <v>4.0800000000000003E-2</v>
      </c>
      <c r="N14" s="61">
        <v>0.90539999999999998</v>
      </c>
      <c r="O14" s="61">
        <v>-0.1004</v>
      </c>
      <c r="P14" s="61">
        <v>9.4600000000000004E-2</v>
      </c>
      <c r="Q14" s="61">
        <v>-7.8700000000000006E-2</v>
      </c>
      <c r="R14" s="60">
        <v>0.67</v>
      </c>
      <c r="S14" s="60">
        <v>2.33</v>
      </c>
    </row>
    <row r="15" spans="1:19">
      <c r="A15" s="58" t="s">
        <v>163</v>
      </c>
      <c r="B15" s="59">
        <v>10</v>
      </c>
      <c r="C15" s="60">
        <v>1.1399999999999999</v>
      </c>
      <c r="D15" s="60">
        <v>0.94</v>
      </c>
      <c r="E15" s="61">
        <v>0.3175</v>
      </c>
      <c r="F15" s="61">
        <v>0.28439999999999999</v>
      </c>
      <c r="G15" s="61">
        <v>0.22140000000000001</v>
      </c>
      <c r="H15" s="61">
        <v>7.51E-2</v>
      </c>
      <c r="I15" s="61">
        <v>0.18029999999999999</v>
      </c>
      <c r="J15" s="61">
        <v>0.1036</v>
      </c>
      <c r="K15" s="61">
        <v>0.37519999999999998</v>
      </c>
      <c r="L15" s="61">
        <v>0.33510000000000001</v>
      </c>
      <c r="M15" s="61">
        <v>0.10009999999999999</v>
      </c>
      <c r="N15" s="61">
        <v>1.6909000000000001</v>
      </c>
      <c r="O15" s="61">
        <v>-4.6699999999999998E-2</v>
      </c>
      <c r="P15" s="61">
        <v>0.47099999999999997</v>
      </c>
      <c r="Q15" s="61">
        <v>0.36940000000000001</v>
      </c>
      <c r="R15" s="60">
        <v>0.54</v>
      </c>
      <c r="S15" s="60">
        <v>3.07</v>
      </c>
    </row>
    <row r="16" spans="1:19">
      <c r="A16" s="58" t="s">
        <v>164</v>
      </c>
      <c r="B16" s="59">
        <v>17</v>
      </c>
      <c r="C16" s="60">
        <v>1.28</v>
      </c>
      <c r="D16" s="60">
        <v>1.19</v>
      </c>
      <c r="E16" s="61">
        <v>0.45140000000000002</v>
      </c>
      <c r="F16" s="61">
        <v>0.1875</v>
      </c>
      <c r="G16" s="61">
        <v>0.15790000000000001</v>
      </c>
      <c r="H16" s="61">
        <v>0.26350000000000001</v>
      </c>
      <c r="I16" s="61">
        <v>0.21709999999999999</v>
      </c>
      <c r="J16" s="61">
        <v>0.22389999999999999</v>
      </c>
      <c r="K16" s="61">
        <v>0.1714</v>
      </c>
      <c r="L16" s="61">
        <v>0.14349999999999999</v>
      </c>
      <c r="M16" s="61">
        <v>4.6699999999999998E-2</v>
      </c>
      <c r="N16" s="61">
        <v>1.2561</v>
      </c>
      <c r="O16" s="61">
        <v>0.13109999999999999</v>
      </c>
      <c r="P16" s="61">
        <v>0.15359999999999999</v>
      </c>
      <c r="Q16" s="61">
        <v>0.17100000000000001</v>
      </c>
      <c r="R16" s="60">
        <v>1.51</v>
      </c>
      <c r="S16" s="60">
        <v>2.13</v>
      </c>
    </row>
    <row r="17" spans="1:19">
      <c r="A17" s="58" t="s">
        <v>165</v>
      </c>
      <c r="B17" s="59">
        <v>31</v>
      </c>
      <c r="C17" s="60">
        <v>1.51</v>
      </c>
      <c r="D17" s="60">
        <v>1.39</v>
      </c>
      <c r="E17" s="61">
        <v>0.50829999999999997</v>
      </c>
      <c r="F17" s="61">
        <v>0.2107</v>
      </c>
      <c r="G17" s="61">
        <v>0.17399999999999999</v>
      </c>
      <c r="H17" s="61">
        <v>0.16139999999999999</v>
      </c>
      <c r="I17" s="61">
        <v>0.18990000000000001</v>
      </c>
      <c r="J17" s="61">
        <v>0.2387</v>
      </c>
      <c r="K17" s="61">
        <v>0.1928</v>
      </c>
      <c r="L17" s="61">
        <v>0.13120000000000001</v>
      </c>
      <c r="M17" s="61">
        <v>3.4599999999999999E-2</v>
      </c>
      <c r="N17" s="61">
        <v>1.1991000000000001</v>
      </c>
      <c r="O17" s="61">
        <v>0.16420000000000001</v>
      </c>
      <c r="P17" s="61">
        <v>0.1875</v>
      </c>
      <c r="Q17" s="61">
        <v>0.26079999999999998</v>
      </c>
      <c r="R17" s="60">
        <v>1.45</v>
      </c>
      <c r="S17" s="60">
        <v>1.84</v>
      </c>
    </row>
    <row r="18" spans="1:19">
      <c r="A18" s="58" t="s">
        <v>166</v>
      </c>
      <c r="B18" s="59">
        <v>83</v>
      </c>
      <c r="C18" s="60">
        <v>1.37</v>
      </c>
      <c r="D18" s="60">
        <v>1.2</v>
      </c>
      <c r="E18" s="61">
        <v>0.71789999999999998</v>
      </c>
      <c r="F18" s="61">
        <v>0.2306</v>
      </c>
      <c r="G18" s="61">
        <v>0.18740000000000001</v>
      </c>
      <c r="H18" s="61">
        <v>0.16569999999999999</v>
      </c>
      <c r="I18" s="61">
        <v>0.17580000000000001</v>
      </c>
      <c r="J18" s="61">
        <v>0.14849999999999999</v>
      </c>
      <c r="K18" s="61">
        <v>0.1426</v>
      </c>
      <c r="L18" s="61">
        <v>0.1052</v>
      </c>
      <c r="M18" s="61">
        <v>3.1099999999999999E-2</v>
      </c>
      <c r="N18" s="61">
        <v>1.0228999999999999</v>
      </c>
      <c r="O18" s="61">
        <v>0.13239999999999999</v>
      </c>
      <c r="P18" s="61">
        <v>0.1988</v>
      </c>
      <c r="Q18" s="61">
        <v>7.8600000000000003E-2</v>
      </c>
      <c r="R18" s="60">
        <v>1.67</v>
      </c>
      <c r="S18" s="60">
        <v>1.58</v>
      </c>
    </row>
    <row r="19" spans="1:19">
      <c r="A19" s="58" t="s">
        <v>167</v>
      </c>
      <c r="B19" s="59">
        <v>25</v>
      </c>
      <c r="C19" s="60">
        <v>1.59</v>
      </c>
      <c r="D19" s="60">
        <v>1.45</v>
      </c>
      <c r="E19" s="61">
        <v>0.65500000000000003</v>
      </c>
      <c r="F19" s="61">
        <v>0.16159999999999999</v>
      </c>
      <c r="G19" s="61">
        <v>0.1391</v>
      </c>
      <c r="H19" s="61">
        <v>0.21210000000000001</v>
      </c>
      <c r="I19" s="61">
        <v>0.24199999999999999</v>
      </c>
      <c r="J19" s="61">
        <v>0.13170000000000001</v>
      </c>
      <c r="K19" s="61">
        <v>0.23519999999999999</v>
      </c>
      <c r="L19" s="61">
        <v>0.18890000000000001</v>
      </c>
      <c r="M19" s="61">
        <v>0.10059999999999999</v>
      </c>
      <c r="N19" s="61">
        <v>1.1763999999999999</v>
      </c>
      <c r="O19" s="61">
        <v>5.8500000000000003E-2</v>
      </c>
      <c r="P19" s="61">
        <v>0.32729999999999998</v>
      </c>
      <c r="Q19" s="61">
        <v>0.13980000000000001</v>
      </c>
      <c r="R19" s="60">
        <v>1.28</v>
      </c>
      <c r="S19" s="60">
        <v>2.64</v>
      </c>
    </row>
    <row r="20" spans="1:19">
      <c r="A20" s="58" t="s">
        <v>168</v>
      </c>
      <c r="B20" s="59">
        <v>247</v>
      </c>
      <c r="C20" s="60">
        <v>1.06</v>
      </c>
      <c r="D20" s="60">
        <v>1.1200000000000001</v>
      </c>
      <c r="E20" s="61">
        <v>0.81879999999999997</v>
      </c>
      <c r="F20" s="61">
        <v>4.6800000000000001E-2</v>
      </c>
      <c r="G20" s="61">
        <v>4.4699999999999997E-2</v>
      </c>
      <c r="H20" s="61">
        <v>0.51480000000000004</v>
      </c>
      <c r="I20" s="61">
        <v>0.41959999999999997</v>
      </c>
      <c r="J20" s="61">
        <v>0.13880000000000001</v>
      </c>
      <c r="K20" s="61">
        <v>0.2737</v>
      </c>
      <c r="L20" s="61">
        <v>0.1961</v>
      </c>
      <c r="M20" s="61">
        <v>9.6699999999999994E-2</v>
      </c>
      <c r="N20" s="61">
        <v>0.71150000000000002</v>
      </c>
      <c r="O20" s="61">
        <v>-7.7299999999999994E-2</v>
      </c>
      <c r="P20" s="61">
        <v>0.1183</v>
      </c>
      <c r="Q20" s="61">
        <v>-6.93E-2</v>
      </c>
      <c r="R20" s="60">
        <v>2.14</v>
      </c>
      <c r="S20" s="60">
        <v>3.41</v>
      </c>
    </row>
    <row r="21" spans="1:19">
      <c r="A21" s="58" t="s">
        <v>169</v>
      </c>
      <c r="B21" s="59">
        <v>101</v>
      </c>
      <c r="C21" s="60">
        <v>1.27</v>
      </c>
      <c r="D21" s="60">
        <v>1.31</v>
      </c>
      <c r="E21" s="61">
        <v>1.0369999999999999</v>
      </c>
      <c r="F21" s="61">
        <v>9.1300000000000006E-2</v>
      </c>
      <c r="G21" s="61">
        <v>8.3699999999999997E-2</v>
      </c>
      <c r="H21" s="61">
        <v>0.64270000000000005</v>
      </c>
      <c r="I21" s="61">
        <v>0.41120000000000001</v>
      </c>
      <c r="J21" s="61">
        <v>8.9399999999999993E-2</v>
      </c>
      <c r="K21" s="61">
        <v>0.1386</v>
      </c>
      <c r="L21" s="61">
        <v>0.1057</v>
      </c>
      <c r="M21" s="61">
        <v>4.9399999999999999E-2</v>
      </c>
      <c r="N21" s="61">
        <v>0.84089999999999998</v>
      </c>
      <c r="O21" s="61">
        <v>-0.01</v>
      </c>
      <c r="P21" s="61">
        <v>5.5E-2</v>
      </c>
      <c r="Q21" s="61">
        <v>-5.57E-2</v>
      </c>
      <c r="R21" s="60">
        <v>3.89</v>
      </c>
      <c r="S21" s="60">
        <v>1.5</v>
      </c>
    </row>
    <row r="22" spans="1:19">
      <c r="A22" s="58" t="s">
        <v>170</v>
      </c>
      <c r="B22" s="59">
        <v>111</v>
      </c>
      <c r="C22" s="60">
        <v>1.22</v>
      </c>
      <c r="D22" s="60">
        <v>0.76</v>
      </c>
      <c r="E22" s="61">
        <v>0.64490000000000003</v>
      </c>
      <c r="F22" s="61">
        <v>0.99770000000000003</v>
      </c>
      <c r="G22" s="61">
        <v>0.49940000000000001</v>
      </c>
      <c r="H22" s="61">
        <v>0.31969999999999998</v>
      </c>
      <c r="I22" s="61">
        <v>0.10979999999999999</v>
      </c>
      <c r="J22" s="61">
        <v>0.1714</v>
      </c>
      <c r="K22" s="61">
        <v>0.21160000000000001</v>
      </c>
      <c r="L22" s="61">
        <v>0.17080000000000001</v>
      </c>
      <c r="M22" s="61">
        <v>3.6999999999999998E-2</v>
      </c>
      <c r="N22" s="61">
        <v>1.0125999999999999</v>
      </c>
      <c r="O22" s="61">
        <v>0.83440000000000003</v>
      </c>
      <c r="P22" s="61">
        <v>0.19670000000000001</v>
      </c>
      <c r="Q22" s="61">
        <v>-6.3100000000000003E-2</v>
      </c>
      <c r="R22" s="60">
        <v>0.64</v>
      </c>
      <c r="S22" s="60">
        <v>2.39</v>
      </c>
    </row>
    <row r="23" spans="1:19">
      <c r="A23" s="58" t="s">
        <v>171</v>
      </c>
      <c r="B23" s="59">
        <v>301</v>
      </c>
      <c r="C23" s="60">
        <v>1.1100000000000001</v>
      </c>
      <c r="D23" s="60">
        <v>1.08</v>
      </c>
      <c r="E23" s="61">
        <v>1.0027999999999999</v>
      </c>
      <c r="F23" s="61">
        <v>0.14099999999999999</v>
      </c>
      <c r="G23" s="61">
        <v>0.1236</v>
      </c>
      <c r="H23" s="61">
        <v>0.2399</v>
      </c>
      <c r="I23" s="61">
        <v>0.22059999999999999</v>
      </c>
      <c r="J23" s="61">
        <v>6.7199999999999996E-2</v>
      </c>
      <c r="K23" s="61">
        <v>0.31669999999999998</v>
      </c>
      <c r="L23" s="61">
        <v>0.23849999999999999</v>
      </c>
      <c r="M23" s="61">
        <v>8.3199999999999996E-2</v>
      </c>
      <c r="N23" s="61">
        <v>0.52500000000000002</v>
      </c>
      <c r="O23" s="61">
        <v>8.9399999999999993E-2</v>
      </c>
      <c r="P23" s="61">
        <v>0.24590000000000001</v>
      </c>
      <c r="Q23" s="61">
        <v>-0.2903</v>
      </c>
      <c r="R23" s="60">
        <v>0.92</v>
      </c>
      <c r="S23" s="60">
        <v>2.98</v>
      </c>
    </row>
    <row r="24" spans="1:19">
      <c r="A24" s="58" t="s">
        <v>172</v>
      </c>
      <c r="B24" s="59">
        <v>52</v>
      </c>
      <c r="C24" s="60">
        <v>1.1399999999999999</v>
      </c>
      <c r="D24" s="60">
        <v>1.19</v>
      </c>
      <c r="E24" s="61">
        <v>0.5988</v>
      </c>
      <c r="F24" s="61">
        <v>4.58E-2</v>
      </c>
      <c r="G24" s="61">
        <v>4.3799999999999999E-2</v>
      </c>
      <c r="H24" s="61">
        <v>0.1234</v>
      </c>
      <c r="I24" s="61">
        <v>0.16020000000000001</v>
      </c>
      <c r="J24" s="61">
        <v>0.1719</v>
      </c>
      <c r="K24" s="61">
        <v>0.1195</v>
      </c>
      <c r="L24" s="61">
        <v>8.1500000000000003E-2</v>
      </c>
      <c r="M24" s="61">
        <v>3.32E-2</v>
      </c>
      <c r="N24" s="61">
        <v>1.1168</v>
      </c>
      <c r="O24" s="61">
        <v>-8.7800000000000003E-2</v>
      </c>
      <c r="P24" s="61">
        <v>1.17E-2</v>
      </c>
      <c r="Q24" s="61">
        <v>-1.1900000000000001E-2</v>
      </c>
      <c r="R24" s="60">
        <v>1.97</v>
      </c>
      <c r="S24" s="60">
        <v>3.92</v>
      </c>
    </row>
    <row r="25" spans="1:19">
      <c r="A25" s="58" t="s">
        <v>173</v>
      </c>
      <c r="B25" s="59">
        <v>37</v>
      </c>
      <c r="C25" s="60">
        <v>0.79</v>
      </c>
      <c r="D25" s="60">
        <v>0.84</v>
      </c>
      <c r="E25" s="61">
        <v>0.69910000000000005</v>
      </c>
      <c r="F25" s="61">
        <v>8.8900000000000007E-2</v>
      </c>
      <c r="G25" s="61">
        <v>8.1600000000000006E-2</v>
      </c>
      <c r="H25" s="61">
        <v>0.42530000000000001</v>
      </c>
      <c r="I25" s="61">
        <v>0.33529999999999999</v>
      </c>
      <c r="J25" s="61">
        <v>0.2732</v>
      </c>
      <c r="K25" s="61">
        <v>0.18529999999999999</v>
      </c>
      <c r="L25" s="61">
        <v>0.1177</v>
      </c>
      <c r="M25" s="61">
        <v>7.0599999999999996E-2</v>
      </c>
      <c r="N25" s="61">
        <v>1.3032999999999999</v>
      </c>
      <c r="O25" s="61">
        <v>-9.5500000000000002E-2</v>
      </c>
      <c r="P25" s="61">
        <v>2.98E-2</v>
      </c>
      <c r="Q25" s="61">
        <v>-1.61E-2</v>
      </c>
      <c r="R25" s="60">
        <v>2.85</v>
      </c>
      <c r="S25" s="60">
        <v>1.55</v>
      </c>
    </row>
    <row r="26" spans="1:19">
      <c r="A26" s="58" t="s">
        <v>174</v>
      </c>
      <c r="B26" s="59">
        <v>23</v>
      </c>
      <c r="C26" s="60">
        <v>0.78</v>
      </c>
      <c r="D26" s="60">
        <v>0.46</v>
      </c>
      <c r="E26" s="61">
        <v>0.27479999999999999</v>
      </c>
      <c r="F26" s="61">
        <v>0.96840000000000004</v>
      </c>
      <c r="G26" s="61">
        <v>0.49199999999999999</v>
      </c>
      <c r="H26" s="61">
        <v>0.1028</v>
      </c>
      <c r="I26" s="61">
        <v>0.1021</v>
      </c>
      <c r="J26" s="61">
        <v>0.254</v>
      </c>
      <c r="K26" s="61">
        <v>0.26769999999999999</v>
      </c>
      <c r="L26" s="61">
        <v>0.1855</v>
      </c>
      <c r="M26" s="61">
        <v>8.5500000000000007E-2</v>
      </c>
      <c r="N26" s="61">
        <v>1.9833000000000001</v>
      </c>
      <c r="O26" s="61">
        <v>9.0399999999999994E-2</v>
      </c>
      <c r="P26" s="61">
        <v>0.68930000000000002</v>
      </c>
      <c r="Q26" s="61">
        <v>0.55359999999999998</v>
      </c>
      <c r="R26" s="60">
        <v>0.55000000000000004</v>
      </c>
      <c r="S26" s="60">
        <v>2.1800000000000002</v>
      </c>
    </row>
    <row r="27" spans="1:19">
      <c r="A27" s="58" t="s">
        <v>175</v>
      </c>
      <c r="B27" s="59">
        <v>25</v>
      </c>
      <c r="C27" s="60">
        <v>0.73</v>
      </c>
      <c r="D27" s="60">
        <v>0.49</v>
      </c>
      <c r="E27" s="61">
        <v>0.25169999999999998</v>
      </c>
      <c r="F27" s="61">
        <v>0.74729999999999996</v>
      </c>
      <c r="G27" s="61">
        <v>0.42770000000000002</v>
      </c>
      <c r="H27" s="61">
        <v>0.12559999999999999</v>
      </c>
      <c r="I27" s="61">
        <v>0.1125</v>
      </c>
      <c r="J27" s="61">
        <v>0.30559999999999998</v>
      </c>
      <c r="K27" s="61">
        <v>0.28320000000000001</v>
      </c>
      <c r="L27" s="61">
        <v>0.18990000000000001</v>
      </c>
      <c r="M27" s="61">
        <v>4.8800000000000003E-2</v>
      </c>
      <c r="N27" s="61">
        <v>2.2401</v>
      </c>
      <c r="O27" s="61">
        <v>7.1499999999999994E-2</v>
      </c>
      <c r="P27" s="61">
        <v>0.3342</v>
      </c>
      <c r="Q27" s="61">
        <v>0.63039999999999996</v>
      </c>
      <c r="R27" s="60">
        <v>0.59</v>
      </c>
      <c r="S27" s="60">
        <v>2.23</v>
      </c>
    </row>
    <row r="28" spans="1:19">
      <c r="A28" s="58" t="s">
        <v>176</v>
      </c>
      <c r="B28" s="59">
        <v>14</v>
      </c>
      <c r="C28" s="60">
        <v>0.75</v>
      </c>
      <c r="D28" s="60">
        <v>0.49</v>
      </c>
      <c r="E28" s="61">
        <v>0.22040000000000001</v>
      </c>
      <c r="F28" s="61">
        <v>0.83179999999999998</v>
      </c>
      <c r="G28" s="61">
        <v>0.4541</v>
      </c>
      <c r="H28" s="61">
        <v>0.1033</v>
      </c>
      <c r="I28" s="61">
        <v>0.10780000000000001</v>
      </c>
      <c r="J28" s="61">
        <v>0.31469999999999998</v>
      </c>
      <c r="K28" s="61">
        <v>0.28360000000000002</v>
      </c>
      <c r="L28" s="61">
        <v>0.1923</v>
      </c>
      <c r="M28" s="61">
        <v>8.48E-2</v>
      </c>
      <c r="N28" s="61">
        <v>2.0089000000000001</v>
      </c>
      <c r="O28" s="61">
        <v>2E-3</v>
      </c>
      <c r="P28" s="61">
        <v>0.54190000000000005</v>
      </c>
      <c r="Q28" s="61">
        <v>0.63939999999999997</v>
      </c>
      <c r="R28" s="60">
        <v>0.56000000000000005</v>
      </c>
      <c r="S28" s="60">
        <v>2.13</v>
      </c>
    </row>
    <row r="29" spans="1:19">
      <c r="A29" s="58" t="s">
        <v>177</v>
      </c>
      <c r="B29" s="59">
        <v>79</v>
      </c>
      <c r="C29" s="60">
        <v>1.32</v>
      </c>
      <c r="D29" s="60">
        <v>1.29</v>
      </c>
      <c r="E29" s="61">
        <v>0.66400000000000003</v>
      </c>
      <c r="F29" s="61">
        <v>0.1091</v>
      </c>
      <c r="G29" s="61">
        <v>9.8299999999999998E-2</v>
      </c>
      <c r="H29" s="61">
        <v>0.21329999999999999</v>
      </c>
      <c r="I29" s="61">
        <v>0.18440000000000001</v>
      </c>
      <c r="J29" s="61">
        <v>0.15540000000000001</v>
      </c>
      <c r="K29" s="61">
        <v>0.1741</v>
      </c>
      <c r="L29" s="61">
        <v>0.12659999999999999</v>
      </c>
      <c r="M29" s="61">
        <v>5.7799999999999997E-2</v>
      </c>
      <c r="N29" s="61">
        <v>1.1648000000000001</v>
      </c>
      <c r="O29" s="61">
        <v>0.13639999999999999</v>
      </c>
      <c r="P29" s="61">
        <v>0.1396</v>
      </c>
      <c r="Q29" s="61">
        <v>9.4899999999999998E-2</v>
      </c>
      <c r="R29" s="60">
        <v>1.46</v>
      </c>
      <c r="S29" s="60">
        <v>2.08</v>
      </c>
    </row>
    <row r="30" spans="1:19">
      <c r="A30" s="58" t="s">
        <v>178</v>
      </c>
      <c r="B30" s="59">
        <v>158</v>
      </c>
      <c r="C30" s="60">
        <v>1.1299999999999999</v>
      </c>
      <c r="D30" s="60">
        <v>1.1299999999999999</v>
      </c>
      <c r="E30" s="61">
        <v>0.79600000000000004</v>
      </c>
      <c r="F30" s="61">
        <v>0.184</v>
      </c>
      <c r="G30" s="61">
        <v>0.15540000000000001</v>
      </c>
      <c r="H30" s="61">
        <v>0.13009999999999999</v>
      </c>
      <c r="I30" s="61">
        <v>0.15920000000000001</v>
      </c>
      <c r="J30" s="61">
        <v>0.1285</v>
      </c>
      <c r="K30" s="61">
        <v>7.8600000000000003E-2</v>
      </c>
      <c r="L30" s="61">
        <v>5.62E-2</v>
      </c>
      <c r="M30" s="61">
        <v>2.2499999999999999E-2</v>
      </c>
      <c r="N30" s="61">
        <v>0.93459999999999999</v>
      </c>
      <c r="O30" s="61">
        <v>0.1215</v>
      </c>
      <c r="P30" s="61">
        <v>8.3799999999999999E-2</v>
      </c>
      <c r="Q30" s="61">
        <v>0.1053</v>
      </c>
      <c r="R30" s="60">
        <v>2.83</v>
      </c>
      <c r="S30" s="60">
        <v>0.72</v>
      </c>
    </row>
    <row r="31" spans="1:19">
      <c r="A31" s="58" t="s">
        <v>179</v>
      </c>
      <c r="B31" s="59">
        <v>17</v>
      </c>
      <c r="C31" s="60">
        <v>1.65</v>
      </c>
      <c r="D31" s="60">
        <v>1.85</v>
      </c>
      <c r="E31" s="61">
        <v>1.0629999999999999</v>
      </c>
      <c r="F31" s="61">
        <v>7.9299999999999995E-2</v>
      </c>
      <c r="G31" s="61">
        <v>7.3499999999999996E-2</v>
      </c>
      <c r="H31" s="61">
        <v>0.1807</v>
      </c>
      <c r="I31" s="61">
        <v>0.20100000000000001</v>
      </c>
      <c r="J31" s="61">
        <v>0.28520000000000001</v>
      </c>
      <c r="K31" s="61">
        <v>6.6900000000000001E-2</v>
      </c>
      <c r="L31" s="61">
        <v>4.58E-2</v>
      </c>
      <c r="M31" s="61">
        <v>3.1699999999999999E-2</v>
      </c>
      <c r="N31" s="61">
        <v>0.84160000000000001</v>
      </c>
      <c r="O31" s="61">
        <v>3.1600000000000003E-2</v>
      </c>
      <c r="P31" s="61">
        <v>5.6800000000000003E-2</v>
      </c>
      <c r="Q31" s="61">
        <v>8.2000000000000007E-3</v>
      </c>
      <c r="R31" s="60">
        <v>4.38</v>
      </c>
      <c r="S31" s="60">
        <v>0.52</v>
      </c>
    </row>
    <row r="32" spans="1:19">
      <c r="A32" s="58" t="s">
        <v>180</v>
      </c>
      <c r="B32" s="59">
        <v>75</v>
      </c>
      <c r="C32" s="60">
        <v>1.72</v>
      </c>
      <c r="D32" s="60">
        <v>1.38</v>
      </c>
      <c r="E32" s="61">
        <v>0.79759999999999998</v>
      </c>
      <c r="F32" s="61">
        <v>0.37990000000000002</v>
      </c>
      <c r="G32" s="61">
        <v>0.27529999999999999</v>
      </c>
      <c r="H32" s="61">
        <v>0.1065</v>
      </c>
      <c r="I32" s="61">
        <v>0.11559999999999999</v>
      </c>
      <c r="J32" s="61">
        <v>0.14680000000000001</v>
      </c>
      <c r="K32" s="61">
        <v>0.2394</v>
      </c>
      <c r="L32" s="61">
        <v>0.15409999999999999</v>
      </c>
      <c r="M32" s="61">
        <v>4.19E-2</v>
      </c>
      <c r="N32" s="61">
        <v>0.84289999999999998</v>
      </c>
      <c r="O32" s="61">
        <v>9.1000000000000004E-3</v>
      </c>
      <c r="P32" s="61">
        <v>0.1206</v>
      </c>
      <c r="Q32" s="61">
        <v>-5.4300000000000001E-2</v>
      </c>
      <c r="R32" s="60">
        <v>0.75</v>
      </c>
      <c r="S32" s="60">
        <v>2.13</v>
      </c>
    </row>
    <row r="33" spans="1:19">
      <c r="A33" s="58" t="s">
        <v>181</v>
      </c>
      <c r="B33" s="59">
        <v>31</v>
      </c>
      <c r="C33" s="60">
        <v>1.39</v>
      </c>
      <c r="D33" s="60">
        <v>1.55</v>
      </c>
      <c r="E33" s="61">
        <v>0.81669999999999998</v>
      </c>
      <c r="F33" s="61">
        <v>7.8E-2</v>
      </c>
      <c r="G33" s="61">
        <v>7.2400000000000006E-2</v>
      </c>
      <c r="H33" s="61">
        <v>-4.0500000000000001E-2</v>
      </c>
      <c r="I33" s="61">
        <v>6.8400000000000002E-2</v>
      </c>
      <c r="J33" s="61">
        <v>7.4899999999999994E-2</v>
      </c>
      <c r="K33" s="61">
        <v>6.9199999999999998E-2</v>
      </c>
      <c r="L33" s="61">
        <v>6.3799999999999996E-2</v>
      </c>
      <c r="M33" s="61">
        <v>3.61E-2</v>
      </c>
      <c r="N33" s="61">
        <v>0.46250000000000002</v>
      </c>
      <c r="O33" s="61">
        <v>-0.10580000000000001</v>
      </c>
      <c r="P33" s="61" t="s">
        <v>150</v>
      </c>
      <c r="Q33" s="61">
        <v>-0.62929999999999997</v>
      </c>
      <c r="R33" s="60">
        <v>1.07</v>
      </c>
      <c r="S33" s="60">
        <v>2.75</v>
      </c>
    </row>
    <row r="34" spans="1:19">
      <c r="A34" s="58" t="s">
        <v>182</v>
      </c>
      <c r="B34" s="59">
        <v>69</v>
      </c>
      <c r="C34" s="60">
        <v>0.85</v>
      </c>
      <c r="D34" s="60">
        <v>0.64</v>
      </c>
      <c r="E34" s="61">
        <v>0.86150000000000004</v>
      </c>
      <c r="F34" s="61">
        <v>0.4113</v>
      </c>
      <c r="G34" s="61">
        <v>0.29139999999999999</v>
      </c>
      <c r="H34" s="61">
        <v>0.1225</v>
      </c>
      <c r="I34" s="61">
        <v>0.12</v>
      </c>
      <c r="J34" s="61">
        <v>0.11020000000000001</v>
      </c>
      <c r="K34" s="61">
        <v>0.23569999999999999</v>
      </c>
      <c r="L34" s="61">
        <v>0.1429</v>
      </c>
      <c r="M34" s="61">
        <v>3.5700000000000003E-2</v>
      </c>
      <c r="N34" s="61">
        <v>0.9204</v>
      </c>
      <c r="O34" s="61">
        <v>8.0999999999999996E-3</v>
      </c>
      <c r="P34" s="61">
        <v>0.23530000000000001</v>
      </c>
      <c r="Q34" s="61">
        <v>-2.3699999999999999E-2</v>
      </c>
      <c r="R34" s="60">
        <v>0.84</v>
      </c>
      <c r="S34" s="60">
        <v>2.2599999999999998</v>
      </c>
    </row>
    <row r="35" spans="1:19">
      <c r="A35" s="58" t="s">
        <v>183</v>
      </c>
      <c r="B35" s="59">
        <v>230</v>
      </c>
      <c r="C35" s="60">
        <v>1.37</v>
      </c>
      <c r="D35" s="60">
        <v>0.75</v>
      </c>
      <c r="E35" s="61">
        <v>0.91510000000000002</v>
      </c>
      <c r="F35" s="61">
        <v>1.3583000000000001</v>
      </c>
      <c r="G35" s="61">
        <v>0.57599999999999996</v>
      </c>
      <c r="H35" s="61" t="s">
        <v>150</v>
      </c>
      <c r="I35" s="61">
        <v>6.8199999999999997E-2</v>
      </c>
      <c r="J35" s="61">
        <v>0.18629999999999999</v>
      </c>
      <c r="K35" s="61">
        <v>0.25790000000000002</v>
      </c>
      <c r="L35" s="61">
        <v>0.20569999999999999</v>
      </c>
      <c r="M35" s="61">
        <v>5.5399999999999998E-2</v>
      </c>
      <c r="N35" s="61">
        <v>3.8060999999999998</v>
      </c>
      <c r="O35" s="61">
        <v>4.5999999999999999E-2</v>
      </c>
      <c r="P35" s="61" t="s">
        <v>150</v>
      </c>
      <c r="Q35" s="61">
        <v>0.24399999999999999</v>
      </c>
      <c r="R35" s="60">
        <v>0.33</v>
      </c>
      <c r="S35" s="60">
        <v>5.08</v>
      </c>
    </row>
    <row r="36" spans="1:19">
      <c r="A36" s="58" t="s">
        <v>184</v>
      </c>
      <c r="B36" s="59">
        <v>109</v>
      </c>
      <c r="C36" s="60">
        <v>0.87</v>
      </c>
      <c r="D36" s="60">
        <v>0.74</v>
      </c>
      <c r="E36" s="61">
        <v>0.57640000000000002</v>
      </c>
      <c r="F36" s="61">
        <v>0.2898</v>
      </c>
      <c r="G36" s="61">
        <v>0.22470000000000001</v>
      </c>
      <c r="H36" s="61">
        <v>0.20960000000000001</v>
      </c>
      <c r="I36" s="61">
        <v>0.158</v>
      </c>
      <c r="J36" s="61">
        <v>0.218</v>
      </c>
      <c r="K36" s="61">
        <v>0.1104</v>
      </c>
      <c r="L36" s="61">
        <v>7.8100000000000003E-2</v>
      </c>
      <c r="M36" s="61">
        <v>2.7E-2</v>
      </c>
      <c r="N36" s="61">
        <v>1.3063</v>
      </c>
      <c r="O36" s="61">
        <v>6.9800000000000001E-2</v>
      </c>
      <c r="P36" s="61">
        <v>0.23810000000000001</v>
      </c>
      <c r="Q36" s="61">
        <v>0.11360000000000001</v>
      </c>
      <c r="R36" s="60">
        <v>2.02</v>
      </c>
      <c r="S36" s="60">
        <v>1.1000000000000001</v>
      </c>
    </row>
    <row r="37" spans="1:19">
      <c r="A37" s="58" t="s">
        <v>185</v>
      </c>
      <c r="B37" s="59">
        <v>9</v>
      </c>
      <c r="C37" s="60">
        <v>1.1399999999999999</v>
      </c>
      <c r="D37" s="60">
        <v>1.23</v>
      </c>
      <c r="E37" s="61">
        <v>0.33339999999999997</v>
      </c>
      <c r="F37" s="61">
        <v>0.29549999999999998</v>
      </c>
      <c r="G37" s="61">
        <v>0.2281</v>
      </c>
      <c r="H37" s="61">
        <v>-1.4800000000000001E-2</v>
      </c>
      <c r="I37" s="61">
        <v>0.1168</v>
      </c>
      <c r="J37" s="61">
        <v>0.30059999999999998</v>
      </c>
      <c r="K37" s="61">
        <v>8.3400000000000002E-2</v>
      </c>
      <c r="L37" s="61">
        <v>5.3800000000000001E-2</v>
      </c>
      <c r="M37" s="61">
        <v>1.6899999999999998E-2</v>
      </c>
      <c r="N37" s="61">
        <v>0.75639999999999996</v>
      </c>
      <c r="O37" s="61">
        <v>2.75E-2</v>
      </c>
      <c r="P37" s="61" t="s">
        <v>150</v>
      </c>
      <c r="Q37" s="61">
        <v>-0.183</v>
      </c>
      <c r="R37" s="60">
        <v>2.17</v>
      </c>
      <c r="S37" s="60">
        <v>0.6</v>
      </c>
    </row>
    <row r="38" spans="1:19">
      <c r="A38" s="58" t="s">
        <v>186</v>
      </c>
      <c r="B38" s="59">
        <v>5</v>
      </c>
      <c r="C38" s="60">
        <v>1.22</v>
      </c>
      <c r="D38" s="60">
        <v>0.94</v>
      </c>
      <c r="E38" s="61">
        <v>0.35580000000000001</v>
      </c>
      <c r="F38" s="61">
        <v>0.50780000000000003</v>
      </c>
      <c r="G38" s="61">
        <v>0.33679999999999999</v>
      </c>
      <c r="H38" s="61">
        <v>0.13320000000000001</v>
      </c>
      <c r="I38" s="61">
        <v>0.1066</v>
      </c>
      <c r="J38" s="61">
        <v>0.29020000000000001</v>
      </c>
      <c r="K38" s="61">
        <v>0.20610000000000001</v>
      </c>
      <c r="L38" s="61">
        <v>0.13170000000000001</v>
      </c>
      <c r="M38" s="61">
        <v>9.0700000000000003E-2</v>
      </c>
      <c r="N38" s="61">
        <v>0.72370000000000001</v>
      </c>
      <c r="O38" s="61">
        <v>4.3200000000000002E-2</v>
      </c>
      <c r="P38" s="61">
        <v>0.44190000000000002</v>
      </c>
      <c r="Q38" s="61">
        <v>-0.06</v>
      </c>
      <c r="R38" s="60">
        <v>0.81</v>
      </c>
      <c r="S38" s="60">
        <v>1.88</v>
      </c>
    </row>
    <row r="39" spans="1:19">
      <c r="A39" s="58" t="s">
        <v>187</v>
      </c>
      <c r="B39" s="59">
        <v>30</v>
      </c>
      <c r="C39" s="60">
        <v>1.67</v>
      </c>
      <c r="D39" s="60">
        <v>1.49</v>
      </c>
      <c r="E39" s="61">
        <v>0.6492</v>
      </c>
      <c r="F39" s="61">
        <v>0.26179999999999998</v>
      </c>
      <c r="G39" s="61">
        <v>0.20749999999999999</v>
      </c>
      <c r="H39" s="61">
        <v>6.6400000000000001E-2</v>
      </c>
      <c r="I39" s="61">
        <v>0.11990000000000001</v>
      </c>
      <c r="J39" s="61">
        <v>0.16869999999999999</v>
      </c>
      <c r="K39" s="61">
        <v>7.7100000000000002E-2</v>
      </c>
      <c r="L39" s="61">
        <v>5.9799999999999999E-2</v>
      </c>
      <c r="M39" s="61">
        <v>3.3700000000000001E-2</v>
      </c>
      <c r="N39" s="61">
        <v>0.46210000000000001</v>
      </c>
      <c r="O39" s="61">
        <v>0.11990000000000001</v>
      </c>
      <c r="P39" s="61">
        <v>0.50239999999999996</v>
      </c>
      <c r="Q39" s="61">
        <v>-0.24990000000000001</v>
      </c>
      <c r="R39" s="60">
        <v>2.0099999999999998</v>
      </c>
      <c r="S39" s="60">
        <v>0.92</v>
      </c>
    </row>
    <row r="40" spans="1:19">
      <c r="A40" s="58" t="s">
        <v>188</v>
      </c>
      <c r="B40" s="59">
        <v>26</v>
      </c>
      <c r="C40" s="60">
        <v>0.94</v>
      </c>
      <c r="D40" s="60">
        <v>0.96</v>
      </c>
      <c r="E40" s="61">
        <v>0.61219999999999997</v>
      </c>
      <c r="F40" s="61">
        <v>4.8599999999999997E-2</v>
      </c>
      <c r="G40" s="61">
        <v>4.6399999999999997E-2</v>
      </c>
      <c r="H40" s="61">
        <v>0.1159</v>
      </c>
      <c r="I40" s="61">
        <v>0.1797</v>
      </c>
      <c r="J40" s="61">
        <v>0.22420000000000001</v>
      </c>
      <c r="K40" s="61">
        <v>0.15140000000000001</v>
      </c>
      <c r="L40" s="61">
        <v>0.10009999999999999</v>
      </c>
      <c r="M40" s="61">
        <v>3.39E-2</v>
      </c>
      <c r="N40" s="61">
        <v>0.60170000000000001</v>
      </c>
      <c r="O40" s="61">
        <v>2.24E-2</v>
      </c>
      <c r="P40" s="61">
        <v>3.1699999999999999E-2</v>
      </c>
      <c r="Q40" s="61">
        <v>-0.23430000000000001</v>
      </c>
      <c r="R40" s="60">
        <v>1.8</v>
      </c>
      <c r="S40" s="60">
        <v>3.69</v>
      </c>
    </row>
    <row r="41" spans="1:19">
      <c r="A41" s="58" t="s">
        <v>189</v>
      </c>
      <c r="B41" s="59">
        <v>8</v>
      </c>
      <c r="C41" s="60">
        <v>1.94</v>
      </c>
      <c r="D41" s="60">
        <v>1.55</v>
      </c>
      <c r="E41" s="61">
        <v>0.70230000000000004</v>
      </c>
      <c r="F41" s="61">
        <v>0.46410000000000001</v>
      </c>
      <c r="G41" s="61">
        <v>0.317</v>
      </c>
      <c r="H41" s="61">
        <v>0.20069999999999999</v>
      </c>
      <c r="I41" s="61">
        <v>0.1258</v>
      </c>
      <c r="J41" s="61">
        <v>0.19969999999999999</v>
      </c>
      <c r="K41" s="61">
        <v>9.9000000000000005E-2</v>
      </c>
      <c r="L41" s="61">
        <v>6.7000000000000004E-2</v>
      </c>
      <c r="M41" s="61">
        <v>4.5499999999999999E-2</v>
      </c>
      <c r="N41" s="61">
        <v>0.30990000000000001</v>
      </c>
      <c r="O41" s="61">
        <v>0.29420000000000002</v>
      </c>
      <c r="P41" s="61">
        <v>0.43290000000000001</v>
      </c>
      <c r="Q41" s="61">
        <v>-0.2253</v>
      </c>
      <c r="R41" s="60">
        <v>1.88</v>
      </c>
      <c r="S41" s="60">
        <v>1.48</v>
      </c>
    </row>
    <row r="42" spans="1:19">
      <c r="A42" s="58" t="s">
        <v>190</v>
      </c>
      <c r="B42" s="59">
        <v>24</v>
      </c>
      <c r="C42" s="60">
        <v>1.39</v>
      </c>
      <c r="D42" s="60">
        <v>1.05</v>
      </c>
      <c r="E42" s="61">
        <v>0.66600000000000004</v>
      </c>
      <c r="F42" s="61">
        <v>0.89049999999999996</v>
      </c>
      <c r="G42" s="61">
        <v>0.47099999999999997</v>
      </c>
      <c r="H42" s="61">
        <v>-1.4493</v>
      </c>
      <c r="I42" s="61">
        <v>-0.17</v>
      </c>
      <c r="J42" s="61">
        <v>6.0699999999999997E-2</v>
      </c>
      <c r="K42" s="61">
        <v>-0.16889999999999999</v>
      </c>
      <c r="L42" s="61">
        <v>-0.17119999999999999</v>
      </c>
      <c r="M42" s="61">
        <v>-7.7000000000000002E-3</v>
      </c>
      <c r="N42" s="61">
        <v>0.38119999999999998</v>
      </c>
      <c r="O42" s="61">
        <v>0.84260000000000002</v>
      </c>
      <c r="P42" s="61" t="s">
        <v>150</v>
      </c>
      <c r="Q42" s="61" t="s">
        <v>150</v>
      </c>
      <c r="R42" s="60">
        <v>0.99</v>
      </c>
      <c r="S42" s="60">
        <v>1.28</v>
      </c>
    </row>
    <row r="43" spans="1:19">
      <c r="A43" s="58" t="s">
        <v>191</v>
      </c>
      <c r="B43" s="59">
        <v>52</v>
      </c>
      <c r="C43" s="60">
        <v>1.76</v>
      </c>
      <c r="D43" s="60">
        <v>1.33</v>
      </c>
      <c r="E43" s="61">
        <v>0.75890000000000002</v>
      </c>
      <c r="F43" s="61">
        <v>0.49080000000000001</v>
      </c>
      <c r="G43" s="61">
        <v>0.32919999999999999</v>
      </c>
      <c r="H43" s="61">
        <v>6.3600000000000004E-2</v>
      </c>
      <c r="I43" s="61">
        <v>8.6599999999999996E-2</v>
      </c>
      <c r="J43" s="61">
        <v>0.1593</v>
      </c>
      <c r="K43" s="61">
        <v>0.18390000000000001</v>
      </c>
      <c r="L43" s="61">
        <v>0.13370000000000001</v>
      </c>
      <c r="M43" s="61">
        <v>7.9000000000000008E-3</v>
      </c>
      <c r="N43" s="61">
        <v>1.6862999999999999</v>
      </c>
      <c r="O43" s="61">
        <v>-1.8100000000000002E-2</v>
      </c>
      <c r="P43" s="61">
        <v>0.1636</v>
      </c>
      <c r="Q43" s="61">
        <v>0.39179999999999998</v>
      </c>
      <c r="R43" s="60">
        <v>0.65</v>
      </c>
      <c r="S43" s="60">
        <v>3.17</v>
      </c>
    </row>
    <row r="44" spans="1:19">
      <c r="A44" s="58" t="s">
        <v>192</v>
      </c>
      <c r="B44" s="59">
        <v>22</v>
      </c>
      <c r="C44" s="60">
        <v>1.17</v>
      </c>
      <c r="D44" s="60">
        <v>1.05</v>
      </c>
      <c r="E44" s="61">
        <v>0.46600000000000003</v>
      </c>
      <c r="F44" s="61">
        <v>0.18379999999999999</v>
      </c>
      <c r="G44" s="61">
        <v>0.15529999999999999</v>
      </c>
      <c r="H44" s="61">
        <v>0.23400000000000001</v>
      </c>
      <c r="I44" s="61">
        <v>0.18459999999999999</v>
      </c>
      <c r="J44" s="61">
        <v>0.27460000000000001</v>
      </c>
      <c r="K44" s="61">
        <v>0.22</v>
      </c>
      <c r="L44" s="61">
        <v>0.15540000000000001</v>
      </c>
      <c r="M44" s="61">
        <v>0.1196</v>
      </c>
      <c r="N44" s="61">
        <v>1.0448</v>
      </c>
      <c r="O44" s="61">
        <v>3.4200000000000001E-2</v>
      </c>
      <c r="P44" s="61">
        <v>0.48070000000000002</v>
      </c>
      <c r="Q44" s="61">
        <v>2.1000000000000001E-2</v>
      </c>
      <c r="R44" s="60">
        <v>1.19</v>
      </c>
      <c r="S44" s="60">
        <v>2.23</v>
      </c>
    </row>
    <row r="45" spans="1:19">
      <c r="A45" s="58" t="s">
        <v>193</v>
      </c>
      <c r="B45" s="59">
        <v>24</v>
      </c>
      <c r="C45" s="60">
        <v>1.44</v>
      </c>
      <c r="D45" s="60">
        <v>1.57</v>
      </c>
      <c r="E45" s="61">
        <v>0.60189999999999999</v>
      </c>
      <c r="F45" s="61">
        <v>9.1399999999999995E-2</v>
      </c>
      <c r="G45" s="61">
        <v>8.3799999999999999E-2</v>
      </c>
      <c r="H45" s="61">
        <v>4.87E-2</v>
      </c>
      <c r="I45" s="61">
        <v>0.1012</v>
      </c>
      <c r="J45" s="61">
        <v>0.23730000000000001</v>
      </c>
      <c r="K45" s="61">
        <v>3.5799999999999998E-2</v>
      </c>
      <c r="L45" s="61">
        <v>1.83E-2</v>
      </c>
      <c r="M45" s="61">
        <v>3.7000000000000002E-3</v>
      </c>
      <c r="N45" s="61">
        <v>0.67320000000000002</v>
      </c>
      <c r="O45" s="61">
        <v>5.57E-2</v>
      </c>
      <c r="P45" s="61">
        <v>0.30590000000000001</v>
      </c>
      <c r="Q45" s="61">
        <v>-0.128</v>
      </c>
      <c r="R45" s="60">
        <v>5.54</v>
      </c>
      <c r="S45" s="60">
        <v>0.44</v>
      </c>
    </row>
    <row r="46" spans="1:19">
      <c r="A46" s="58" t="s">
        <v>194</v>
      </c>
      <c r="B46" s="59">
        <v>137</v>
      </c>
      <c r="C46" s="60">
        <v>0.96</v>
      </c>
      <c r="D46" s="60">
        <v>0.86</v>
      </c>
      <c r="E46" s="61">
        <v>0.67359999999999998</v>
      </c>
      <c r="F46" s="61">
        <v>0.2626</v>
      </c>
      <c r="G46" s="61">
        <v>0.20799999999999999</v>
      </c>
      <c r="H46" s="61">
        <v>0.16189999999999999</v>
      </c>
      <c r="I46" s="61">
        <v>0.15409999999999999</v>
      </c>
      <c r="J46" s="61">
        <v>0.20499999999999999</v>
      </c>
      <c r="K46" s="61">
        <v>0.10680000000000001</v>
      </c>
      <c r="L46" s="61">
        <v>7.1400000000000005E-2</v>
      </c>
      <c r="M46" s="61">
        <v>1.8800000000000001E-2</v>
      </c>
      <c r="N46" s="61">
        <v>1.3036000000000001</v>
      </c>
      <c r="O46" s="61">
        <v>7.1400000000000005E-2</v>
      </c>
      <c r="P46" s="61">
        <v>9.5200000000000007E-2</v>
      </c>
      <c r="Q46" s="61">
        <v>0.12529999999999999</v>
      </c>
      <c r="R46" s="60">
        <v>2.16</v>
      </c>
      <c r="S46" s="60">
        <v>1.1000000000000001</v>
      </c>
    </row>
    <row r="47" spans="1:19">
      <c r="A47" s="58" t="s">
        <v>195</v>
      </c>
      <c r="B47" s="59">
        <v>26</v>
      </c>
      <c r="C47" s="60">
        <v>1.1000000000000001</v>
      </c>
      <c r="D47" s="60">
        <v>0.98</v>
      </c>
      <c r="E47" s="61">
        <v>0.432</v>
      </c>
      <c r="F47" s="61">
        <v>0.2021</v>
      </c>
      <c r="G47" s="61">
        <v>0.1681</v>
      </c>
      <c r="H47" s="61">
        <v>0.15939999999999999</v>
      </c>
      <c r="I47" s="61">
        <v>0.1575</v>
      </c>
      <c r="J47" s="61">
        <v>0.22439999999999999</v>
      </c>
      <c r="K47" s="61">
        <v>0.2142</v>
      </c>
      <c r="L47" s="61">
        <v>0.16370000000000001</v>
      </c>
      <c r="M47" s="61">
        <v>5.2699999999999997E-2</v>
      </c>
      <c r="N47" s="61">
        <v>0.7</v>
      </c>
      <c r="O47" s="61">
        <v>-2.87E-2</v>
      </c>
      <c r="P47" s="61">
        <v>0.1966</v>
      </c>
      <c r="Q47" s="61">
        <v>-8.8300000000000003E-2</v>
      </c>
      <c r="R47" s="60">
        <v>0.96</v>
      </c>
      <c r="S47" s="60">
        <v>2.58</v>
      </c>
    </row>
    <row r="48" spans="1:19">
      <c r="A48" s="58" t="s">
        <v>196</v>
      </c>
      <c r="B48" s="59">
        <v>31</v>
      </c>
      <c r="C48" s="60">
        <v>1.39</v>
      </c>
      <c r="D48" s="60">
        <v>1.44</v>
      </c>
      <c r="E48" s="61">
        <v>0.65549999999999997</v>
      </c>
      <c r="F48" s="61">
        <v>0.18279999999999999</v>
      </c>
      <c r="G48" s="61">
        <v>0.15459999999999999</v>
      </c>
      <c r="H48" s="61">
        <v>0.14829999999999999</v>
      </c>
      <c r="I48" s="61" t="s">
        <v>150</v>
      </c>
      <c r="J48" s="61">
        <v>0.2029</v>
      </c>
      <c r="K48" s="61" t="s">
        <v>150</v>
      </c>
      <c r="L48" s="61" t="s">
        <v>150</v>
      </c>
      <c r="M48" s="61" t="s">
        <v>150</v>
      </c>
      <c r="N48" s="61" t="s">
        <v>150</v>
      </c>
      <c r="O48" s="61" t="s">
        <v>150</v>
      </c>
      <c r="P48" s="61">
        <v>0.2321</v>
      </c>
      <c r="Q48" s="61">
        <v>7.7000000000000002E-3</v>
      </c>
      <c r="R48" s="60" t="s">
        <v>150</v>
      </c>
      <c r="S48" s="60" t="s">
        <v>150</v>
      </c>
    </row>
    <row r="49" spans="1:19">
      <c r="A49" s="58" t="s">
        <v>197</v>
      </c>
      <c r="B49" s="59">
        <v>67</v>
      </c>
      <c r="C49" s="60">
        <v>0.92</v>
      </c>
      <c r="D49" s="60">
        <v>0.94</v>
      </c>
      <c r="E49" s="61">
        <v>0.35110000000000002</v>
      </c>
      <c r="F49" s="61">
        <v>0.11119999999999999</v>
      </c>
      <c r="G49" s="61">
        <v>0.10009999999999999</v>
      </c>
      <c r="H49" s="61">
        <v>0.14660000000000001</v>
      </c>
      <c r="I49" s="61" t="s">
        <v>150</v>
      </c>
      <c r="J49" s="61">
        <v>0.19500000000000001</v>
      </c>
      <c r="K49" s="61" t="s">
        <v>150</v>
      </c>
      <c r="L49" s="61" t="s">
        <v>150</v>
      </c>
      <c r="M49" s="61" t="s">
        <v>150</v>
      </c>
      <c r="N49" s="61" t="s">
        <v>150</v>
      </c>
      <c r="O49" s="61" t="s">
        <v>150</v>
      </c>
      <c r="P49" s="61">
        <v>0.18290000000000001</v>
      </c>
      <c r="Q49" s="61">
        <v>0.72419999999999995</v>
      </c>
      <c r="R49" s="60" t="s">
        <v>150</v>
      </c>
      <c r="S49" s="60" t="s">
        <v>150</v>
      </c>
    </row>
    <row r="50" spans="1:19">
      <c r="A50" s="58" t="s">
        <v>198</v>
      </c>
      <c r="B50" s="59">
        <v>180</v>
      </c>
      <c r="C50" s="60">
        <v>1.1100000000000001</v>
      </c>
      <c r="D50" s="60">
        <v>1.21</v>
      </c>
      <c r="E50" s="61">
        <v>1.1786000000000001</v>
      </c>
      <c r="F50" s="61">
        <v>1.5699999999999999E-2</v>
      </c>
      <c r="G50" s="61">
        <v>1.54E-2</v>
      </c>
      <c r="H50" s="61">
        <v>0.25840000000000002</v>
      </c>
      <c r="I50" s="61">
        <v>0.3377</v>
      </c>
      <c r="J50" s="61">
        <v>7.8899999999999998E-2</v>
      </c>
      <c r="K50" s="61">
        <v>0.20449999999999999</v>
      </c>
      <c r="L50" s="61">
        <v>0.1552</v>
      </c>
      <c r="M50" s="61">
        <v>7.7299999999999994E-2</v>
      </c>
      <c r="N50" s="61">
        <v>0.89119999999999999</v>
      </c>
      <c r="O50" s="61">
        <v>-4.4400000000000002E-2</v>
      </c>
      <c r="P50" s="61">
        <v>9.2999999999999992E-3</v>
      </c>
      <c r="Q50" s="61">
        <v>-7.1499999999999994E-2</v>
      </c>
      <c r="R50" s="60">
        <v>2.1800000000000002</v>
      </c>
      <c r="S50" s="60">
        <v>4.53</v>
      </c>
    </row>
    <row r="51" spans="1:19">
      <c r="A51" s="58" t="s">
        <v>199</v>
      </c>
      <c r="B51" s="59">
        <v>114</v>
      </c>
      <c r="C51" s="60">
        <v>1.22</v>
      </c>
      <c r="D51" s="60">
        <v>1.05</v>
      </c>
      <c r="E51" s="61">
        <v>0.68769999999999998</v>
      </c>
      <c r="F51" s="61">
        <v>0.28520000000000001</v>
      </c>
      <c r="G51" s="61">
        <v>0.22189999999999999</v>
      </c>
      <c r="H51" s="61">
        <v>0.19059999999999999</v>
      </c>
      <c r="I51" s="61">
        <v>0.1527</v>
      </c>
      <c r="J51" s="61">
        <v>0.1961</v>
      </c>
      <c r="K51" s="61">
        <v>0.13689999999999999</v>
      </c>
      <c r="L51" s="61">
        <v>0.10100000000000001</v>
      </c>
      <c r="M51" s="61">
        <v>2.63E-2</v>
      </c>
      <c r="N51" s="61">
        <v>1.1431</v>
      </c>
      <c r="O51" s="61">
        <v>0.1908</v>
      </c>
      <c r="P51" s="61">
        <v>0.14810000000000001</v>
      </c>
      <c r="Q51" s="61">
        <v>0.1386</v>
      </c>
      <c r="R51" s="60">
        <v>1.51</v>
      </c>
      <c r="S51" s="60">
        <v>1.63</v>
      </c>
    </row>
    <row r="52" spans="1:19">
      <c r="A52" s="58" t="s">
        <v>200</v>
      </c>
      <c r="B52" s="59">
        <v>53</v>
      </c>
      <c r="C52" s="60">
        <v>1.37</v>
      </c>
      <c r="D52" s="60">
        <v>0.64</v>
      </c>
      <c r="E52" s="61">
        <v>0.49509999999999998</v>
      </c>
      <c r="F52" s="61">
        <v>1.3871</v>
      </c>
      <c r="G52" s="61">
        <v>0.58109999999999995</v>
      </c>
      <c r="H52" s="61">
        <v>0.1542</v>
      </c>
      <c r="I52" s="61">
        <v>0.1134</v>
      </c>
      <c r="J52" s="61">
        <v>6.54E-2</v>
      </c>
      <c r="K52" s="61">
        <v>0.33839999999999998</v>
      </c>
      <c r="L52" s="61">
        <v>0.30959999999999999</v>
      </c>
      <c r="M52" s="61">
        <v>3.3700000000000001E-2</v>
      </c>
      <c r="N52" s="61">
        <v>2.7823000000000002</v>
      </c>
      <c r="O52" s="61">
        <v>4.2099999999999999E-2</v>
      </c>
      <c r="P52" s="61">
        <v>9.5600000000000004E-2</v>
      </c>
      <c r="Q52" s="61">
        <v>0.76910000000000001</v>
      </c>
      <c r="R52" s="60">
        <v>0.37</v>
      </c>
      <c r="S52" s="60">
        <v>2.96</v>
      </c>
    </row>
    <row r="53" spans="1:19">
      <c r="A53" s="58" t="s">
        <v>201</v>
      </c>
      <c r="B53" s="59">
        <v>139</v>
      </c>
      <c r="C53" s="60">
        <v>0.88</v>
      </c>
      <c r="D53" s="60">
        <v>0.8</v>
      </c>
      <c r="E53" s="61">
        <v>2.3725000000000001</v>
      </c>
      <c r="F53" s="61">
        <v>0.38700000000000001</v>
      </c>
      <c r="G53" s="61">
        <v>0.27900000000000003</v>
      </c>
      <c r="H53" s="61">
        <v>0.21490000000000001</v>
      </c>
      <c r="I53" s="61">
        <v>0.1671</v>
      </c>
      <c r="J53" s="61">
        <v>0.2056</v>
      </c>
      <c r="K53" s="61">
        <v>9.3700000000000006E-2</v>
      </c>
      <c r="L53" s="61">
        <v>6.13E-2</v>
      </c>
      <c r="M53" s="61">
        <v>3.15E-2</v>
      </c>
      <c r="N53" s="61">
        <v>1.0441</v>
      </c>
      <c r="O53" s="61">
        <v>-6.7400000000000002E-2</v>
      </c>
      <c r="P53" s="61">
        <v>2.63E-2</v>
      </c>
      <c r="Q53" s="61">
        <v>3.3E-3</v>
      </c>
      <c r="R53" s="60">
        <v>2.73</v>
      </c>
      <c r="S53" s="60">
        <v>0.62</v>
      </c>
    </row>
    <row r="54" spans="1:19">
      <c r="A54" s="58" t="s">
        <v>202</v>
      </c>
      <c r="B54" s="59">
        <v>231</v>
      </c>
      <c r="C54" s="60">
        <v>1.02</v>
      </c>
      <c r="D54" s="60">
        <v>1.01</v>
      </c>
      <c r="E54" s="61">
        <v>0.85099999999999998</v>
      </c>
      <c r="F54" s="61">
        <v>0.1148</v>
      </c>
      <c r="G54" s="61">
        <v>0.10290000000000001</v>
      </c>
      <c r="H54" s="61">
        <v>0.25330000000000003</v>
      </c>
      <c r="I54" s="61">
        <v>0.22359999999999999</v>
      </c>
      <c r="J54" s="61">
        <v>0.13120000000000001</v>
      </c>
      <c r="K54" s="61">
        <v>0.1207</v>
      </c>
      <c r="L54" s="61">
        <v>9.0200000000000002E-2</v>
      </c>
      <c r="M54" s="61">
        <v>3.7400000000000003E-2</v>
      </c>
      <c r="N54" s="61">
        <v>0.94110000000000005</v>
      </c>
      <c r="O54" s="61">
        <v>6.6299999999999998E-2</v>
      </c>
      <c r="P54" s="61">
        <v>0.16289999999999999</v>
      </c>
      <c r="Q54" s="61">
        <v>2.0000000000000001E-4</v>
      </c>
      <c r="R54" s="60">
        <v>2.48</v>
      </c>
      <c r="S54" s="60">
        <v>1.27</v>
      </c>
    </row>
    <row r="55" spans="1:19">
      <c r="A55" s="58" t="s">
        <v>203</v>
      </c>
      <c r="B55" s="59">
        <v>30</v>
      </c>
      <c r="C55" s="60">
        <v>1.44</v>
      </c>
      <c r="D55" s="60">
        <v>1.44</v>
      </c>
      <c r="E55" s="61">
        <v>0.56859999999999999</v>
      </c>
      <c r="F55" s="61">
        <v>0.18240000000000001</v>
      </c>
      <c r="G55" s="61">
        <v>0.1542</v>
      </c>
      <c r="H55" s="61">
        <v>0.1749</v>
      </c>
      <c r="I55" s="61">
        <v>0.18190000000000001</v>
      </c>
      <c r="J55" s="61">
        <v>0.22509999999999999</v>
      </c>
      <c r="K55" s="61">
        <v>0.16059999999999999</v>
      </c>
      <c r="L55" s="61">
        <v>0.1191</v>
      </c>
      <c r="M55" s="61">
        <v>3.73E-2</v>
      </c>
      <c r="N55" s="61">
        <v>1.8411</v>
      </c>
      <c r="O55" s="61">
        <v>0.16159999999999999</v>
      </c>
      <c r="P55" s="61">
        <v>0.14710000000000001</v>
      </c>
      <c r="Q55" s="61">
        <v>0.26229999999999998</v>
      </c>
      <c r="R55" s="60">
        <v>1.53</v>
      </c>
      <c r="S55" s="60">
        <v>1.48</v>
      </c>
    </row>
    <row r="56" spans="1:19">
      <c r="A56" s="58" t="s">
        <v>204</v>
      </c>
      <c r="B56" s="59">
        <v>69</v>
      </c>
      <c r="C56" s="60">
        <v>1.33</v>
      </c>
      <c r="D56" s="60">
        <v>1.25</v>
      </c>
      <c r="E56" s="61">
        <v>1.1075999999999999</v>
      </c>
      <c r="F56" s="61">
        <v>0.1101</v>
      </c>
      <c r="G56" s="61">
        <v>9.9199999999999997E-2</v>
      </c>
      <c r="H56" s="61">
        <v>0.17169999999999999</v>
      </c>
      <c r="I56" s="61">
        <v>0.18609999999999999</v>
      </c>
      <c r="J56" s="61">
        <v>7.0699999999999999E-2</v>
      </c>
      <c r="K56" s="61">
        <v>0.35670000000000002</v>
      </c>
      <c r="L56" s="61">
        <v>0.2233</v>
      </c>
      <c r="M56" s="61">
        <v>3.9800000000000002E-2</v>
      </c>
      <c r="N56" s="61">
        <v>2.173</v>
      </c>
      <c r="O56" s="61">
        <v>0.1037</v>
      </c>
      <c r="P56" s="61">
        <v>0.26079999999999998</v>
      </c>
      <c r="Q56" s="61">
        <v>0.45019999999999999</v>
      </c>
      <c r="R56" s="60">
        <v>0.83</v>
      </c>
      <c r="S56" s="60">
        <v>4.49</v>
      </c>
    </row>
    <row r="57" spans="1:19">
      <c r="A57" s="58" t="s">
        <v>205</v>
      </c>
      <c r="B57" s="59">
        <v>32</v>
      </c>
      <c r="C57" s="60">
        <v>1.25</v>
      </c>
      <c r="D57" s="60">
        <v>0.99</v>
      </c>
      <c r="E57" s="61">
        <v>0.46429999999999999</v>
      </c>
      <c r="F57" s="61">
        <v>0.3498</v>
      </c>
      <c r="G57" s="61">
        <v>0.2591</v>
      </c>
      <c r="H57" s="61">
        <v>0.105</v>
      </c>
      <c r="I57" s="61">
        <v>0.14080000000000001</v>
      </c>
      <c r="J57" s="61">
        <v>0.1507</v>
      </c>
      <c r="K57" s="61">
        <v>0.42070000000000002</v>
      </c>
      <c r="L57" s="61">
        <v>0.3241</v>
      </c>
      <c r="M57" s="61">
        <v>0.16370000000000001</v>
      </c>
      <c r="N57" s="61">
        <v>2.6238000000000001</v>
      </c>
      <c r="O57" s="61">
        <v>-2.7000000000000001E-3</v>
      </c>
      <c r="P57" s="61">
        <v>0.27810000000000001</v>
      </c>
      <c r="Q57" s="61">
        <v>0.99829999999999997</v>
      </c>
      <c r="R57" s="60">
        <v>0.43</v>
      </c>
      <c r="S57" s="60">
        <v>4</v>
      </c>
    </row>
    <row r="58" spans="1:19">
      <c r="A58" s="58" t="s">
        <v>206</v>
      </c>
      <c r="B58" s="59">
        <v>27</v>
      </c>
      <c r="C58" s="60">
        <v>0.65</v>
      </c>
      <c r="D58" s="60">
        <v>0.45</v>
      </c>
      <c r="E58" s="61">
        <v>0.29389999999999999</v>
      </c>
      <c r="F58" s="61">
        <v>0.62039999999999995</v>
      </c>
      <c r="G58" s="61">
        <v>0.38290000000000002</v>
      </c>
      <c r="H58" s="61">
        <v>0.1182</v>
      </c>
      <c r="I58" s="61">
        <v>0.1138</v>
      </c>
      <c r="J58" s="61">
        <v>0.23930000000000001</v>
      </c>
      <c r="K58" s="61">
        <v>0.16800000000000001</v>
      </c>
      <c r="L58" s="61">
        <v>0.11260000000000001</v>
      </c>
      <c r="M58" s="61">
        <v>2.4899999999999999E-2</v>
      </c>
      <c r="N58" s="61">
        <v>1.6449</v>
      </c>
      <c r="O58" s="61">
        <v>7.0999999999999994E-2</v>
      </c>
      <c r="P58" s="61">
        <v>0.32790000000000002</v>
      </c>
      <c r="Q58" s="61">
        <v>0.29959999999999998</v>
      </c>
      <c r="R58" s="60">
        <v>1.01</v>
      </c>
      <c r="S58" s="60">
        <v>1.48</v>
      </c>
    </row>
    <row r="59" spans="1:19">
      <c r="A59" s="58" t="s">
        <v>207</v>
      </c>
      <c r="B59" s="59">
        <v>13</v>
      </c>
      <c r="C59" s="60">
        <v>1.71</v>
      </c>
      <c r="D59" s="60">
        <v>1.34</v>
      </c>
      <c r="E59" s="61">
        <v>0.64470000000000005</v>
      </c>
      <c r="F59" s="61">
        <v>0.46800000000000003</v>
      </c>
      <c r="G59" s="61">
        <v>0.31879999999999997</v>
      </c>
      <c r="H59" s="61">
        <v>6.7699999999999996E-2</v>
      </c>
      <c r="I59" s="61">
        <v>0.1007</v>
      </c>
      <c r="J59" s="61">
        <v>0.2944</v>
      </c>
      <c r="K59" s="61">
        <v>0.1618</v>
      </c>
      <c r="L59" s="61">
        <v>8.2500000000000004E-2</v>
      </c>
      <c r="M59" s="61">
        <v>2.8199999999999999E-2</v>
      </c>
      <c r="N59" s="61">
        <v>0.43149999999999999</v>
      </c>
      <c r="O59" s="61">
        <v>-1.84E-2</v>
      </c>
      <c r="P59" s="61">
        <v>0.1542</v>
      </c>
      <c r="Q59" s="61">
        <v>-0.59730000000000005</v>
      </c>
      <c r="R59" s="60">
        <v>1.22</v>
      </c>
      <c r="S59" s="60">
        <v>1.53</v>
      </c>
    </row>
    <row r="60" spans="1:19">
      <c r="A60" s="58" t="s">
        <v>208</v>
      </c>
      <c r="B60" s="59">
        <v>24</v>
      </c>
      <c r="C60" s="60">
        <v>1.45</v>
      </c>
      <c r="D60" s="60">
        <v>1.19</v>
      </c>
      <c r="E60" s="61">
        <v>0.57340000000000002</v>
      </c>
      <c r="F60" s="61">
        <v>0.4511</v>
      </c>
      <c r="G60" s="61">
        <v>0.31090000000000001</v>
      </c>
      <c r="H60" s="61">
        <v>0.187</v>
      </c>
      <c r="I60" s="61">
        <v>0.1474</v>
      </c>
      <c r="J60" s="61">
        <v>0.14810000000000001</v>
      </c>
      <c r="K60" s="61">
        <v>8.1100000000000005E-2</v>
      </c>
      <c r="L60" s="61">
        <v>5.7500000000000002E-2</v>
      </c>
      <c r="M60" s="61">
        <v>3.6600000000000001E-2</v>
      </c>
      <c r="N60" s="61">
        <v>0.50660000000000005</v>
      </c>
      <c r="O60" s="61">
        <v>7.2900000000000006E-2</v>
      </c>
      <c r="P60" s="61">
        <v>0.4325</v>
      </c>
      <c r="Q60" s="61">
        <v>-8.3699999999999997E-2</v>
      </c>
      <c r="R60" s="60">
        <v>2.56</v>
      </c>
      <c r="S60" s="60">
        <v>0.76</v>
      </c>
    </row>
    <row r="61" spans="1:19">
      <c r="A61" s="58" t="s">
        <v>209</v>
      </c>
      <c r="B61" s="59">
        <v>12</v>
      </c>
      <c r="C61" s="60">
        <v>0.97</v>
      </c>
      <c r="D61" s="60">
        <v>0.61</v>
      </c>
      <c r="E61" s="61">
        <v>0.54090000000000005</v>
      </c>
      <c r="F61" s="61">
        <v>0.75319999999999998</v>
      </c>
      <c r="G61" s="61">
        <v>0.42959999999999998</v>
      </c>
      <c r="H61" s="61">
        <v>0.14549999999999999</v>
      </c>
      <c r="I61" s="61">
        <v>0.1166</v>
      </c>
      <c r="J61" s="61">
        <v>0.15060000000000001</v>
      </c>
      <c r="K61" s="61">
        <v>0.24790000000000001</v>
      </c>
      <c r="L61" s="61">
        <v>0.20979999999999999</v>
      </c>
      <c r="M61" s="61">
        <v>4.19E-2</v>
      </c>
      <c r="N61" s="61">
        <v>3.0287999999999999</v>
      </c>
      <c r="O61" s="61">
        <v>5.4000000000000003E-3</v>
      </c>
      <c r="P61" s="61">
        <v>0.28289999999999998</v>
      </c>
      <c r="Q61" s="61">
        <v>0.87329999999999997</v>
      </c>
      <c r="R61" s="60">
        <v>0.56000000000000005</v>
      </c>
      <c r="S61" s="60">
        <v>2.73</v>
      </c>
    </row>
    <row r="62" spans="1:19">
      <c r="A62" s="58" t="s">
        <v>210</v>
      </c>
      <c r="B62" s="59">
        <v>95</v>
      </c>
      <c r="C62" s="60">
        <v>1.48</v>
      </c>
      <c r="D62" s="60">
        <v>1.34</v>
      </c>
      <c r="E62" s="61">
        <v>0.53490000000000004</v>
      </c>
      <c r="F62" s="61">
        <v>0.18940000000000001</v>
      </c>
      <c r="G62" s="61">
        <v>0.15920000000000001</v>
      </c>
      <c r="H62" s="61">
        <v>0.1966</v>
      </c>
      <c r="I62" s="61">
        <v>0.19020000000000001</v>
      </c>
      <c r="J62" s="61">
        <v>0.16420000000000001</v>
      </c>
      <c r="K62" s="61">
        <v>0.30580000000000002</v>
      </c>
      <c r="L62" s="61">
        <v>0.23319999999999999</v>
      </c>
      <c r="M62" s="61">
        <v>0.05</v>
      </c>
      <c r="N62" s="61">
        <v>2.0510000000000002</v>
      </c>
      <c r="O62" s="61">
        <v>0.1608</v>
      </c>
      <c r="P62" s="61">
        <v>0.1147</v>
      </c>
      <c r="Q62" s="61">
        <v>0.41470000000000001</v>
      </c>
      <c r="R62" s="60">
        <v>0.82</v>
      </c>
      <c r="S62" s="60">
        <v>2.87</v>
      </c>
    </row>
    <row r="63" spans="1:19">
      <c r="A63" s="58" t="s">
        <v>211</v>
      </c>
      <c r="B63" s="59">
        <v>27</v>
      </c>
      <c r="C63" s="60">
        <v>1.06</v>
      </c>
      <c r="D63" s="60">
        <v>0.85</v>
      </c>
      <c r="E63" s="61">
        <v>0.39810000000000001</v>
      </c>
      <c r="F63" s="61">
        <v>0.44519999999999998</v>
      </c>
      <c r="G63" s="61">
        <v>0.308</v>
      </c>
      <c r="H63" s="61">
        <v>0.2112</v>
      </c>
      <c r="I63" s="61">
        <v>0.17599999999999999</v>
      </c>
      <c r="J63" s="61">
        <v>0.2044</v>
      </c>
      <c r="K63" s="61">
        <v>0.1439</v>
      </c>
      <c r="L63" s="61">
        <v>0.1066</v>
      </c>
      <c r="M63" s="61">
        <v>5.2499999999999998E-2</v>
      </c>
      <c r="N63" s="61">
        <v>0.73299999999999998</v>
      </c>
      <c r="O63" s="61">
        <v>6.54E-2</v>
      </c>
      <c r="P63" s="61">
        <v>0.26479999999999998</v>
      </c>
      <c r="Q63" s="61">
        <v>-7.8399999999999997E-2</v>
      </c>
      <c r="R63" s="60">
        <v>1.65</v>
      </c>
      <c r="S63" s="60">
        <v>1.17</v>
      </c>
    </row>
    <row r="64" spans="1:19">
      <c r="A64" s="58" t="s">
        <v>212</v>
      </c>
      <c r="B64" s="59">
        <v>37</v>
      </c>
      <c r="C64" s="60">
        <v>1.52</v>
      </c>
      <c r="D64" s="60">
        <v>1.01</v>
      </c>
      <c r="E64" s="61">
        <v>0.64980000000000004</v>
      </c>
      <c r="F64" s="61">
        <v>0.71260000000000001</v>
      </c>
      <c r="G64" s="61">
        <v>0.41610000000000003</v>
      </c>
      <c r="H64" s="61">
        <v>-8.0399999999999999E-2</v>
      </c>
      <c r="I64" s="61">
        <v>0.1313</v>
      </c>
      <c r="J64" s="61">
        <v>0.15229999999999999</v>
      </c>
      <c r="K64" s="61">
        <v>0.14910000000000001</v>
      </c>
      <c r="L64" s="61">
        <v>0.1231</v>
      </c>
      <c r="M64" s="61">
        <v>1.04E-2</v>
      </c>
      <c r="N64" s="61">
        <v>0.5796</v>
      </c>
      <c r="O64" s="61">
        <v>0.1353</v>
      </c>
      <c r="P64" s="61" t="s">
        <v>150</v>
      </c>
      <c r="Q64" s="61">
        <v>-0.23960000000000001</v>
      </c>
      <c r="R64" s="60">
        <v>1.07</v>
      </c>
      <c r="S64" s="60">
        <v>1.3</v>
      </c>
    </row>
    <row r="65" spans="1:19">
      <c r="A65" s="58" t="s">
        <v>213</v>
      </c>
      <c r="B65" s="59">
        <v>23</v>
      </c>
      <c r="C65" s="60">
        <v>1.21</v>
      </c>
      <c r="D65" s="60">
        <v>1.1200000000000001</v>
      </c>
      <c r="E65" s="61">
        <v>0.40660000000000002</v>
      </c>
      <c r="F65" s="61">
        <v>0.1837</v>
      </c>
      <c r="G65" s="61">
        <v>0.1552</v>
      </c>
      <c r="H65" s="61">
        <v>0.13159999999999999</v>
      </c>
      <c r="I65" s="61">
        <v>0.1512</v>
      </c>
      <c r="J65" s="61">
        <v>0.27129999999999999</v>
      </c>
      <c r="K65" s="61">
        <v>0.14729999999999999</v>
      </c>
      <c r="L65" s="61">
        <v>8.9099999999999999E-2</v>
      </c>
      <c r="M65" s="61">
        <v>7.0999999999999994E-2</v>
      </c>
      <c r="N65" s="61">
        <v>1.913</v>
      </c>
      <c r="O65" s="61">
        <v>2.01E-2</v>
      </c>
      <c r="P65" s="61">
        <v>0.47899999999999998</v>
      </c>
      <c r="Q65" s="61">
        <v>0.61480000000000001</v>
      </c>
      <c r="R65" s="60">
        <v>1.7</v>
      </c>
      <c r="S65" s="60">
        <v>0.99</v>
      </c>
    </row>
    <row r="66" spans="1:19">
      <c r="A66" s="58" t="s">
        <v>214</v>
      </c>
      <c r="B66" s="59">
        <v>163</v>
      </c>
      <c r="C66" s="60">
        <v>1.36</v>
      </c>
      <c r="D66" s="60">
        <v>1.17</v>
      </c>
      <c r="E66" s="61">
        <v>0.91510000000000002</v>
      </c>
      <c r="F66" s="61">
        <v>0.22470000000000001</v>
      </c>
      <c r="G66" s="61">
        <v>0.1835</v>
      </c>
      <c r="H66" s="61">
        <v>0.1037</v>
      </c>
      <c r="I66" s="61">
        <v>0.22239999999999999</v>
      </c>
      <c r="J66" s="61">
        <v>8.4699999999999998E-2</v>
      </c>
      <c r="K66" s="61">
        <v>0.42959999999999998</v>
      </c>
      <c r="L66" s="61">
        <v>0.32050000000000001</v>
      </c>
      <c r="M66" s="61">
        <v>4.41E-2</v>
      </c>
      <c r="N66" s="61">
        <v>2.2774999999999999</v>
      </c>
      <c r="O66" s="61">
        <v>2.46E-2</v>
      </c>
      <c r="P66" s="61">
        <v>6.4100000000000004E-2</v>
      </c>
      <c r="Q66" s="61">
        <v>0.54969999999999997</v>
      </c>
      <c r="R66" s="60">
        <v>0.69</v>
      </c>
      <c r="S66" s="60">
        <v>2.52</v>
      </c>
    </row>
    <row r="67" spans="1:19">
      <c r="A67" s="58" t="s">
        <v>215</v>
      </c>
      <c r="B67" s="59">
        <v>19</v>
      </c>
      <c r="C67" s="60">
        <v>0.96</v>
      </c>
      <c r="D67" s="60">
        <v>0.87</v>
      </c>
      <c r="E67" s="61">
        <v>0.4133</v>
      </c>
      <c r="F67" s="61">
        <v>0.20380000000000001</v>
      </c>
      <c r="G67" s="61">
        <v>0.16930000000000001</v>
      </c>
      <c r="H67" s="61">
        <v>0.14199999999999999</v>
      </c>
      <c r="I67" s="61">
        <v>0.14080000000000001</v>
      </c>
      <c r="J67" s="61">
        <v>0.25090000000000001</v>
      </c>
      <c r="K67" s="61">
        <v>6.8400000000000002E-2</v>
      </c>
      <c r="L67" s="61">
        <v>4.3200000000000002E-2</v>
      </c>
      <c r="M67" s="61">
        <v>2.58E-2</v>
      </c>
      <c r="N67" s="61">
        <v>1.1879</v>
      </c>
      <c r="O67" s="61">
        <v>4.3900000000000002E-2</v>
      </c>
      <c r="P67" s="61">
        <v>0.1326</v>
      </c>
      <c r="Q67" s="61">
        <v>1.2200000000000001E-2</v>
      </c>
      <c r="R67" s="60">
        <v>3.26</v>
      </c>
      <c r="S67" s="60">
        <v>0.6</v>
      </c>
    </row>
    <row r="68" spans="1:19">
      <c r="A68" s="58" t="s">
        <v>216</v>
      </c>
      <c r="B68" s="59">
        <v>11</v>
      </c>
      <c r="C68" s="60">
        <v>0.85</v>
      </c>
      <c r="D68" s="60">
        <v>0.61</v>
      </c>
      <c r="E68" s="61">
        <v>0.24809999999999999</v>
      </c>
      <c r="F68" s="61">
        <v>0.42180000000000001</v>
      </c>
      <c r="G68" s="61">
        <v>0.29670000000000002</v>
      </c>
      <c r="H68" s="61">
        <v>0.15210000000000001</v>
      </c>
      <c r="I68" s="61">
        <v>0.12520000000000001</v>
      </c>
      <c r="J68" s="61">
        <v>3.0300000000000001E-2</v>
      </c>
      <c r="K68" s="61">
        <v>0.15129999999999999</v>
      </c>
      <c r="L68" s="61">
        <v>0.14779999999999999</v>
      </c>
      <c r="M68" s="61">
        <v>7.4700000000000003E-2</v>
      </c>
      <c r="N68" s="61">
        <v>2.0013999999999998</v>
      </c>
      <c r="O68" s="61">
        <v>1.5699999999999999E-2</v>
      </c>
      <c r="P68" s="61">
        <v>1.2346999999999999</v>
      </c>
      <c r="Q68" s="61">
        <v>0.32679999999999998</v>
      </c>
      <c r="R68" s="60">
        <v>0.85</v>
      </c>
      <c r="S68" s="60">
        <v>2.2999999999999998</v>
      </c>
    </row>
    <row r="69" spans="1:19">
      <c r="A69" s="58" t="s">
        <v>217</v>
      </c>
      <c r="B69" s="59">
        <v>68</v>
      </c>
      <c r="C69" s="60">
        <v>1.34</v>
      </c>
      <c r="D69" s="60">
        <v>0.78</v>
      </c>
      <c r="E69" s="61">
        <v>0.83579999999999999</v>
      </c>
      <c r="F69" s="61">
        <v>0.98860000000000003</v>
      </c>
      <c r="G69" s="61">
        <v>0.49709999999999999</v>
      </c>
      <c r="H69" s="61">
        <v>0.12670000000000001</v>
      </c>
      <c r="I69" s="61">
        <v>0.1183</v>
      </c>
      <c r="J69" s="61">
        <v>7.5800000000000006E-2</v>
      </c>
      <c r="K69" s="61">
        <v>0.22239999999999999</v>
      </c>
      <c r="L69" s="61">
        <v>0.15440000000000001</v>
      </c>
      <c r="M69" s="61">
        <v>1.4999999999999999E-2</v>
      </c>
      <c r="N69" s="61">
        <v>2.6153</v>
      </c>
      <c r="O69" s="61">
        <v>4.1300000000000003E-2</v>
      </c>
      <c r="P69" s="61">
        <v>1.8E-3</v>
      </c>
      <c r="Q69" s="61">
        <v>0.81589999999999996</v>
      </c>
      <c r="R69" s="60">
        <v>0.77</v>
      </c>
      <c r="S69" s="60">
        <v>1.87</v>
      </c>
    </row>
    <row r="70" spans="1:19">
      <c r="A70" s="58" t="s">
        <v>218</v>
      </c>
      <c r="B70" s="59">
        <v>74</v>
      </c>
      <c r="C70" s="60">
        <v>1.18</v>
      </c>
      <c r="D70" s="60">
        <v>1.1499999999999999</v>
      </c>
      <c r="E70" s="61">
        <v>2.0303</v>
      </c>
      <c r="F70" s="61">
        <v>6.7599999999999993E-2</v>
      </c>
      <c r="G70" s="61">
        <v>6.3299999999999995E-2</v>
      </c>
      <c r="H70" s="61">
        <v>5.9700000000000003E-2</v>
      </c>
      <c r="I70" s="61">
        <v>9.8699999999999996E-2</v>
      </c>
      <c r="J70" s="61">
        <v>9.4700000000000006E-2</v>
      </c>
      <c r="K70" s="61">
        <v>0.36570000000000003</v>
      </c>
      <c r="L70" s="61">
        <v>0.25009999999999999</v>
      </c>
      <c r="M70" s="61">
        <v>0.12429999999999999</v>
      </c>
      <c r="N70" s="61">
        <v>2.4379</v>
      </c>
      <c r="O70" s="61">
        <v>5.0799999999999998E-2</v>
      </c>
      <c r="P70" s="61">
        <v>0.15279999999999999</v>
      </c>
      <c r="Q70" s="61">
        <v>0.79310000000000003</v>
      </c>
      <c r="R70" s="60">
        <v>0.39</v>
      </c>
      <c r="S70" s="60">
        <v>7.87</v>
      </c>
    </row>
    <row r="71" spans="1:19">
      <c r="A71" s="58" t="s">
        <v>219</v>
      </c>
      <c r="B71" s="59">
        <v>83</v>
      </c>
      <c r="C71" s="60">
        <v>1.27</v>
      </c>
      <c r="D71" s="60">
        <v>1.31</v>
      </c>
      <c r="E71" s="61">
        <v>0.57489999999999997</v>
      </c>
      <c r="F71" s="61">
        <v>0.112</v>
      </c>
      <c r="G71" s="61">
        <v>0.1007</v>
      </c>
      <c r="H71" s="61">
        <v>0.1148</v>
      </c>
      <c r="I71" s="61">
        <v>0.1547</v>
      </c>
      <c r="J71" s="61">
        <v>0.1202</v>
      </c>
      <c r="K71" s="61">
        <v>0.14990000000000001</v>
      </c>
      <c r="L71" s="61">
        <v>0.1177</v>
      </c>
      <c r="M71" s="61">
        <v>5.7099999999999998E-2</v>
      </c>
      <c r="N71" s="61">
        <v>0.50619999999999998</v>
      </c>
      <c r="O71" s="61">
        <v>0.14080000000000001</v>
      </c>
      <c r="P71" s="61">
        <v>5.5100000000000003E-2</v>
      </c>
      <c r="Q71" s="61">
        <v>-0.1452</v>
      </c>
      <c r="R71" s="60">
        <v>1.31</v>
      </c>
      <c r="S71" s="60">
        <v>2.08</v>
      </c>
    </row>
    <row r="72" spans="1:19">
      <c r="A72" s="58" t="s">
        <v>220</v>
      </c>
      <c r="B72" s="59">
        <v>27</v>
      </c>
      <c r="C72" s="60">
        <v>1.2</v>
      </c>
      <c r="D72" s="60">
        <v>0.57999999999999996</v>
      </c>
      <c r="E72" s="61">
        <v>0.64580000000000004</v>
      </c>
      <c r="F72" s="61">
        <v>1.4403999999999999</v>
      </c>
      <c r="G72" s="61">
        <v>0.59019999999999995</v>
      </c>
      <c r="H72" s="61">
        <v>4.1799999999999997E-2</v>
      </c>
      <c r="I72" s="61">
        <v>7.6300000000000007E-2</v>
      </c>
      <c r="J72" s="61">
        <v>0.15629999999999999</v>
      </c>
      <c r="K72" s="61">
        <v>0.31580000000000003</v>
      </c>
      <c r="L72" s="61">
        <v>0.22070000000000001</v>
      </c>
      <c r="M72" s="61">
        <v>3.6600000000000001E-2</v>
      </c>
      <c r="N72" s="61">
        <v>2.0198999999999998</v>
      </c>
      <c r="O72" s="61">
        <v>-8.2100000000000006E-2</v>
      </c>
      <c r="P72" s="61">
        <v>0.43330000000000002</v>
      </c>
      <c r="Q72" s="61">
        <v>0.4728</v>
      </c>
      <c r="R72" s="60">
        <v>0.35</v>
      </c>
      <c r="S72" s="60">
        <v>3.93</v>
      </c>
    </row>
    <row r="73" spans="1:19">
      <c r="A73" s="58" t="s">
        <v>221</v>
      </c>
      <c r="B73" s="59">
        <v>8</v>
      </c>
      <c r="C73" s="60">
        <v>2.1800000000000002</v>
      </c>
      <c r="D73" s="60">
        <v>1.2</v>
      </c>
      <c r="E73" s="61">
        <v>0.72589999999999999</v>
      </c>
      <c r="F73" s="61">
        <v>1.0442</v>
      </c>
      <c r="G73" s="61">
        <v>0.51080000000000003</v>
      </c>
      <c r="H73" s="61">
        <v>-9.4899999999999998E-2</v>
      </c>
      <c r="I73" s="61">
        <v>-0.10390000000000001</v>
      </c>
      <c r="J73" s="61">
        <v>4.3E-3</v>
      </c>
      <c r="K73" s="61">
        <v>-0.84440000000000004</v>
      </c>
      <c r="L73" s="61">
        <v>-0.83379999999999999</v>
      </c>
      <c r="M73" s="61">
        <v>0.18099999999999999</v>
      </c>
      <c r="N73" s="61">
        <v>0.54969999999999997</v>
      </c>
      <c r="O73" s="61">
        <v>0.2601</v>
      </c>
      <c r="P73" s="61" t="s">
        <v>150</v>
      </c>
      <c r="Q73" s="61" t="s">
        <v>150</v>
      </c>
      <c r="R73" s="60">
        <v>0.12</v>
      </c>
      <c r="S73" s="60">
        <v>8.6199999999999992</v>
      </c>
    </row>
    <row r="74" spans="1:19">
      <c r="A74" s="58" t="s">
        <v>222</v>
      </c>
      <c r="B74" s="59">
        <v>23</v>
      </c>
      <c r="C74" s="60">
        <v>1.3</v>
      </c>
      <c r="D74" s="60">
        <v>0.96</v>
      </c>
      <c r="E74" s="61">
        <v>0.51060000000000005</v>
      </c>
      <c r="F74" s="61">
        <v>0.57879999999999998</v>
      </c>
      <c r="G74" s="61">
        <v>0.36659999999999998</v>
      </c>
      <c r="H74" s="61">
        <v>1.3360000000000001</v>
      </c>
      <c r="I74" s="61">
        <v>0.23</v>
      </c>
      <c r="J74" s="61">
        <v>0.25440000000000002</v>
      </c>
      <c r="K74" s="61">
        <v>0.18840000000000001</v>
      </c>
      <c r="L74" s="61">
        <v>0.12720000000000001</v>
      </c>
      <c r="M74" s="61">
        <v>3.4700000000000002E-2</v>
      </c>
      <c r="N74" s="61">
        <v>0.74839999999999995</v>
      </c>
      <c r="O74" s="61">
        <v>3.1099999999999999E-2</v>
      </c>
      <c r="P74" s="61">
        <v>0.1479</v>
      </c>
      <c r="Q74" s="61">
        <v>-0.12509999999999999</v>
      </c>
      <c r="R74" s="60">
        <v>1.81</v>
      </c>
      <c r="S74" s="60">
        <v>1.29</v>
      </c>
    </row>
    <row r="75" spans="1:19">
      <c r="A75" s="58" t="s">
        <v>223</v>
      </c>
      <c r="B75" s="59">
        <v>6</v>
      </c>
      <c r="C75" s="60">
        <v>1.29</v>
      </c>
      <c r="D75" s="60">
        <v>1.07</v>
      </c>
      <c r="E75" s="61">
        <v>0.4153</v>
      </c>
      <c r="F75" s="61">
        <v>0.30859999999999999</v>
      </c>
      <c r="G75" s="61">
        <v>0.23580000000000001</v>
      </c>
      <c r="H75" s="61">
        <v>0.1149</v>
      </c>
      <c r="I75" s="61">
        <v>0.1646</v>
      </c>
      <c r="J75" s="61">
        <v>0.1021</v>
      </c>
      <c r="K75" s="61">
        <v>1.5133000000000001</v>
      </c>
      <c r="L75" s="61">
        <v>1.3872</v>
      </c>
      <c r="M75" s="61">
        <v>0.68469999999999998</v>
      </c>
      <c r="N75" s="61">
        <v>0.5202</v>
      </c>
      <c r="O75" s="61">
        <v>-1.9199999999999998E-2</v>
      </c>
      <c r="P75" s="61">
        <v>0.15429999999999999</v>
      </c>
      <c r="Q75" s="61">
        <v>-7.7700000000000005E-2</v>
      </c>
      <c r="R75" s="60">
        <v>0.12</v>
      </c>
      <c r="S75" s="60">
        <v>15.89</v>
      </c>
    </row>
    <row r="76" spans="1:19">
      <c r="A76" s="58" t="s">
        <v>224</v>
      </c>
      <c r="B76" s="59">
        <v>14</v>
      </c>
      <c r="C76" s="60">
        <v>1.28</v>
      </c>
      <c r="D76" s="60">
        <v>1.1000000000000001</v>
      </c>
      <c r="E76" s="61">
        <v>0.37609999999999999</v>
      </c>
      <c r="F76" s="61">
        <v>0.27189999999999998</v>
      </c>
      <c r="G76" s="61">
        <v>0.21379999999999999</v>
      </c>
      <c r="H76" s="61">
        <v>0.13969999999999999</v>
      </c>
      <c r="I76" s="61">
        <v>0.1295</v>
      </c>
      <c r="J76" s="61">
        <v>0.26019999999999999</v>
      </c>
      <c r="K76" s="61">
        <v>0.37259999999999999</v>
      </c>
      <c r="L76" s="61">
        <v>0.247</v>
      </c>
      <c r="M76" s="61">
        <v>8.6800000000000002E-2</v>
      </c>
      <c r="N76" s="61">
        <v>1.8161</v>
      </c>
      <c r="O76" s="61">
        <v>-1.7600000000000001E-2</v>
      </c>
      <c r="P76" s="61">
        <v>0.17</v>
      </c>
      <c r="Q76" s="61">
        <v>0.32150000000000001</v>
      </c>
      <c r="R76" s="60">
        <v>0.52</v>
      </c>
      <c r="S76" s="60">
        <v>3.84</v>
      </c>
    </row>
    <row r="77" spans="1:19">
      <c r="A77" s="58" t="s">
        <v>225</v>
      </c>
      <c r="B77" s="59">
        <v>52</v>
      </c>
      <c r="C77" s="60">
        <v>1.5</v>
      </c>
      <c r="D77" s="60">
        <v>1.21</v>
      </c>
      <c r="E77" s="61">
        <v>1.294</v>
      </c>
      <c r="F77" s="61">
        <v>0.37209999999999999</v>
      </c>
      <c r="G77" s="61">
        <v>0.2712</v>
      </c>
      <c r="H77" s="61">
        <v>0.1027</v>
      </c>
      <c r="I77" s="61">
        <v>0.1144</v>
      </c>
      <c r="J77" s="61">
        <v>0.17230000000000001</v>
      </c>
      <c r="K77" s="61">
        <v>0.18709999999999999</v>
      </c>
      <c r="L77" s="61">
        <v>0.14099999999999999</v>
      </c>
      <c r="M77" s="61">
        <v>3.85E-2</v>
      </c>
      <c r="N77" s="61">
        <v>1.9829000000000001</v>
      </c>
      <c r="O77" s="61">
        <v>8.8000000000000005E-3</v>
      </c>
      <c r="P77" s="61">
        <v>0.1575</v>
      </c>
      <c r="Q77" s="61">
        <v>0.45400000000000001</v>
      </c>
      <c r="R77" s="60">
        <v>0.81</v>
      </c>
      <c r="S77" s="60">
        <v>2.09</v>
      </c>
    </row>
    <row r="78" spans="1:19">
      <c r="A78" s="58" t="s">
        <v>226</v>
      </c>
      <c r="B78" s="59">
        <v>8</v>
      </c>
      <c r="C78" s="60">
        <v>0.98</v>
      </c>
      <c r="D78" s="60">
        <v>1.0900000000000001</v>
      </c>
      <c r="E78" s="61">
        <v>0.28789999999999999</v>
      </c>
      <c r="F78" s="61">
        <v>0.1527</v>
      </c>
      <c r="G78" s="61">
        <v>0.13250000000000001</v>
      </c>
      <c r="H78" s="61">
        <v>0.15970000000000001</v>
      </c>
      <c r="I78" s="61" t="s">
        <v>150</v>
      </c>
      <c r="J78" s="61">
        <v>0.15179999999999999</v>
      </c>
      <c r="K78" s="61" t="s">
        <v>150</v>
      </c>
      <c r="L78" s="61" t="s">
        <v>150</v>
      </c>
      <c r="M78" s="61" t="s">
        <v>150</v>
      </c>
      <c r="N78" s="61" t="s">
        <v>150</v>
      </c>
      <c r="O78" s="61" t="s">
        <v>150</v>
      </c>
      <c r="P78" s="61">
        <v>0.12239999999999999</v>
      </c>
      <c r="Q78" s="61">
        <v>9.74E-2</v>
      </c>
      <c r="R78" s="60" t="s">
        <v>150</v>
      </c>
      <c r="S78" s="60" t="s">
        <v>150</v>
      </c>
    </row>
    <row r="79" spans="1:19">
      <c r="A79" s="58" t="s">
        <v>227</v>
      </c>
      <c r="B79" s="59">
        <v>60</v>
      </c>
      <c r="C79" s="60">
        <v>1.33</v>
      </c>
      <c r="D79" s="60">
        <v>1.21</v>
      </c>
      <c r="E79" s="61">
        <v>0.58930000000000005</v>
      </c>
      <c r="F79" s="61">
        <v>0.16089999999999999</v>
      </c>
      <c r="G79" s="61">
        <v>0.1386</v>
      </c>
      <c r="H79" s="61">
        <v>0.32540000000000002</v>
      </c>
      <c r="I79" s="61">
        <v>0.23319999999999999</v>
      </c>
      <c r="J79" s="61">
        <v>0.2208</v>
      </c>
      <c r="K79" s="61">
        <v>0.19040000000000001</v>
      </c>
      <c r="L79" s="61">
        <v>0.13450000000000001</v>
      </c>
      <c r="M79" s="61">
        <v>5.1200000000000002E-2</v>
      </c>
      <c r="N79" s="61">
        <v>1.3971</v>
      </c>
      <c r="O79" s="61">
        <v>-4.7899999999999998E-2</v>
      </c>
      <c r="P79" s="61">
        <v>0.25580000000000003</v>
      </c>
      <c r="Q79" s="61">
        <v>0.14019999999999999</v>
      </c>
      <c r="R79" s="60">
        <v>1.73</v>
      </c>
      <c r="S79" s="60">
        <v>2.25</v>
      </c>
    </row>
    <row r="80" spans="1:19">
      <c r="A80" s="58" t="s">
        <v>228</v>
      </c>
      <c r="B80" s="59">
        <v>143</v>
      </c>
      <c r="C80" s="60">
        <v>1.54</v>
      </c>
      <c r="D80" s="60">
        <v>1.48</v>
      </c>
      <c r="E80" s="61">
        <v>0.81920000000000004</v>
      </c>
      <c r="F80" s="61">
        <v>0.17169999999999999</v>
      </c>
      <c r="G80" s="61">
        <v>0.14649999999999999</v>
      </c>
      <c r="H80" s="61">
        <v>0.1641</v>
      </c>
      <c r="I80" s="61">
        <v>0.2014</v>
      </c>
      <c r="J80" s="61">
        <v>0.19639999999999999</v>
      </c>
      <c r="K80" s="61">
        <v>9.6799999999999997E-2</v>
      </c>
      <c r="L80" s="61">
        <v>5.8599999999999999E-2</v>
      </c>
      <c r="M80" s="61">
        <v>2.0500000000000001E-2</v>
      </c>
      <c r="N80" s="61">
        <v>1.6652</v>
      </c>
      <c r="O80" s="61">
        <v>6.3399999999999998E-2</v>
      </c>
      <c r="P80" s="61">
        <v>0.15160000000000001</v>
      </c>
      <c r="Q80" s="61">
        <v>0.41810000000000003</v>
      </c>
      <c r="R80" s="60">
        <v>3.44</v>
      </c>
      <c r="S80" s="60">
        <v>0.86</v>
      </c>
    </row>
    <row r="81" spans="1:19">
      <c r="A81" s="58" t="s">
        <v>229</v>
      </c>
      <c r="B81" s="59">
        <v>15</v>
      </c>
      <c r="C81" s="60">
        <v>1.44</v>
      </c>
      <c r="D81" s="60">
        <v>1.25</v>
      </c>
      <c r="E81" s="61">
        <v>0.48259999999999997</v>
      </c>
      <c r="F81" s="61">
        <v>0.2752</v>
      </c>
      <c r="G81" s="61">
        <v>0.21579999999999999</v>
      </c>
      <c r="H81" s="61">
        <v>0.17910000000000001</v>
      </c>
      <c r="I81" s="61">
        <v>0.13109999999999999</v>
      </c>
      <c r="J81" s="61">
        <v>0.32050000000000001</v>
      </c>
      <c r="K81" s="61">
        <v>7.8700000000000006E-2</v>
      </c>
      <c r="L81" s="61">
        <v>5.0700000000000002E-2</v>
      </c>
      <c r="M81" s="61">
        <v>3.9899999999999998E-2</v>
      </c>
      <c r="N81" s="61">
        <v>1.3416999999999999</v>
      </c>
      <c r="O81" s="61">
        <v>0.13200000000000001</v>
      </c>
      <c r="P81" s="61">
        <v>4.3200000000000002E-2</v>
      </c>
      <c r="Q81" s="61">
        <v>1.3458000000000001</v>
      </c>
      <c r="R81" s="60">
        <v>2.58</v>
      </c>
      <c r="S81" s="60">
        <v>0.89</v>
      </c>
    </row>
    <row r="82" spans="1:19">
      <c r="A82" s="58" t="s">
        <v>230</v>
      </c>
      <c r="B82" s="59">
        <v>8</v>
      </c>
      <c r="C82" s="60">
        <v>0.92</v>
      </c>
      <c r="D82" s="60">
        <v>0.85</v>
      </c>
      <c r="E82" s="61">
        <v>0.36349999999999999</v>
      </c>
      <c r="F82" s="61">
        <v>0.1361</v>
      </c>
      <c r="G82" s="61">
        <v>0.1198</v>
      </c>
      <c r="H82" s="61">
        <v>0.1331</v>
      </c>
      <c r="I82" s="61">
        <v>0.15060000000000001</v>
      </c>
      <c r="J82" s="61">
        <v>0.2631</v>
      </c>
      <c r="K82" s="61">
        <v>0.1002</v>
      </c>
      <c r="L82" s="61">
        <v>6.4899999999999999E-2</v>
      </c>
      <c r="M82" s="61">
        <v>4.7100000000000003E-2</v>
      </c>
      <c r="N82" s="61">
        <v>0.82469999999999999</v>
      </c>
      <c r="O82" s="61">
        <v>5.3999999999999999E-2</v>
      </c>
      <c r="P82" s="61">
        <v>0.4894</v>
      </c>
      <c r="Q82" s="61">
        <v>-2.3099999999999999E-2</v>
      </c>
      <c r="R82" s="60">
        <v>2.3199999999999998</v>
      </c>
      <c r="S82" s="60">
        <v>1.01</v>
      </c>
    </row>
    <row r="83" spans="1:19">
      <c r="A83" s="58" t="s">
        <v>231</v>
      </c>
      <c r="B83" s="59">
        <v>38</v>
      </c>
      <c r="C83" s="60">
        <v>1.33</v>
      </c>
      <c r="D83" s="60">
        <v>1.19</v>
      </c>
      <c r="E83" s="61">
        <v>0.54910000000000003</v>
      </c>
      <c r="F83" s="61">
        <v>0.25219999999999998</v>
      </c>
      <c r="G83" s="61">
        <v>0.2014</v>
      </c>
      <c r="H83" s="61">
        <v>0.18720000000000001</v>
      </c>
      <c r="I83" s="61">
        <v>0.15820000000000001</v>
      </c>
      <c r="J83" s="61">
        <v>0.2596</v>
      </c>
      <c r="K83" s="61">
        <v>6.7599999999999993E-2</v>
      </c>
      <c r="L83" s="61">
        <v>4.41E-2</v>
      </c>
      <c r="M83" s="61">
        <v>1.6299999999999999E-2</v>
      </c>
      <c r="N83" s="61">
        <v>1.3954</v>
      </c>
      <c r="O83" s="61">
        <v>1.1599999999999999E-2</v>
      </c>
      <c r="P83" s="61">
        <v>0.1447</v>
      </c>
      <c r="Q83" s="61">
        <v>0.1903</v>
      </c>
      <c r="R83" s="60">
        <v>3.59</v>
      </c>
      <c r="S83" s="60">
        <v>0.59</v>
      </c>
    </row>
    <row r="84" spans="1:19">
      <c r="A84" s="58" t="s">
        <v>232</v>
      </c>
      <c r="B84" s="59">
        <v>29</v>
      </c>
      <c r="C84" s="60">
        <v>0.74</v>
      </c>
      <c r="D84" s="60">
        <v>0.63</v>
      </c>
      <c r="E84" s="61">
        <v>0.38500000000000001</v>
      </c>
      <c r="F84" s="61">
        <v>0.42099999999999999</v>
      </c>
      <c r="G84" s="61">
        <v>0.29630000000000001</v>
      </c>
      <c r="H84" s="61">
        <v>0.17530000000000001</v>
      </c>
      <c r="I84" s="61">
        <v>0.1696</v>
      </c>
      <c r="J84" s="61">
        <v>0.34499999999999997</v>
      </c>
      <c r="K84" s="61">
        <v>5.4399999999999997E-2</v>
      </c>
      <c r="L84" s="61">
        <v>3.6299999999999999E-2</v>
      </c>
      <c r="M84" s="61">
        <v>1.7299999999999999E-2</v>
      </c>
      <c r="N84" s="61">
        <v>1.2386999999999999</v>
      </c>
      <c r="O84" s="61">
        <v>3.7000000000000002E-3</v>
      </c>
      <c r="P84" s="61">
        <v>0.24160000000000001</v>
      </c>
      <c r="Q84" s="61">
        <v>0.14380000000000001</v>
      </c>
      <c r="R84" s="60">
        <v>4.68</v>
      </c>
      <c r="S84" s="60">
        <v>0.37</v>
      </c>
    </row>
    <row r="85" spans="1:19">
      <c r="A85" s="58" t="s">
        <v>233</v>
      </c>
      <c r="B85" s="59">
        <v>25</v>
      </c>
      <c r="C85" s="60">
        <v>1.25</v>
      </c>
      <c r="D85" s="60">
        <v>0.75</v>
      </c>
      <c r="E85" s="61">
        <v>0.5393</v>
      </c>
      <c r="F85" s="61">
        <v>1.4983</v>
      </c>
      <c r="G85" s="61">
        <v>0.59970000000000001</v>
      </c>
      <c r="H85" s="61" t="s">
        <v>150</v>
      </c>
      <c r="I85" s="61">
        <v>0.1087</v>
      </c>
      <c r="J85" s="61">
        <v>0.26950000000000002</v>
      </c>
      <c r="K85" s="61">
        <v>0.27289999999999998</v>
      </c>
      <c r="L85" s="61">
        <v>0.1956</v>
      </c>
      <c r="M85" s="61">
        <v>8.2900000000000001E-2</v>
      </c>
      <c r="N85" s="61">
        <v>1.4113</v>
      </c>
      <c r="O85" s="61">
        <v>1.48</v>
      </c>
      <c r="P85" s="61">
        <v>0.10440000000000001</v>
      </c>
      <c r="Q85" s="61">
        <v>-1.0592999999999999</v>
      </c>
      <c r="R85" s="60">
        <v>0.56000000000000005</v>
      </c>
      <c r="S85" s="60">
        <v>2.58</v>
      </c>
    </row>
    <row r="86" spans="1:19">
      <c r="A86" s="58" t="s">
        <v>234</v>
      </c>
      <c r="B86" s="59">
        <v>115</v>
      </c>
      <c r="C86" s="60">
        <v>1.56</v>
      </c>
      <c r="D86" s="60">
        <v>1.68</v>
      </c>
      <c r="E86" s="61">
        <v>0.64970000000000006</v>
      </c>
      <c r="F86" s="61">
        <v>6.2399999999999997E-2</v>
      </c>
      <c r="G86" s="61">
        <v>5.8700000000000002E-2</v>
      </c>
      <c r="H86" s="61">
        <v>0.11219999999999999</v>
      </c>
      <c r="I86" s="61">
        <v>0.23319999999999999</v>
      </c>
      <c r="J86" s="61">
        <v>7.9299999999999995E-2</v>
      </c>
      <c r="K86" s="61">
        <v>0.26929999999999998</v>
      </c>
      <c r="L86" s="61">
        <v>0.1835</v>
      </c>
      <c r="M86" s="61">
        <v>0.1057</v>
      </c>
      <c r="N86" s="61">
        <v>0.79020000000000001</v>
      </c>
      <c r="O86" s="61">
        <v>7.3400000000000007E-2</v>
      </c>
      <c r="P86" s="61">
        <v>0.50749999999999995</v>
      </c>
      <c r="Q86" s="61">
        <v>-9.9099999999999994E-2</v>
      </c>
      <c r="R86" s="60">
        <v>1.27</v>
      </c>
      <c r="S86" s="60">
        <v>3.18</v>
      </c>
    </row>
    <row r="87" spans="1:19">
      <c r="A87" s="58" t="s">
        <v>235</v>
      </c>
      <c r="B87" s="59">
        <v>14</v>
      </c>
      <c r="C87" s="60">
        <v>1.79</v>
      </c>
      <c r="D87" s="60">
        <v>1.97</v>
      </c>
      <c r="E87" s="61">
        <v>0.60309999999999997</v>
      </c>
      <c r="F87" s="61">
        <v>5.8400000000000001E-2</v>
      </c>
      <c r="G87" s="61">
        <v>5.5199999999999999E-2</v>
      </c>
      <c r="H87" s="61">
        <v>-3.2500000000000001E-2</v>
      </c>
      <c r="I87" s="61">
        <v>8.6400000000000005E-2</v>
      </c>
      <c r="J87" s="61">
        <v>5.7200000000000001E-2</v>
      </c>
      <c r="K87" s="61">
        <v>8.5199999999999998E-2</v>
      </c>
      <c r="L87" s="61">
        <v>7.1800000000000003E-2</v>
      </c>
      <c r="M87" s="61">
        <v>0.22969999999999999</v>
      </c>
      <c r="N87" s="61">
        <v>0.58640000000000003</v>
      </c>
      <c r="O87" s="61">
        <v>0.2374</v>
      </c>
      <c r="P87" s="61" t="s">
        <v>150</v>
      </c>
      <c r="Q87" s="61">
        <v>2.254</v>
      </c>
      <c r="R87" s="60">
        <v>1.2</v>
      </c>
      <c r="S87" s="60">
        <v>2.76</v>
      </c>
    </row>
    <row r="88" spans="1:19">
      <c r="A88" s="58" t="s">
        <v>236</v>
      </c>
      <c r="B88" s="59">
        <v>18</v>
      </c>
      <c r="C88" s="60">
        <v>1.31</v>
      </c>
      <c r="D88" s="60">
        <v>1.48</v>
      </c>
      <c r="E88" s="61">
        <v>0.49540000000000001</v>
      </c>
      <c r="F88" s="61">
        <v>1.7100000000000001E-2</v>
      </c>
      <c r="G88" s="61">
        <v>1.6799999999999999E-2</v>
      </c>
      <c r="H88" s="61">
        <v>0.28129999999999999</v>
      </c>
      <c r="I88" s="61">
        <v>0.30790000000000001</v>
      </c>
      <c r="J88" s="61">
        <v>0.24510000000000001</v>
      </c>
      <c r="K88" s="61">
        <v>0.1186</v>
      </c>
      <c r="L88" s="61">
        <v>8.6599999999999996E-2</v>
      </c>
      <c r="M88" s="61">
        <v>8.9499999999999996E-2</v>
      </c>
      <c r="N88" s="61">
        <v>0.94989999999999997</v>
      </c>
      <c r="O88" s="61">
        <v>0.1444</v>
      </c>
      <c r="P88" s="61">
        <v>0.28050000000000003</v>
      </c>
      <c r="Q88" s="61">
        <v>0.10680000000000001</v>
      </c>
      <c r="R88" s="60">
        <v>3.56</v>
      </c>
      <c r="S88" s="60">
        <v>1.58</v>
      </c>
    </row>
    <row r="89" spans="1:19">
      <c r="A89" s="58" t="s">
        <v>237</v>
      </c>
      <c r="B89" s="59">
        <v>19</v>
      </c>
      <c r="C89" s="60">
        <v>1.59</v>
      </c>
      <c r="D89" s="60">
        <v>1.43</v>
      </c>
      <c r="E89" s="61">
        <v>0.4919</v>
      </c>
      <c r="F89" s="61">
        <v>0.23469999999999999</v>
      </c>
      <c r="G89" s="61">
        <v>0.19009999999999999</v>
      </c>
      <c r="H89" s="61">
        <v>-2.9499999999999998E-2</v>
      </c>
      <c r="I89" s="61">
        <v>4.7500000000000001E-2</v>
      </c>
      <c r="J89" s="61">
        <v>0.1288</v>
      </c>
      <c r="K89" s="61">
        <v>3.8699999999999998E-2</v>
      </c>
      <c r="L89" s="61">
        <v>3.0099999999999998E-2</v>
      </c>
      <c r="M89" s="61">
        <v>3.5799999999999998E-2</v>
      </c>
      <c r="N89" s="61">
        <v>0.94579999999999997</v>
      </c>
      <c r="O89" s="61">
        <v>0.16619999999999999</v>
      </c>
      <c r="P89" s="61" t="s">
        <v>150</v>
      </c>
      <c r="Q89" s="61">
        <v>1.2134</v>
      </c>
      <c r="R89" s="60">
        <v>1.58</v>
      </c>
      <c r="S89" s="60">
        <v>1.2</v>
      </c>
    </row>
    <row r="90" spans="1:19">
      <c r="A90" s="58" t="s">
        <v>238</v>
      </c>
      <c r="B90" s="59">
        <v>13</v>
      </c>
      <c r="C90" s="60">
        <v>1.72</v>
      </c>
      <c r="D90" s="60">
        <v>1.43</v>
      </c>
      <c r="E90" s="61">
        <v>0.52259999999999995</v>
      </c>
      <c r="F90" s="61">
        <v>0.36840000000000001</v>
      </c>
      <c r="G90" s="61">
        <v>0.26919999999999999</v>
      </c>
      <c r="H90" s="61">
        <v>0.1211</v>
      </c>
      <c r="I90" s="61">
        <v>0.1467</v>
      </c>
      <c r="J90" s="61">
        <v>0.1643</v>
      </c>
      <c r="K90" s="61">
        <v>0.19139999999999999</v>
      </c>
      <c r="L90" s="61">
        <v>0.15049999999999999</v>
      </c>
      <c r="M90" s="61">
        <v>2.1100000000000001E-2</v>
      </c>
      <c r="N90" s="61">
        <v>0.99690000000000001</v>
      </c>
      <c r="O90" s="61">
        <v>0.21560000000000001</v>
      </c>
      <c r="P90" s="61">
        <v>8.7099999999999997E-2</v>
      </c>
      <c r="Q90" s="61">
        <v>2.8000000000000001E-2</v>
      </c>
      <c r="R90" s="60">
        <v>0.97</v>
      </c>
      <c r="S90" s="60">
        <v>1.28</v>
      </c>
    </row>
    <row r="91" spans="1:19">
      <c r="A91" s="58" t="s">
        <v>239</v>
      </c>
      <c r="B91" s="59">
        <v>104</v>
      </c>
      <c r="C91" s="60">
        <v>1.04</v>
      </c>
      <c r="D91" s="60">
        <v>1.22</v>
      </c>
      <c r="E91" s="61">
        <v>0.9456</v>
      </c>
      <c r="F91" s="61">
        <v>0.1071</v>
      </c>
      <c r="G91" s="61">
        <v>9.6799999999999997E-2</v>
      </c>
      <c r="H91" s="61">
        <v>0.17280000000000001</v>
      </c>
      <c r="I91" s="61">
        <v>0.2321</v>
      </c>
      <c r="J91" s="61">
        <v>0.1242</v>
      </c>
      <c r="K91" s="61">
        <v>0.1444</v>
      </c>
      <c r="L91" s="61">
        <v>9.0999999999999998E-2</v>
      </c>
      <c r="M91" s="61">
        <v>4.3400000000000001E-2</v>
      </c>
      <c r="N91" s="61">
        <v>0.58130000000000004</v>
      </c>
      <c r="O91" s="61">
        <v>6.6E-3</v>
      </c>
      <c r="P91" s="61">
        <v>0.2399</v>
      </c>
      <c r="Q91" s="61">
        <v>-0.2024</v>
      </c>
      <c r="R91" s="60">
        <v>2.5499999999999998</v>
      </c>
      <c r="S91" s="60">
        <v>1.54</v>
      </c>
    </row>
    <row r="92" spans="1:19">
      <c r="A92" s="58" t="s">
        <v>240</v>
      </c>
      <c r="B92" s="59">
        <v>85</v>
      </c>
      <c r="C92" s="60">
        <v>1.01</v>
      </c>
      <c r="D92" s="60">
        <v>0.84</v>
      </c>
      <c r="E92" s="61">
        <v>0.77039999999999997</v>
      </c>
      <c r="F92" s="61">
        <v>0.34060000000000001</v>
      </c>
      <c r="G92" s="61">
        <v>0.25409999999999999</v>
      </c>
      <c r="H92" s="61">
        <v>0.16300000000000001</v>
      </c>
      <c r="I92" s="61">
        <v>0.22889999999999999</v>
      </c>
      <c r="J92" s="61">
        <v>0.14269999999999999</v>
      </c>
      <c r="K92" s="61">
        <v>0.38850000000000001</v>
      </c>
      <c r="L92" s="61">
        <v>0.28639999999999999</v>
      </c>
      <c r="M92" s="61">
        <v>4.8500000000000001E-2</v>
      </c>
      <c r="N92" s="61">
        <v>0.92420000000000002</v>
      </c>
      <c r="O92" s="61">
        <v>-0.11119999999999999</v>
      </c>
      <c r="P92" s="61">
        <v>0.39679999999999999</v>
      </c>
      <c r="Q92" s="61">
        <v>-5.1400000000000001E-2</v>
      </c>
      <c r="R92" s="60">
        <v>0.8</v>
      </c>
      <c r="S92" s="60">
        <v>2.04</v>
      </c>
    </row>
    <row r="93" spans="1:19">
      <c r="A93" s="58" t="s">
        <v>241</v>
      </c>
      <c r="B93" s="59">
        <v>28</v>
      </c>
      <c r="C93" s="60">
        <v>1.03</v>
      </c>
      <c r="D93" s="60">
        <v>0.66</v>
      </c>
      <c r="E93" s="61">
        <v>1.1531</v>
      </c>
      <c r="F93" s="61">
        <v>0.84060000000000001</v>
      </c>
      <c r="G93" s="61">
        <v>0.45669999999999999</v>
      </c>
      <c r="H93" s="61">
        <v>0.20430000000000001</v>
      </c>
      <c r="I93" s="61">
        <v>0.22720000000000001</v>
      </c>
      <c r="J93" s="61">
        <v>0.24229999999999999</v>
      </c>
      <c r="K93" s="61">
        <v>0.38829999999999998</v>
      </c>
      <c r="L93" s="61">
        <v>0.26669999999999999</v>
      </c>
      <c r="M93" s="61">
        <v>3.7699999999999997E-2</v>
      </c>
      <c r="N93" s="61">
        <v>0.75939999999999996</v>
      </c>
      <c r="O93" s="61">
        <v>-3.7699999999999997E-2</v>
      </c>
      <c r="P93" s="61">
        <v>0.43459999999999999</v>
      </c>
      <c r="Q93" s="61">
        <v>-0.14929999999999999</v>
      </c>
      <c r="R93" s="60">
        <v>0.85</v>
      </c>
      <c r="S93" s="60">
        <v>1.75</v>
      </c>
    </row>
    <row r="94" spans="1:19">
      <c r="A94" s="58" t="s">
        <v>242</v>
      </c>
      <c r="B94" s="59">
        <v>181</v>
      </c>
      <c r="C94" s="60">
        <v>0.7</v>
      </c>
      <c r="D94" s="60">
        <v>0.74</v>
      </c>
      <c r="E94" s="61">
        <v>0.57299999999999995</v>
      </c>
      <c r="F94" s="61">
        <v>7.8100000000000003E-2</v>
      </c>
      <c r="G94" s="61">
        <v>7.2499999999999995E-2</v>
      </c>
      <c r="H94" s="61">
        <v>-3.1800000000000002E-2</v>
      </c>
      <c r="I94" s="61" t="s">
        <v>150</v>
      </c>
      <c r="J94" s="61">
        <v>0.1444</v>
      </c>
      <c r="K94" s="61" t="s">
        <v>150</v>
      </c>
      <c r="L94" s="61" t="s">
        <v>150</v>
      </c>
      <c r="M94" s="61" t="s">
        <v>150</v>
      </c>
      <c r="N94" s="61" t="s">
        <v>150</v>
      </c>
      <c r="O94" s="61" t="s">
        <v>150</v>
      </c>
      <c r="P94" s="61" t="s">
        <v>150</v>
      </c>
      <c r="Q94" s="61">
        <v>0</v>
      </c>
      <c r="R94" s="60" t="s">
        <v>150</v>
      </c>
      <c r="S94" s="60" t="s">
        <v>150</v>
      </c>
    </row>
    <row r="95" spans="1:19">
      <c r="A95" s="58" t="s">
        <v>243</v>
      </c>
      <c r="B95" s="59">
        <v>13</v>
      </c>
      <c r="C95" s="60">
        <v>0.73</v>
      </c>
      <c r="D95" s="60">
        <v>0.66</v>
      </c>
      <c r="E95" s="61">
        <v>0.67789999999999995</v>
      </c>
      <c r="F95" s="61">
        <v>0.2157</v>
      </c>
      <c r="G95" s="61">
        <v>0.1774</v>
      </c>
      <c r="H95" s="61">
        <v>0.79790000000000005</v>
      </c>
      <c r="I95" s="61">
        <v>0.29289999999999999</v>
      </c>
      <c r="J95" s="61">
        <v>0.22470000000000001</v>
      </c>
      <c r="K95" s="61">
        <v>0.22950000000000001</v>
      </c>
      <c r="L95" s="61">
        <v>0.157</v>
      </c>
      <c r="M95" s="61">
        <v>5.6000000000000001E-2</v>
      </c>
      <c r="N95" s="61">
        <v>0.8639</v>
      </c>
      <c r="O95" s="61">
        <v>-1.2800000000000001E-2</v>
      </c>
      <c r="P95" s="61">
        <v>0.3538</v>
      </c>
      <c r="Q95" s="61">
        <v>-1.38E-2</v>
      </c>
      <c r="R95" s="60">
        <v>1.87</v>
      </c>
      <c r="S95" s="60">
        <v>2.15</v>
      </c>
    </row>
    <row r="96" spans="1:19">
      <c r="A96" s="58" t="s">
        <v>244</v>
      </c>
      <c r="B96" s="59">
        <v>15</v>
      </c>
      <c r="C96" s="60">
        <v>1.27</v>
      </c>
      <c r="D96" s="60">
        <v>1.19</v>
      </c>
      <c r="E96" s="61">
        <v>0.53700000000000003</v>
      </c>
      <c r="F96" s="61">
        <v>0.19520000000000001</v>
      </c>
      <c r="G96" s="61">
        <v>0.1633</v>
      </c>
      <c r="H96" s="61">
        <v>0.91220000000000001</v>
      </c>
      <c r="I96" s="61">
        <v>0.2712</v>
      </c>
      <c r="J96" s="61">
        <v>0.2152</v>
      </c>
      <c r="K96" s="61">
        <v>0.127</v>
      </c>
      <c r="L96" s="61">
        <v>8.8099999999999998E-2</v>
      </c>
      <c r="M96" s="61">
        <v>6.5000000000000002E-2</v>
      </c>
      <c r="N96" s="61">
        <v>1.071</v>
      </c>
      <c r="O96" s="61">
        <v>8.4699999999999998E-2</v>
      </c>
      <c r="P96" s="61">
        <v>0.36780000000000002</v>
      </c>
      <c r="Q96" s="61">
        <v>6.8599999999999994E-2</v>
      </c>
      <c r="R96" s="60">
        <v>3.08</v>
      </c>
      <c r="S96" s="60">
        <v>1.49</v>
      </c>
    </row>
    <row r="97" spans="1:19">
      <c r="A97" s="58" t="s">
        <v>245</v>
      </c>
      <c r="B97" s="59">
        <v>33</v>
      </c>
      <c r="C97" s="60">
        <v>1.2</v>
      </c>
      <c r="D97" s="60">
        <v>0.97</v>
      </c>
      <c r="E97" s="61">
        <v>0.56640000000000001</v>
      </c>
      <c r="F97" s="61">
        <v>0.4214</v>
      </c>
      <c r="G97" s="61">
        <v>0.29649999999999999</v>
      </c>
      <c r="H97" s="61">
        <v>-9.1000000000000004E-3</v>
      </c>
      <c r="I97" s="61">
        <v>0.1158</v>
      </c>
      <c r="J97" s="61">
        <v>0.25480000000000003</v>
      </c>
      <c r="K97" s="61">
        <v>0.1011</v>
      </c>
      <c r="L97" s="61">
        <v>6.0900000000000003E-2</v>
      </c>
      <c r="M97" s="61">
        <v>1.7299999999999999E-2</v>
      </c>
      <c r="N97" s="61">
        <v>1.2659</v>
      </c>
      <c r="O97" s="61">
        <v>8.3199999999999996E-2</v>
      </c>
      <c r="P97" s="61" t="s">
        <v>150</v>
      </c>
      <c r="Q97" s="61">
        <v>0.38779999999999998</v>
      </c>
      <c r="R97" s="60">
        <v>1.9</v>
      </c>
      <c r="S97" s="60">
        <v>1</v>
      </c>
    </row>
    <row r="98" spans="1:19">
      <c r="A98" s="58" t="s">
        <v>246</v>
      </c>
      <c r="B98" s="59">
        <v>5</v>
      </c>
      <c r="C98" s="60">
        <v>0.99</v>
      </c>
      <c r="D98" s="60">
        <v>0.7</v>
      </c>
      <c r="E98" s="61">
        <v>0.31259999999999999</v>
      </c>
      <c r="F98" s="61">
        <v>0.58679999999999999</v>
      </c>
      <c r="G98" s="61">
        <v>0.36980000000000002</v>
      </c>
      <c r="H98" s="61">
        <v>4.0899999999999999E-2</v>
      </c>
      <c r="I98" s="61">
        <v>9.5299999999999996E-2</v>
      </c>
      <c r="J98" s="61">
        <v>0.20300000000000001</v>
      </c>
      <c r="K98" s="61">
        <v>0.1464</v>
      </c>
      <c r="L98" s="61">
        <v>8.6199999999999999E-2</v>
      </c>
      <c r="M98" s="61">
        <v>3.0999999999999999E-3</v>
      </c>
      <c r="N98" s="61">
        <v>1.7354000000000001</v>
      </c>
      <c r="O98" s="61">
        <v>4.7800000000000002E-2</v>
      </c>
      <c r="P98" s="61">
        <v>0</v>
      </c>
      <c r="Q98" s="61">
        <v>0.64810000000000001</v>
      </c>
      <c r="R98" s="60">
        <v>1.1100000000000001</v>
      </c>
      <c r="S98" s="60">
        <v>1.2</v>
      </c>
    </row>
    <row r="99" spans="1:19">
      <c r="A99" s="58" t="s">
        <v>247</v>
      </c>
      <c r="B99" s="59">
        <v>12</v>
      </c>
      <c r="C99" s="60">
        <v>0.7</v>
      </c>
      <c r="D99" s="60">
        <v>0.47</v>
      </c>
      <c r="E99" s="61">
        <v>0.2011</v>
      </c>
      <c r="F99" s="61">
        <v>0.77890000000000004</v>
      </c>
      <c r="G99" s="61">
        <v>0.43780000000000002</v>
      </c>
      <c r="H99" s="61">
        <v>7.1199999999999999E-2</v>
      </c>
      <c r="I99" s="61">
        <v>7.5300000000000006E-2</v>
      </c>
      <c r="J99" s="61">
        <v>0.35460000000000003</v>
      </c>
      <c r="K99" s="61">
        <v>0.37409999999999999</v>
      </c>
      <c r="L99" s="61">
        <v>0.24329999999999999</v>
      </c>
      <c r="M99" s="61">
        <v>6.08E-2</v>
      </c>
      <c r="N99" s="61">
        <v>2.8698000000000001</v>
      </c>
      <c r="O99" s="61">
        <v>3.5900000000000001E-2</v>
      </c>
      <c r="P99" s="61">
        <v>0.4042</v>
      </c>
      <c r="Q99" s="61">
        <v>0.90249999999999997</v>
      </c>
      <c r="R99" s="60">
        <v>0.31</v>
      </c>
      <c r="S99" s="60">
        <v>4.2300000000000004</v>
      </c>
    </row>
    <row r="100" spans="1:19">
      <c r="A100" s="58" t="s">
        <v>248</v>
      </c>
      <c r="B100" s="59">
        <v>48</v>
      </c>
      <c r="C100" s="60">
        <v>1.25</v>
      </c>
      <c r="D100" s="60">
        <v>1.1499999999999999</v>
      </c>
      <c r="E100" s="61">
        <v>0.62580000000000002</v>
      </c>
      <c r="F100" s="61">
        <v>0.18190000000000001</v>
      </c>
      <c r="G100" s="61">
        <v>0.15390000000000001</v>
      </c>
      <c r="H100" s="61">
        <v>0.1333</v>
      </c>
      <c r="I100" s="61">
        <v>0.1542</v>
      </c>
      <c r="J100" s="61">
        <v>0.1268</v>
      </c>
      <c r="K100" s="61">
        <v>0.2099</v>
      </c>
      <c r="L100" s="61">
        <v>0.14729999999999999</v>
      </c>
      <c r="M100" s="61">
        <v>5.6500000000000002E-2</v>
      </c>
      <c r="N100" s="61">
        <v>0.9738</v>
      </c>
      <c r="O100" s="61">
        <v>8.8499999999999995E-2</v>
      </c>
      <c r="P100" s="61">
        <v>7.7999999999999996E-3</v>
      </c>
      <c r="Q100" s="61">
        <v>-0.62829999999999997</v>
      </c>
      <c r="R100" s="60">
        <v>1.05</v>
      </c>
      <c r="S100" s="60">
        <v>3.11</v>
      </c>
    </row>
    <row r="101" spans="1:19">
      <c r="A101" s="62" t="s">
        <v>249</v>
      </c>
      <c r="B101" s="63">
        <v>5928</v>
      </c>
      <c r="C101" s="64">
        <v>1.1499999999999999</v>
      </c>
      <c r="D101" s="64">
        <v>0.96</v>
      </c>
      <c r="E101" s="65">
        <v>0.76270000000000004</v>
      </c>
      <c r="F101" s="65">
        <v>0.3604</v>
      </c>
      <c r="G101" s="65">
        <v>0.26490000000000002</v>
      </c>
      <c r="H101" s="65">
        <v>0.14460000000000001</v>
      </c>
      <c r="I101" s="65">
        <v>0.16589999999999999</v>
      </c>
      <c r="J101" s="65">
        <v>0.1532</v>
      </c>
      <c r="K101" s="65">
        <v>0.20230000000000001</v>
      </c>
      <c r="L101" s="65">
        <v>0.1484</v>
      </c>
      <c r="M101" s="65">
        <v>4.4699999999999997E-2</v>
      </c>
      <c r="N101" s="65">
        <v>1.2487999999999999</v>
      </c>
      <c r="O101" s="65">
        <v>9.1600000000000001E-2</v>
      </c>
      <c r="P101" s="65">
        <v>0.28070000000000001</v>
      </c>
      <c r="Q101" s="65">
        <v>7.8E-2</v>
      </c>
      <c r="R101" s="64">
        <v>1.1200000000000001</v>
      </c>
      <c r="S101" s="64">
        <v>1.88</v>
      </c>
    </row>
  </sheetData>
  <phoneticPr fontId="2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2000-04-06T19:14:27Z</dcterms:created>
  <dcterms:modified xsi:type="dcterms:W3CDTF">2025-03-28T07:32:15Z</dcterms:modified>
  <cp:category/>
  <cp:contentStatus/>
</cp:coreProperties>
</file>