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ate1904="1"/>
  <mc:AlternateContent xmlns:mc="http://schemas.openxmlformats.org/markup-compatibility/2006">
    <mc:Choice Requires="x15">
      <x15ac:absPath xmlns:x15ac="http://schemas.microsoft.com/office/spreadsheetml/2010/11/ac" url="D:\working\waccache\OS1PEPF0000EF07\EXCELCNV\e0de28de-7db4-445a-9cd4-61a53898a0b1\"/>
    </mc:Choice>
  </mc:AlternateContent>
  <xr:revisionPtr revIDLastSave="0" documentId="8_{A91A6E61-3757-427A-8D45-F5C3C0FF5C48}" xr6:coauthVersionLast="47" xr6:coauthVersionMax="47" xr10:uidLastSave="{00000000-0000-0000-0000-000000000000}"/>
  <bookViews>
    <workbookView xWindow="-60" yWindow="-60" windowWidth="15480" windowHeight="11640" firstSheet="6" activeTab="6" xr2:uid="{07AFFE9E-E676-42F1-B65F-12FBB258967E}"/>
  </bookViews>
  <sheets>
    <sheet name="Sheet1" sheetId="2" r:id="rId1"/>
    <sheet name="Option Valuation" sheetId="9" r:id="rId2"/>
    <sheet name="RevGrowthChart" sheetId="11" r:id="rId3"/>
    <sheet name="MarginChart" sheetId="12" r:id="rId4"/>
    <sheet name="What-If" sheetId="10" r:id="rId5"/>
    <sheet name="Summary" sheetId="13" r:id="rId6"/>
    <sheet name="Valuation" sheetId="1" r:id="rId7"/>
  </sheets>
  <calcPr calcId="191028" iterate="1" iterateCount="2000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1" l="1"/>
  <c r="C99" i="1"/>
  <c r="D62" i="1"/>
  <c r="C100" i="1"/>
  <c r="E62" i="1"/>
  <c r="F62" i="1"/>
  <c r="C101" i="1"/>
  <c r="C102" i="1"/>
  <c r="C110" i="1"/>
  <c r="C103" i="1"/>
  <c r="C104" i="1"/>
  <c r="C105" i="1"/>
  <c r="C106" i="1"/>
  <c r="D29" i="1"/>
  <c r="G62" i="1"/>
  <c r="C107" i="1"/>
  <c r="C108" i="1"/>
  <c r="B2" i="2"/>
  <c r="C115" i="1"/>
  <c r="C116" i="1"/>
  <c r="D32" i="1"/>
  <c r="F41" i="1"/>
  <c r="D93" i="1"/>
  <c r="D95" i="1"/>
  <c r="C118" i="1"/>
  <c r="C114" i="1"/>
  <c r="C117" i="1"/>
  <c r="C119" i="1"/>
  <c r="C120" i="1"/>
  <c r="C109" i="1"/>
  <c r="D2" i="2"/>
  <c r="D98" i="1"/>
  <c r="D99" i="1"/>
  <c r="D63" i="1"/>
  <c r="D100" i="1"/>
  <c r="E63" i="1"/>
  <c r="F63" i="1"/>
  <c r="D101" i="1"/>
  <c r="D102" i="1"/>
  <c r="D103" i="1"/>
  <c r="D104" i="1"/>
  <c r="D105" i="1"/>
  <c r="D106" i="1"/>
  <c r="G63" i="1"/>
  <c r="D107" i="1"/>
  <c r="D108" i="1"/>
  <c r="B3" i="2"/>
  <c r="D116" i="1"/>
  <c r="D114" i="1"/>
  <c r="D117" i="1"/>
  <c r="D119" i="1"/>
  <c r="D120" i="1"/>
  <c r="D109" i="1"/>
  <c r="D3" i="2"/>
  <c r="E98" i="1"/>
  <c r="E99" i="1"/>
  <c r="D64" i="1"/>
  <c r="E100" i="1"/>
  <c r="E64" i="1"/>
  <c r="F64" i="1"/>
  <c r="E101" i="1"/>
  <c r="E102" i="1"/>
  <c r="D110" i="1"/>
  <c r="E103" i="1"/>
  <c r="E104" i="1"/>
  <c r="E105" i="1"/>
  <c r="E106" i="1"/>
  <c r="G64" i="1"/>
  <c r="E107" i="1"/>
  <c r="E108" i="1"/>
  <c r="B4" i="2"/>
  <c r="E116" i="1"/>
  <c r="E118" i="1"/>
  <c r="E114" i="1"/>
  <c r="E117" i="1"/>
  <c r="E119" i="1"/>
  <c r="E120" i="1"/>
  <c r="E109" i="1"/>
  <c r="D4" i="2"/>
  <c r="F98" i="1"/>
  <c r="F99" i="1"/>
  <c r="D65" i="1"/>
  <c r="F100" i="1"/>
  <c r="E65" i="1"/>
  <c r="F65" i="1"/>
  <c r="F101" i="1"/>
  <c r="F102" i="1"/>
  <c r="E110" i="1"/>
  <c r="F103" i="1"/>
  <c r="F104" i="1"/>
  <c r="F105" i="1"/>
  <c r="F106" i="1"/>
  <c r="G65" i="1"/>
  <c r="F107" i="1"/>
  <c r="F108" i="1"/>
  <c r="B5" i="2"/>
  <c r="F116" i="1"/>
  <c r="F118" i="1"/>
  <c r="F117" i="1"/>
  <c r="F119" i="1"/>
  <c r="F120" i="1"/>
  <c r="F109" i="1"/>
  <c r="D5" i="2"/>
  <c r="G98" i="1"/>
  <c r="G99" i="1"/>
  <c r="D66" i="1"/>
  <c r="G100" i="1"/>
  <c r="E66" i="1"/>
  <c r="F66" i="1"/>
  <c r="G101" i="1"/>
  <c r="G102" i="1"/>
  <c r="F110" i="1"/>
  <c r="G103" i="1"/>
  <c r="G104" i="1"/>
  <c r="G105" i="1"/>
  <c r="G106" i="1"/>
  <c r="G66" i="1"/>
  <c r="G107" i="1"/>
  <c r="G108" i="1"/>
  <c r="B6" i="2"/>
  <c r="G116" i="1"/>
  <c r="G118" i="1"/>
  <c r="G117" i="1"/>
  <c r="G119" i="1"/>
  <c r="G120" i="1"/>
  <c r="G109" i="1"/>
  <c r="D6" i="2"/>
  <c r="H98" i="1"/>
  <c r="H99" i="1"/>
  <c r="D67" i="1"/>
  <c r="H100" i="1"/>
  <c r="E67" i="1"/>
  <c r="F67" i="1"/>
  <c r="H101" i="1"/>
  <c r="H102" i="1"/>
  <c r="G110" i="1"/>
  <c r="H103" i="1"/>
  <c r="H104" i="1"/>
  <c r="H105" i="1"/>
  <c r="H106" i="1"/>
  <c r="G67" i="1"/>
  <c r="H107" i="1"/>
  <c r="H108" i="1"/>
  <c r="B7" i="2"/>
  <c r="H116" i="1"/>
  <c r="H118" i="1"/>
  <c r="H117" i="1"/>
  <c r="H119" i="1"/>
  <c r="H120" i="1"/>
  <c r="H109" i="1"/>
  <c r="D7" i="2"/>
  <c r="I98" i="1"/>
  <c r="I102" i="1"/>
  <c r="I103" i="1"/>
  <c r="I104" i="1"/>
  <c r="I101" i="1"/>
  <c r="I105" i="1"/>
  <c r="I106" i="1"/>
  <c r="I107" i="1"/>
  <c r="I108" i="1"/>
  <c r="B8" i="2"/>
  <c r="I109" i="1"/>
  <c r="D8" i="2"/>
  <c r="J98" i="1"/>
  <c r="J102" i="1"/>
  <c r="J103" i="1"/>
  <c r="J104" i="1"/>
  <c r="J101" i="1"/>
  <c r="J105" i="1"/>
  <c r="J106" i="1"/>
  <c r="J107" i="1"/>
  <c r="J108" i="1"/>
  <c r="B9" i="2"/>
  <c r="J109" i="1"/>
  <c r="D9" i="2"/>
  <c r="K98" i="1"/>
  <c r="K102" i="1"/>
  <c r="K103" i="1"/>
  <c r="K104" i="1"/>
  <c r="K101" i="1"/>
  <c r="K105" i="1"/>
  <c r="K106" i="1"/>
  <c r="K107" i="1"/>
  <c r="K108" i="1"/>
  <c r="B10" i="2"/>
  <c r="K109" i="1"/>
  <c r="D10" i="2"/>
  <c r="L98" i="1"/>
  <c r="L102" i="1"/>
  <c r="L103" i="1"/>
  <c r="L104" i="1"/>
  <c r="L101" i="1"/>
  <c r="L105" i="1"/>
  <c r="L106" i="1"/>
  <c r="L107" i="1"/>
  <c r="L108" i="1"/>
  <c r="B11" i="2"/>
  <c r="C111" i="1"/>
  <c r="D111" i="1"/>
  <c r="E111" i="1"/>
  <c r="F111" i="1"/>
  <c r="G111" i="1"/>
  <c r="H111" i="1"/>
  <c r="I99" i="1"/>
  <c r="I111" i="1"/>
  <c r="J99" i="1"/>
  <c r="J111" i="1"/>
  <c r="K99" i="1"/>
  <c r="K111" i="1"/>
  <c r="L99" i="1"/>
  <c r="L111" i="1"/>
  <c r="M99" i="1"/>
  <c r="E74" i="1"/>
  <c r="M100" i="1"/>
  <c r="M101" i="1"/>
  <c r="M102" i="1"/>
  <c r="H110" i="1"/>
  <c r="I110" i="1"/>
  <c r="J110" i="1"/>
  <c r="K110" i="1"/>
  <c r="L110" i="1"/>
  <c r="M103" i="1"/>
  <c r="M104" i="1"/>
  <c r="M105" i="1"/>
  <c r="M107" i="1"/>
  <c r="M106" i="1"/>
  <c r="M108" i="1"/>
  <c r="E123" i="1"/>
  <c r="E124" i="1"/>
  <c r="E125" i="1"/>
  <c r="E126" i="1"/>
  <c r="E127" i="1"/>
  <c r="E128" i="1"/>
  <c r="E122" i="1"/>
  <c r="E129" i="1"/>
  <c r="C11" i="2"/>
  <c r="L109" i="1"/>
  <c r="F132" i="1"/>
  <c r="D11" i="2"/>
  <c r="D12" i="2"/>
  <c r="D2" i="9"/>
  <c r="D9" i="9"/>
  <c r="C13" i="9"/>
  <c r="F13" i="9"/>
  <c r="C14" i="9"/>
  <c r="F14" i="9"/>
  <c r="F17" i="9"/>
  <c r="C17" i="9"/>
  <c r="F15" i="9"/>
  <c r="C16" i="9"/>
  <c r="F16" i="9"/>
  <c r="F18" i="9"/>
  <c r="C27" i="9"/>
  <c r="A2" i="13"/>
  <c r="B2" i="13"/>
  <c r="C2" i="13"/>
  <c r="D2" i="13"/>
  <c r="E2" i="13"/>
  <c r="F2" i="13"/>
  <c r="G2" i="13"/>
  <c r="H2" i="13"/>
  <c r="I2" i="13"/>
  <c r="J2" i="13"/>
  <c r="K2" i="13"/>
  <c r="L2" i="13"/>
  <c r="A3" i="13"/>
  <c r="B3" i="13"/>
  <c r="C3" i="13"/>
  <c r="D3" i="13"/>
  <c r="E3" i="13"/>
  <c r="F3" i="13"/>
  <c r="G3" i="13"/>
  <c r="H3" i="13"/>
  <c r="I3" i="13"/>
  <c r="J3" i="13"/>
  <c r="K3" i="13"/>
  <c r="L3" i="13"/>
  <c r="A4" i="13"/>
  <c r="B4" i="13"/>
  <c r="C4" i="13"/>
  <c r="D4" i="13"/>
  <c r="E4" i="13"/>
  <c r="F4" i="13"/>
  <c r="G4" i="13"/>
  <c r="H4" i="13"/>
  <c r="I4" i="13"/>
  <c r="J4" i="13"/>
  <c r="K4" i="13"/>
  <c r="L4" i="13"/>
  <c r="A5" i="13"/>
  <c r="B5" i="13"/>
  <c r="C5" i="13"/>
  <c r="D5" i="13"/>
  <c r="E5" i="13"/>
  <c r="F5" i="13"/>
  <c r="G5" i="13"/>
  <c r="H5" i="13"/>
  <c r="I5" i="13"/>
  <c r="J5" i="13"/>
  <c r="K5" i="13"/>
  <c r="L5" i="13"/>
  <c r="A6" i="13"/>
  <c r="B6" i="13"/>
  <c r="C6" i="13"/>
  <c r="D6" i="13"/>
  <c r="E6" i="13"/>
  <c r="F6" i="13"/>
  <c r="G6" i="13"/>
  <c r="H6" i="13"/>
  <c r="I6" i="13"/>
  <c r="J6" i="13"/>
  <c r="K6" i="13"/>
  <c r="L6" i="13"/>
  <c r="A7" i="13"/>
  <c r="B7" i="13"/>
  <c r="C7" i="13"/>
  <c r="D7" i="13"/>
  <c r="E7" i="13"/>
  <c r="F7" i="13"/>
  <c r="G7" i="13"/>
  <c r="H7" i="13"/>
  <c r="I7" i="13"/>
  <c r="J7" i="13"/>
  <c r="K7" i="13"/>
  <c r="L7" i="13"/>
  <c r="A8" i="13"/>
  <c r="B8" i="13"/>
  <c r="I100" i="1"/>
  <c r="C8" i="13"/>
  <c r="D8" i="13"/>
  <c r="E8" i="13"/>
  <c r="F8" i="13"/>
  <c r="G8" i="13"/>
  <c r="H8" i="13"/>
  <c r="I8" i="13"/>
  <c r="J8" i="13"/>
  <c r="G68" i="1"/>
  <c r="K8" i="13"/>
  <c r="L8" i="13"/>
  <c r="A9" i="13"/>
  <c r="B9" i="13"/>
  <c r="J100" i="1"/>
  <c r="C9" i="13"/>
  <c r="D9" i="13"/>
  <c r="E9" i="13"/>
  <c r="F9" i="13"/>
  <c r="G9" i="13"/>
  <c r="H9" i="13"/>
  <c r="I9" i="13"/>
  <c r="J9" i="13"/>
  <c r="G69" i="1"/>
  <c r="K9" i="13"/>
  <c r="L9" i="13"/>
  <c r="A10" i="13"/>
  <c r="B10" i="13"/>
  <c r="K100" i="1"/>
  <c r="C10" i="13"/>
  <c r="D10" i="13"/>
  <c r="E10" i="13"/>
  <c r="F10" i="13"/>
  <c r="G10" i="13"/>
  <c r="H10" i="13"/>
  <c r="I10" i="13"/>
  <c r="J10" i="13"/>
  <c r="G70" i="1"/>
  <c r="K10" i="13"/>
  <c r="L10" i="13"/>
  <c r="A11" i="13"/>
  <c r="B11" i="13"/>
  <c r="L100" i="1"/>
  <c r="C11" i="13"/>
  <c r="D11" i="13"/>
  <c r="E11" i="13"/>
  <c r="F11" i="13"/>
  <c r="G11" i="13"/>
  <c r="H11" i="13"/>
  <c r="I11" i="13"/>
  <c r="J11" i="13"/>
  <c r="G71" i="1"/>
  <c r="K11" i="13"/>
  <c r="L11" i="13"/>
  <c r="B12" i="13"/>
  <c r="C12" i="13"/>
  <c r="D12" i="13"/>
  <c r="E12" i="13"/>
  <c r="F12" i="13"/>
  <c r="G12" i="13"/>
  <c r="H12" i="13"/>
  <c r="I12" i="13"/>
  <c r="J12" i="13"/>
  <c r="K12" i="13"/>
  <c r="L12" i="13"/>
  <c r="H15" i="13"/>
  <c r="D30" i="1"/>
  <c r="D31" i="1"/>
  <c r="B62" i="1"/>
  <c r="B63" i="1"/>
  <c r="B64" i="1"/>
  <c r="B65" i="1"/>
  <c r="B66" i="1"/>
  <c r="B67" i="1"/>
  <c r="B68" i="1"/>
  <c r="D71" i="1"/>
  <c r="D68" i="1"/>
  <c r="E68" i="1"/>
  <c r="F68" i="1"/>
  <c r="B69" i="1"/>
  <c r="D69" i="1"/>
  <c r="E69" i="1"/>
  <c r="F69" i="1"/>
  <c r="B70" i="1"/>
  <c r="D70" i="1"/>
  <c r="E70" i="1"/>
  <c r="F70" i="1"/>
  <c r="B71" i="1"/>
  <c r="E71" i="1"/>
  <c r="F71" i="1"/>
  <c r="C72" i="1"/>
  <c r="D92" i="1"/>
  <c r="D94" i="1"/>
  <c r="D96" i="1"/>
  <c r="F114" i="1"/>
  <c r="G114" i="1"/>
  <c r="H114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G123" i="1"/>
  <c r="F131" i="1"/>
  <c r="F133" i="1"/>
  <c r="F134" i="1"/>
  <c r="F135" i="1"/>
  <c r="F136" i="1"/>
  <c r="C15" i="9"/>
  <c r="B20" i="9"/>
  <c r="B21" i="9"/>
  <c r="B23" i="9"/>
  <c r="B24" i="9"/>
  <c r="C26" i="9"/>
  <c r="C28" i="9"/>
  <c r="F137" i="1"/>
  <c r="F138" i="1"/>
  <c r="F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Aswath Damodaran</author>
  </authors>
  <commentList>
    <comment ref="D60" authorId="0" shapeId="0" xr:uid="{7203AE8B-E100-416D-92C3-7F6B199D4CCE}">
      <text>
        <r>
          <rPr>
            <b/>
            <sz val="9"/>
            <color indexed="81"/>
            <rFont val="Geneva"/>
          </rPr>
          <t>Aswath Damodaran:</t>
        </r>
        <r>
          <rPr>
            <sz val="9"/>
            <color indexed="81"/>
            <rFont val="Geneva"/>
          </rPr>
          <t xml:space="preserve">
Note. This will be higher than the operating margin.</t>
        </r>
      </text>
    </comment>
  </commentList>
</comments>
</file>

<file path=xl/sharedStrings.xml><?xml version="1.0" encoding="utf-8"?>
<sst xmlns="http://schemas.openxmlformats.org/spreadsheetml/2006/main" count="206" uniqueCount="165">
  <si>
    <t>Year</t>
  </si>
  <si>
    <t>FCFF</t>
  </si>
  <si>
    <t>Terminal Value</t>
  </si>
  <si>
    <t>Present Value</t>
  </si>
  <si>
    <t>Valuing Options or Warrants when there is dilution</t>
  </si>
  <si>
    <t>Enter the current stock price =</t>
  </si>
  <si>
    <t>Enter the strike price on the option =</t>
  </si>
  <si>
    <t>Enter the expiration of the option =</t>
  </si>
  <si>
    <t>Enter the standard deviation in stock prices =</t>
  </si>
  <si>
    <t>(volatility)</t>
  </si>
  <si>
    <t>Enter the annualized dividend yield on stock =</t>
  </si>
  <si>
    <t>Enter the treasury bond rate =</t>
  </si>
  <si>
    <t>Enter the number of warrants (options) outstanding =</t>
  </si>
  <si>
    <t>Enter the number of shares outstanding =</t>
  </si>
  <si>
    <t>VALUING WARRANTS WHEN THERE IS DILUTION</t>
  </si>
  <si>
    <t>Stock Price=</t>
  </si>
  <si>
    <t># Warrants issued=</t>
  </si>
  <si>
    <t>Strike Price=</t>
  </si>
  <si>
    <t># Shares outstanding=</t>
  </si>
  <si>
    <t>Adjusted S (DO NOT ENTER)=</t>
  </si>
  <si>
    <t>T.Bond rate=</t>
  </si>
  <si>
    <t>Adjusted K (DO NOT ENTER)=</t>
  </si>
  <si>
    <t>Variance=</t>
  </si>
  <si>
    <t>Expiration (in years) =</t>
  </si>
  <si>
    <t>Annualized dividend yield=</t>
  </si>
  <si>
    <t>Div. Adj. interest rate=</t>
  </si>
  <si>
    <t xml:space="preserve">d1 = </t>
  </si>
  <si>
    <t>N (d1) =</t>
  </si>
  <si>
    <t xml:space="preserve">d2 = </t>
  </si>
  <si>
    <t>N (d2) =</t>
  </si>
  <si>
    <t xml:space="preserve">Value of the call = </t>
  </si>
  <si>
    <t>Number of Options =</t>
  </si>
  <si>
    <t>Value of Options =</t>
  </si>
  <si>
    <t>Revenue Growth</t>
  </si>
  <si>
    <t>Value per Share</t>
  </si>
  <si>
    <t>EBITDA/Sales</t>
  </si>
  <si>
    <t>Revenues</t>
  </si>
  <si>
    <t>EBITDA</t>
  </si>
  <si>
    <t>Depreciation</t>
  </si>
  <si>
    <t>EBIT</t>
  </si>
  <si>
    <t>NOL at beginning of year</t>
  </si>
  <si>
    <t>Taxes</t>
  </si>
  <si>
    <t>EBIT (1-t)</t>
  </si>
  <si>
    <t>Capital Expenditures</t>
  </si>
  <si>
    <t>Change in working capital</t>
  </si>
  <si>
    <t>Term. Year</t>
  </si>
  <si>
    <t>A General FCFF Valuation Model</t>
  </si>
  <si>
    <t>An n-stage Model</t>
  </si>
  <si>
    <t>This model is designed to value a firm, with changing margins, revenue growth,</t>
  </si>
  <si>
    <t>and other parameters.</t>
  </si>
  <si>
    <t>Assumptions</t>
  </si>
  <si>
    <t>1. The firm is expected to grow at a higher growth rate in the first period.</t>
  </si>
  <si>
    <t>2. The growth rate will drop at the end of the first period to the stable growth rate.</t>
  </si>
  <si>
    <t>3. The free cashflow to equity is the correct measure of expected cashflows to stockholders.</t>
  </si>
  <si>
    <t>The user has to define the following inputs:</t>
  </si>
  <si>
    <t>1. Length of high growth period</t>
  </si>
  <si>
    <t>2. Expected growth rate in earnings during the high growth period.</t>
  </si>
  <si>
    <t>3. Capital Spending, Depreciation and Working Capital needs during the high growth period.</t>
  </si>
  <si>
    <t>4. Expected growth rate in earnings during the stable growth period.</t>
  </si>
  <si>
    <t>5. Inputs for the cost of capital. (Cost of equity, Cost of debt, Weights on debt and equity)</t>
  </si>
  <si>
    <t>Inputs to the model</t>
  </si>
  <si>
    <t>Current EBIT =</t>
  </si>
  <si>
    <t>(in currency)</t>
  </si>
  <si>
    <t>Current Net Income =</t>
  </si>
  <si>
    <t>Current Dividends =</t>
  </si>
  <si>
    <t>( in currency)</t>
  </si>
  <si>
    <t>Current Interest Expense =</t>
  </si>
  <si>
    <t>Current Capital Spending</t>
  </si>
  <si>
    <t>Current Depreciation =</t>
  </si>
  <si>
    <t>Tax Rate on Income =</t>
  </si>
  <si>
    <t>(in percent)</t>
  </si>
  <si>
    <t>Current Revenues =</t>
  </si>
  <si>
    <t>Current Working Capital =</t>
  </si>
  <si>
    <t>Chg. Working Capital =</t>
  </si>
  <si>
    <t>Cash and Non-operating assets =</t>
  </si>
  <si>
    <t>Book Value of Debt =</t>
  </si>
  <si>
    <t>Book Value of Equity =</t>
  </si>
  <si>
    <t>NOL carried forward =</t>
  </si>
  <si>
    <t>Weights on Debt and Equity</t>
  </si>
  <si>
    <t>Is the firm publicly traded ?</t>
  </si>
  <si>
    <t>Yes</t>
  </si>
  <si>
    <t>( Yes or No)</t>
  </si>
  <si>
    <t>If yes, enter the market price per share =</t>
  </si>
  <si>
    <t xml:space="preserve">      &amp; Number of shares outstanding  =</t>
  </si>
  <si>
    <t>(in #)</t>
  </si>
  <si>
    <t xml:space="preserve">      &amp; Market Value of Debt =</t>
  </si>
  <si>
    <t>If no, do you want to use the book value debt ratio ?</t>
  </si>
  <si>
    <t>(Yes or No)</t>
  </si>
  <si>
    <t>If no, enter the debt to capital ratio to be used =</t>
  </si>
  <si>
    <t>Enter length of extraordinary growth period =</t>
  </si>
  <si>
    <t>(in years)</t>
  </si>
  <si>
    <t>Costs of Components</t>
  </si>
  <si>
    <t>Do you want to enter cost of equity directly?</t>
  </si>
  <si>
    <t>No</t>
  </si>
  <si>
    <t>If yes, enter the cost of equity =</t>
  </si>
  <si>
    <t>If no, enter the inputs to the cost of equity</t>
  </si>
  <si>
    <t>Beta of the stock =</t>
  </si>
  <si>
    <t>Riskfree rate=</t>
  </si>
  <si>
    <t>Risk Premium=</t>
  </si>
  <si>
    <t>Enter the cost of debt for cost of capital calculation</t>
  </si>
  <si>
    <t>( in percent)</t>
  </si>
  <si>
    <t>Earnings Inputs</t>
  </si>
  <si>
    <t>Please enter year-specific inputs for each of the following variables:</t>
  </si>
  <si>
    <t>Growth Rate in</t>
  </si>
  <si>
    <t>EBITDA/Revenue</t>
  </si>
  <si>
    <t>Working Capital</t>
  </si>
  <si>
    <t>Revenue</t>
  </si>
  <si>
    <t>Capital Spending</t>
  </si>
  <si>
    <t>as % of Revenue</t>
  </si>
  <si>
    <t>Compounded Avg</t>
  </si>
  <si>
    <t>Enter growth rate in stable growth period</t>
  </si>
  <si>
    <t>Enter EBITDA as % of Revenue in stable phase</t>
  </si>
  <si>
    <t>Enter Working Capital as % of Revenue in stable phase</t>
  </si>
  <si>
    <t>Will the beta change in the stable period?</t>
  </si>
  <si>
    <t>If yes, enter the beta for stable period =</t>
  </si>
  <si>
    <t>Do you want to change the debt ratio in the stable growth period?</t>
  </si>
  <si>
    <t>If yes, enter the debt ratio for the stable growth period =</t>
  </si>
  <si>
    <t>Will the cost of debt change in the stable period?</t>
  </si>
  <si>
    <t>If yes, enter the new cost of debt  =</t>
  </si>
  <si>
    <t>Capital Spending and Depreciation in Stable growth period</t>
  </si>
  <si>
    <t>Do you want to compute the reinvestment rate in stable growth from fundamentals?</t>
  </si>
  <si>
    <t>If yes, enter the return on capital in stable growth =</t>
  </si>
  <si>
    <t>If no, enter capital expenditures as % of depreciation in steady state:</t>
  </si>
  <si>
    <t xml:space="preserve"> (in percent: &gt; 100%)</t>
  </si>
  <si>
    <t>Output from the program</t>
  </si>
  <si>
    <t>Cost of Equity =</t>
  </si>
  <si>
    <t>Equity/(Debt+Equity ) =</t>
  </si>
  <si>
    <t>After-tax Cost of debt =</t>
  </si>
  <si>
    <t>Debt/(Debt +Equity) =</t>
  </si>
  <si>
    <t>Cost of Capital =</t>
  </si>
  <si>
    <t>Terminal Year</t>
  </si>
  <si>
    <t xml:space="preserve"> - Operating Expenses</t>
  </si>
  <si>
    <t xml:space="preserve"> - Depreciation</t>
  </si>
  <si>
    <t xml:space="preserve"> - EBIT*t</t>
  </si>
  <si>
    <t xml:space="preserve"> + Depreciation</t>
  </si>
  <si>
    <t xml:space="preserve"> - Capital Spending</t>
  </si>
  <si>
    <t xml:space="preserve"> -  Chg. Working Capital</t>
  </si>
  <si>
    <t>Free CF to Firm</t>
  </si>
  <si>
    <t>NOL</t>
  </si>
  <si>
    <t>Index</t>
  </si>
  <si>
    <t>Cost of Capital Computation</t>
  </si>
  <si>
    <t>Tax Rate</t>
  </si>
  <si>
    <t>Beta</t>
  </si>
  <si>
    <t>Cost of Equity</t>
  </si>
  <si>
    <t>Cost of Debt</t>
  </si>
  <si>
    <t>Debt Ratio</t>
  </si>
  <si>
    <t>Cost of Capital</t>
  </si>
  <si>
    <t>Cum. WACC</t>
  </si>
  <si>
    <t>Growth Rate in Stable Phase =</t>
  </si>
  <si>
    <t>FCFF in Stable Phase =</t>
  </si>
  <si>
    <t>Cost of Equity in Stable Phase =</t>
  </si>
  <si>
    <t>Equity/ (Equity + Debt) =</t>
  </si>
  <si>
    <t>AT Cost of Debt in Stable Phase =</t>
  </si>
  <si>
    <t>Debt/ (Equity + Debt)  =</t>
  </si>
  <si>
    <t>Cost of Capital in Stable Phase =</t>
  </si>
  <si>
    <t>Value at the end of growth phase =</t>
  </si>
  <si>
    <t>Present Value of FCFF in high growth phase =</t>
  </si>
  <si>
    <t>Present Value of Terminal Value of Firm =</t>
  </si>
  <si>
    <t>Value of the firm =</t>
  </si>
  <si>
    <t xml:space="preserve"> + Cash and Marketable Securities =</t>
  </si>
  <si>
    <t>Market Value of Debt =</t>
  </si>
  <si>
    <t>Market Value of Equity =</t>
  </si>
  <si>
    <t>Value of Options Outstanding (See option worksheet) =</t>
  </si>
  <si>
    <t>Value of Equity in Common Stock =</t>
  </si>
  <si>
    <t>Value of Equity per Share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</si>
</sst>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$&quot;#,##0.00_);[Red]\(&quot;$&quot;#,##0.00\)"/>
    <numFmt numFmtId="177" formatCode="#,##0.0000"/>
    <numFmt numFmtId="178" formatCode="#,##0.00000"/>
    <numFmt numFmtId="179" formatCode="&quot;$&quot;#,##0"/>
    <numFmt numFmtId="180" formatCode="0.0000000"/>
  </numFmts>
  <fonts count="12">
    <font>
      <sz val="10"/>
      <name val="Geneva"/>
    </font>
    <font>
      <sz val="10"/>
      <name val="Geneva"/>
    </font>
    <font>
      <sz val="18"/>
      <name val="Times"/>
    </font>
    <font>
      <sz val="14"/>
      <name val="Times"/>
    </font>
    <font>
      <b/>
      <sz val="14"/>
      <name val="Times"/>
    </font>
    <font>
      <b/>
      <sz val="14"/>
      <name val="Geneva"/>
    </font>
    <font>
      <sz val="10"/>
      <name val="Times"/>
    </font>
    <font>
      <b/>
      <sz val="10"/>
      <name val="Times"/>
    </font>
    <font>
      <sz val="9"/>
      <color indexed="81"/>
      <name val="Geneva"/>
    </font>
    <font>
      <b/>
      <sz val="9"/>
      <color indexed="81"/>
      <name val="Geneva"/>
    </font>
    <font>
      <b/>
      <i/>
      <sz val="10"/>
      <name val="Times"/>
    </font>
    <font>
      <i/>
      <sz val="10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176" fontId="0" fillId="0" borderId="0" xfId="0" applyNumberForma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0" fillId="0" borderId="1" xfId="3" applyNumberFormat="1" applyFont="1" applyBorder="1"/>
    <xf numFmtId="10" fontId="0" fillId="0" borderId="1" xfId="0" applyNumberFormat="1" applyBorder="1"/>
    <xf numFmtId="0" fontId="7" fillId="0" borderId="0" xfId="0" applyFont="1"/>
    <xf numFmtId="0" fontId="7" fillId="0" borderId="1" xfId="0" applyFont="1" applyBorder="1"/>
    <xf numFmtId="0" fontId="6" fillId="0" borderId="1" xfId="0" applyFont="1" applyBorder="1"/>
    <xf numFmtId="10" fontId="7" fillId="0" borderId="0" xfId="0" applyNumberFormat="1" applyFont="1"/>
    <xf numFmtId="3" fontId="6" fillId="0" borderId="1" xfId="0" applyNumberFormat="1" applyFont="1" applyBorder="1"/>
    <xf numFmtId="10" fontId="7" fillId="0" borderId="1" xfId="0" applyNumberFormat="1" applyFont="1" applyBorder="1"/>
    <xf numFmtId="177" fontId="7" fillId="0" borderId="1" xfId="1" applyNumberFormat="1" applyFont="1" applyBorder="1"/>
    <xf numFmtId="10" fontId="6" fillId="0" borderId="1" xfId="0" applyNumberFormat="1" applyFont="1" applyBorder="1"/>
    <xf numFmtId="0" fontId="3" fillId="0" borderId="0" xfId="0" applyFont="1"/>
    <xf numFmtId="176" fontId="3" fillId="0" borderId="0" xfId="0" applyNumberFormat="1" applyFont="1"/>
    <xf numFmtId="176" fontId="3" fillId="0" borderId="0" xfId="2" applyFont="1"/>
    <xf numFmtId="176" fontId="4" fillId="0" borderId="2" xfId="2" applyFont="1" applyBorder="1"/>
    <xf numFmtId="0" fontId="4" fillId="0" borderId="1" xfId="0" applyFont="1" applyBorder="1"/>
    <xf numFmtId="176" fontId="4" fillId="0" borderId="1" xfId="0" applyNumberFormat="1" applyFont="1" applyBorder="1"/>
    <xf numFmtId="176" fontId="0" fillId="0" borderId="1" xfId="2" applyFont="1" applyBorder="1"/>
    <xf numFmtId="2" fontId="0" fillId="0" borderId="1" xfId="0" applyNumberFormat="1" applyBorder="1"/>
    <xf numFmtId="9" fontId="0" fillId="0" borderId="0" xfId="0" applyNumberFormat="1"/>
    <xf numFmtId="0" fontId="6" fillId="0" borderId="3" xfId="0" applyFont="1" applyBorder="1" applyAlignment="1">
      <alignment horizontal="centerContinuous"/>
    </xf>
    <xf numFmtId="0" fontId="6" fillId="0" borderId="4" xfId="0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6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0" fontId="10" fillId="0" borderId="0" xfId="0" applyFont="1"/>
    <xf numFmtId="9" fontId="6" fillId="0" borderId="0" xfId="3" applyFont="1"/>
    <xf numFmtId="17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center"/>
    </xf>
    <xf numFmtId="10" fontId="6" fillId="0" borderId="0" xfId="3" applyNumberFormat="1" applyFont="1" applyAlignment="1">
      <alignment horizontal="center"/>
    </xf>
    <xf numFmtId="0" fontId="7" fillId="0" borderId="0" xfId="0" applyFont="1" applyAlignment="1">
      <alignment horizontal="centerContinuous"/>
    </xf>
    <xf numFmtId="176" fontId="6" fillId="0" borderId="1" xfId="2" applyFont="1" applyBorder="1" applyAlignment="1">
      <alignment horizontal="center"/>
    </xf>
    <xf numFmtId="176" fontId="6" fillId="0" borderId="0" xfId="2" applyFont="1" applyAlignment="1">
      <alignment horizontal="center"/>
    </xf>
    <xf numFmtId="176" fontId="10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76" fontId="6" fillId="0" borderId="0" xfId="2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9" xfId="0" applyFont="1" applyBorder="1" applyAlignment="1">
      <alignment horizontal="center"/>
    </xf>
    <xf numFmtId="9" fontId="6" fillId="0" borderId="0" xfId="0" applyNumberFormat="1" applyFont="1" applyAlignment="1">
      <alignment horizontal="center"/>
    </xf>
    <xf numFmtId="10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0" fontId="6" fillId="0" borderId="10" xfId="0" applyNumberFormat="1" applyFont="1" applyBorder="1" applyAlignment="1">
      <alignment horizontal="center"/>
    </xf>
    <xf numFmtId="0" fontId="6" fillId="0" borderId="0" xfId="0" applyFont="1" applyBorder="1"/>
    <xf numFmtId="176" fontId="6" fillId="0" borderId="0" xfId="0" applyNumberFormat="1" applyFont="1" applyBorder="1" applyAlignment="1">
      <alignment horizontal="center"/>
    </xf>
    <xf numFmtId="9" fontId="6" fillId="0" borderId="0" xfId="3" applyFont="1" applyAlignment="1">
      <alignment horizontal="center"/>
    </xf>
    <xf numFmtId="178" fontId="6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176" fontId="7" fillId="0" borderId="1" xfId="2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176" fontId="6" fillId="2" borderId="1" xfId="2" applyFont="1" applyFill="1" applyBorder="1" applyAlignment="1">
      <alignment horizontal="center"/>
    </xf>
    <xf numFmtId="10" fontId="6" fillId="2" borderId="1" xfId="2" applyNumberFormat="1" applyFont="1" applyFill="1" applyBorder="1" applyAlignment="1">
      <alignment horizontal="center"/>
    </xf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 applyProtection="1">
      <alignment horizontal="center"/>
    </xf>
    <xf numFmtId="10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9" fontId="6" fillId="2" borderId="1" xfId="3" applyFont="1" applyFill="1" applyBorder="1" applyAlignment="1">
      <alignment horizontal="center"/>
    </xf>
    <xf numFmtId="10" fontId="6" fillId="0" borderId="11" xfId="0" applyNumberFormat="1" applyFont="1" applyBorder="1" applyAlignment="1">
      <alignment horizontal="center"/>
    </xf>
    <xf numFmtId="179" fontId="0" fillId="0" borderId="0" xfId="0" applyNumberFormat="1"/>
    <xf numFmtId="180" fontId="6" fillId="0" borderId="1" xfId="2" applyNumberFormat="1" applyFont="1" applyBorder="1" applyAlignment="1">
      <alignment horizontal="center"/>
    </xf>
    <xf numFmtId="176" fontId="6" fillId="0" borderId="0" xfId="0" applyNumberFormat="1" applyFont="1"/>
  </cellXfs>
  <cellStyles count="4">
    <cellStyle name="백분율" xfId="3" builtinId="5"/>
    <cellStyle name="쉼표" xfId="1" builtinId="3"/>
    <cellStyle name="통화" xfId="2" builtinId="4"/>
    <cellStyle name="표준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Value and Revenue Growth</a:t>
            </a:r>
          </a:p>
        </c:rich>
      </c:tx>
      <c:layout>
        <c:manualLayout>
          <c:xMode val="edge"/>
          <c:yMode val="edge"/>
          <c:x val="0.41629629629629628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407407407407405E-2"/>
          <c:y val="0.10893246187363835"/>
          <c:w val="0.94074074074074077"/>
          <c:h val="0.832244008714596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'What-If'!$B$1</c:f>
              <c:strCache>
                <c:ptCount val="1"/>
                <c:pt idx="0">
                  <c:v>Value per Share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'What-If'!$A$2:$A$4</c:f>
              <c:numCache>
                <c:formatCode>0%</c:formatCode>
                <c:ptCount val="3"/>
                <c:pt idx="0">
                  <c:v>0.41</c:v>
                </c:pt>
                <c:pt idx="1">
                  <c:v>0.45</c:v>
                </c:pt>
                <c:pt idx="2">
                  <c:v>0.5</c:v>
                </c:pt>
              </c:numCache>
            </c:numRef>
          </c:cat>
          <c:val>
            <c:numRef>
              <c:f>'What-If'!$B$2:$B$4</c:f>
              <c:numCache>
                <c:formatCode>General</c:formatCode>
                <c:ptCount val="3"/>
                <c:pt idx="0">
                  <c:v>37.97</c:v>
                </c:pt>
                <c:pt idx="1">
                  <c:v>61.43</c:v>
                </c:pt>
                <c:pt idx="2">
                  <c:v>96.59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C-42B9-B5DF-BDF890AEA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723888"/>
        <c:axId val="1"/>
      </c:barChart>
      <c:catAx>
        <c:axId val="19947238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994723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Value per Share and EBITDA Margins</a:t>
            </a:r>
          </a:p>
        </c:rich>
      </c:tx>
      <c:layout>
        <c:manualLayout>
          <c:xMode val="edge"/>
          <c:yMode val="edge"/>
          <c:x val="0.38666666666666666"/>
          <c:y val="1.96078431372549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"/>
          <c:y val="0.10893246187363835"/>
          <c:w val="0.83111111111111113"/>
          <c:h val="0.832244008714596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'What-If'!$B$6</c:f>
              <c:strCache>
                <c:ptCount val="1"/>
                <c:pt idx="0">
                  <c:v>Value per Share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'What-If'!$A$7:$A$11</c:f>
              <c:numCache>
                <c:formatCode>0%</c:formatCode>
                <c:ptCount val="5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0.14000000000000001</c:v>
                </c:pt>
              </c:numCache>
            </c:numRef>
          </c:cat>
          <c:val>
            <c:numRef>
              <c:f>'What-If'!$B$7:$B$11</c:f>
              <c:numCache>
                <c:formatCode>General</c:formatCode>
                <c:ptCount val="5"/>
                <c:pt idx="0">
                  <c:v>7.59</c:v>
                </c:pt>
                <c:pt idx="1">
                  <c:v>22.67</c:v>
                </c:pt>
                <c:pt idx="2">
                  <c:v>37.74</c:v>
                </c:pt>
                <c:pt idx="3">
                  <c:v>52.81</c:v>
                </c:pt>
                <c:pt idx="4">
                  <c:v>67.89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0-412B-B57A-C582386E7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724368"/>
        <c:axId val="1"/>
      </c:barChart>
      <c:catAx>
        <c:axId val="199472436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994724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235294117647056"/>
          <c:y val="0.53344208809135396"/>
          <c:w val="0.11098779134295228"/>
          <c:h val="2.773246329526916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2EEBFF-98BC-487B-BEF7-45CFF5A29C3D}">
  <sheetPr/>
  <sheetViews>
    <sheetView zoomScale="91" workbookViewId="0"/>
  </sheetViews>
  <pageMargins left="0.75" right="0.75" top="1" bottom="1" header="0.5" footer="0.5"/>
  <pageSetup orientation="landscape" horizontalDpi="4294967292" verticalDpi="4294967292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8D61DC-ED48-4421-9C78-95FDE43BF807}">
  <sheetPr/>
  <sheetViews>
    <sheetView zoomScale="91" workbookViewId="0"/>
  </sheetViews>
  <pageMargins left="0.75" right="0.75" top="1" bottom="1" header="0.5" footer="0.5"/>
  <pageSetup orientation="landscape" horizontalDpi="4294967292" verticalDpi="4294967292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4327E97-F9BB-853F-F7DB-17CA694D76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186A064-552A-9EBB-30C6-4A3C589F36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1646-AA76-460C-81AE-AE7651CB51D1}">
  <dimension ref="A1:D13"/>
  <sheetViews>
    <sheetView workbookViewId="0">
      <selection sqref="A1:D12"/>
    </sheetView>
  </sheetViews>
  <sheetFormatPr defaultRowHeight="12.75"/>
  <cols>
    <col min="1" max="2" width="11.42578125" customWidth="1"/>
    <col min="3" max="3" width="10.85546875" bestFit="1" customWidth="1"/>
    <col min="4" max="256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4">
        <f>Valuation!C108</f>
        <v>25.949780000000253</v>
      </c>
      <c r="D2" s="4">
        <f>Valuation!C109</f>
        <v>23.225354163638123</v>
      </c>
    </row>
    <row r="3" spans="1:4">
      <c r="A3">
        <v>2</v>
      </c>
      <c r="B3" s="4">
        <f>Valuation!D108</f>
        <v>28.544757999997763</v>
      </c>
      <c r="D3" s="4">
        <f>Valuation!D109</f>
        <v>22.759912301797961</v>
      </c>
    </row>
    <row r="4" spans="1:4">
      <c r="A4">
        <v>3</v>
      </c>
      <c r="B4" s="4">
        <f>Valuation!E108</f>
        <v>31.399233799995983</v>
      </c>
      <c r="D4" s="4">
        <f>Valuation!E109</f>
        <v>22.25335374823884</v>
      </c>
    </row>
    <row r="5" spans="1:4">
      <c r="A5">
        <v>4</v>
      </c>
      <c r="B5" s="4">
        <f>Valuation!F108</f>
        <v>34.53915717999967</v>
      </c>
      <c r="D5" s="4">
        <f>Valuation!F109</f>
        <v>21.760184487768157</v>
      </c>
    </row>
    <row r="6" spans="1:4">
      <c r="A6">
        <v>5</v>
      </c>
      <c r="B6" s="4">
        <f>Valuation!G108</f>
        <v>37.99307289799404</v>
      </c>
      <c r="D6" s="4">
        <f>Valuation!G109</f>
        <v>21.330338796837982</v>
      </c>
    </row>
    <row r="7" spans="1:4">
      <c r="A7">
        <v>6</v>
      </c>
      <c r="B7" s="4">
        <f>Valuation!H108</f>
        <v>41.792380187802614</v>
      </c>
      <c r="D7" s="4">
        <f>Valuation!H109</f>
        <v>21.010407590353193</v>
      </c>
    </row>
    <row r="8" spans="1:4">
      <c r="A8">
        <v>7</v>
      </c>
      <c r="B8" s="4">
        <f>Valuation!I108</f>
        <v>0</v>
      </c>
      <c r="D8" s="4">
        <f>Valuation!I109</f>
        <v>0</v>
      </c>
    </row>
    <row r="9" spans="1:4">
      <c r="A9">
        <v>8</v>
      </c>
      <c r="B9" s="4">
        <f>Valuation!J108</f>
        <v>0</v>
      </c>
      <c r="D9" s="4">
        <f>Valuation!J109</f>
        <v>0</v>
      </c>
    </row>
    <row r="10" spans="1:4">
      <c r="A10">
        <v>9</v>
      </c>
      <c r="B10" s="4">
        <f>Valuation!K108</f>
        <v>0</v>
      </c>
      <c r="D10" s="4">
        <f>Valuation!K109</f>
        <v>0</v>
      </c>
    </row>
    <row r="11" spans="1:4">
      <c r="A11">
        <v>10</v>
      </c>
      <c r="B11" s="4">
        <f>Valuation!L108</f>
        <v>0</v>
      </c>
      <c r="C11" s="4">
        <f>Valuation!E129</f>
        <v>1629.4635860296651</v>
      </c>
      <c r="D11" s="4">
        <f>Valuation!L109+Valuation!F132</f>
        <v>819.18507494133405</v>
      </c>
    </row>
    <row r="12" spans="1:4">
      <c r="D12" s="4">
        <f>SUM(D2:D11)</f>
        <v>951.52462602996832</v>
      </c>
    </row>
    <row r="13" spans="1:4">
      <c r="D13" s="4"/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7C28-AF8F-44D0-B1D1-2EC776811241}">
  <dimension ref="A1:G28"/>
  <sheetViews>
    <sheetView workbookViewId="0">
      <selection activeCell="D9" sqref="D9"/>
    </sheetView>
  </sheetViews>
  <sheetFormatPr defaultRowHeight="12.75"/>
  <cols>
    <col min="1" max="2" width="11.42578125" customWidth="1"/>
    <col min="3" max="3" width="11.85546875" bestFit="1" customWidth="1"/>
    <col min="4" max="256" width="11.42578125" customWidth="1"/>
  </cols>
  <sheetData>
    <row r="1" spans="1:7" s="7" customFormat="1" ht="18.75">
      <c r="A1" s="6" t="s">
        <v>4</v>
      </c>
      <c r="B1" s="6"/>
    </row>
    <row r="2" spans="1:7">
      <c r="A2" s="8" t="s">
        <v>5</v>
      </c>
      <c r="B2" s="8"/>
      <c r="D2" s="25">
        <f>Valuation!F39</f>
        <v>2220</v>
      </c>
    </row>
    <row r="3" spans="1:7">
      <c r="A3" s="8" t="s">
        <v>6</v>
      </c>
      <c r="B3" s="8"/>
      <c r="D3" s="5">
        <v>13.375</v>
      </c>
    </row>
    <row r="4" spans="1:7">
      <c r="A4" s="8" t="s">
        <v>7</v>
      </c>
      <c r="B4" s="8"/>
      <c r="D4" s="5">
        <v>8.4</v>
      </c>
    </row>
    <row r="5" spans="1:7">
      <c r="A5" s="8" t="s">
        <v>8</v>
      </c>
      <c r="B5" s="8"/>
      <c r="D5" s="9">
        <v>0.5</v>
      </c>
      <c r="E5" s="8" t="s">
        <v>9</v>
      </c>
    </row>
    <row r="6" spans="1:7">
      <c r="A6" s="8" t="s">
        <v>10</v>
      </c>
      <c r="B6" s="8"/>
      <c r="D6" s="10">
        <v>0</v>
      </c>
    </row>
    <row r="7" spans="1:7">
      <c r="A7" s="8" t="s">
        <v>11</v>
      </c>
      <c r="B7" s="8"/>
      <c r="D7" s="10">
        <v>6.5000000000000002E-2</v>
      </c>
    </row>
    <row r="8" spans="1:7">
      <c r="A8" s="8" t="s">
        <v>12</v>
      </c>
      <c r="B8" s="8"/>
      <c r="D8" s="5">
        <v>0</v>
      </c>
    </row>
    <row r="9" spans="1:7">
      <c r="A9" s="8" t="s">
        <v>13</v>
      </c>
      <c r="B9" s="8"/>
      <c r="D9" s="26">
        <f>Valuation!F40</f>
        <v>7.3569999999999997E-2</v>
      </c>
    </row>
    <row r="10" spans="1:7">
      <c r="A10" s="8"/>
      <c r="B10" s="8"/>
    </row>
    <row r="11" spans="1:7">
      <c r="A11" s="8"/>
      <c r="B11" s="8"/>
    </row>
    <row r="12" spans="1:7" s="8" customFormat="1">
      <c r="A12" s="11" t="s">
        <v>14</v>
      </c>
    </row>
    <row r="13" spans="1:7" s="8" customFormat="1">
      <c r="A13" s="8" t="s">
        <v>15</v>
      </c>
      <c r="C13" s="12">
        <f>D2</f>
        <v>2220</v>
      </c>
      <c r="D13" s="8" t="s">
        <v>16</v>
      </c>
      <c r="F13" s="13">
        <f>D8</f>
        <v>0</v>
      </c>
      <c r="G13" s="14"/>
    </row>
    <row r="14" spans="1:7" s="8" customFormat="1">
      <c r="A14" s="8" t="s">
        <v>17</v>
      </c>
      <c r="C14" s="12">
        <f>D3</f>
        <v>13.375</v>
      </c>
      <c r="D14" s="8" t="s">
        <v>18</v>
      </c>
      <c r="F14" s="15">
        <f>D9</f>
        <v>7.3569999999999997E-2</v>
      </c>
      <c r="G14" s="14"/>
    </row>
    <row r="15" spans="1:7" s="8" customFormat="1">
      <c r="A15" s="8" t="s">
        <v>19</v>
      </c>
      <c r="C15" s="12">
        <f ca="1">(C13*F14+C26*F13)/(F14+F13)</f>
        <v>2220</v>
      </c>
      <c r="D15" s="8" t="s">
        <v>20</v>
      </c>
      <c r="F15" s="16">
        <f>D7</f>
        <v>6.5000000000000002E-2</v>
      </c>
    </row>
    <row r="16" spans="1:7" s="8" customFormat="1">
      <c r="A16" s="8" t="s">
        <v>21</v>
      </c>
      <c r="C16" s="12">
        <f>C14</f>
        <v>13.375</v>
      </c>
      <c r="D16" s="8" t="s">
        <v>22</v>
      </c>
      <c r="F16" s="17">
        <f>D5^2</f>
        <v>0.25</v>
      </c>
    </row>
    <row r="17" spans="1:7" s="8" customFormat="1">
      <c r="A17" s="8" t="s">
        <v>23</v>
      </c>
      <c r="C17" s="12">
        <f>D4</f>
        <v>8.4</v>
      </c>
      <c r="D17" s="8" t="s">
        <v>24</v>
      </c>
      <c r="F17" s="16">
        <f>D6</f>
        <v>0</v>
      </c>
    </row>
    <row r="18" spans="1:7" s="8" customFormat="1">
      <c r="C18" s="11"/>
      <c r="D18" s="8" t="s">
        <v>25</v>
      </c>
      <c r="F18" s="18">
        <f>F15-F17</f>
        <v>6.5000000000000002E-2</v>
      </c>
    </row>
    <row r="19" spans="1:7" s="8" customFormat="1"/>
    <row r="20" spans="1:7" s="8" customFormat="1">
      <c r="A20" s="8" t="s">
        <v>26</v>
      </c>
      <c r="B20" s="8">
        <f ca="1">(LN(C15/C16)+(F18+(F16/2))*C17)/(((F16)^(0.5))*(C17^0.5))</f>
        <v>4.6288736395236674</v>
      </c>
    </row>
    <row r="21" spans="1:7" s="8" customFormat="1">
      <c r="A21" s="8" t="s">
        <v>27</v>
      </c>
      <c r="B21" s="8">
        <f ca="1">NORMSDIST(B20)</f>
        <v>0.99999816169992561</v>
      </c>
    </row>
    <row r="22" spans="1:7" s="8" customFormat="1"/>
    <row r="23" spans="1:7" s="8" customFormat="1">
      <c r="A23" s="8" t="s">
        <v>28</v>
      </c>
      <c r="B23" s="8">
        <f ca="1">B20-((F16^0.5)*(C17^(0.5)))</f>
        <v>3.1797359649047232</v>
      </c>
    </row>
    <row r="24" spans="1:7" s="8" customFormat="1">
      <c r="A24" s="8" t="s">
        <v>29</v>
      </c>
      <c r="B24" s="8">
        <f ca="1">NORMSDIST(B23)</f>
        <v>0.99926295350390848</v>
      </c>
    </row>
    <row r="25" spans="1:7" ht="13.5" thickBot="1">
      <c r="A25" s="8"/>
      <c r="B25" s="8"/>
    </row>
    <row r="26" spans="1:7" s="19" customFormat="1" ht="18.75">
      <c r="A26" s="6" t="s">
        <v>30</v>
      </c>
      <c r="B26" s="6"/>
      <c r="C26" s="22">
        <f ca="1">((EXP((0-F17)*C17))*C15*B21-C16*(EXP((0-F15)*C17))*B24)</f>
        <v>2212.2539969943896</v>
      </c>
      <c r="E26" s="20"/>
      <c r="G26" s="21"/>
    </row>
    <row r="27" spans="1:7" s="6" customFormat="1" ht="18.75">
      <c r="A27" s="6" t="s">
        <v>31</v>
      </c>
      <c r="C27" s="23">
        <f>D8</f>
        <v>0</v>
      </c>
    </row>
    <row r="28" spans="1:7" s="6" customFormat="1" ht="18.75">
      <c r="A28" s="6" t="s">
        <v>32</v>
      </c>
      <c r="C28" s="24">
        <f ca="1">C27*C26</f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B84-FA30-4569-846B-F523A268B8BF}">
  <dimension ref="A1:B11"/>
  <sheetViews>
    <sheetView workbookViewId="0">
      <selection activeCell="B8" sqref="B8"/>
    </sheetView>
  </sheetViews>
  <sheetFormatPr defaultRowHeight="12.75"/>
  <cols>
    <col min="1" max="256" width="11.42578125" customWidth="1"/>
  </cols>
  <sheetData>
    <row r="1" spans="1:2">
      <c r="A1" t="s">
        <v>33</v>
      </c>
      <c r="B1" t="s">
        <v>34</v>
      </c>
    </row>
    <row r="2" spans="1:2">
      <c r="A2" s="27">
        <v>0.41</v>
      </c>
      <c r="B2">
        <v>37.97</v>
      </c>
    </row>
    <row r="3" spans="1:2">
      <c r="A3" s="27">
        <v>0.45</v>
      </c>
      <c r="B3">
        <v>61.43</v>
      </c>
    </row>
    <row r="4" spans="1:2">
      <c r="A4" s="27">
        <v>0.5</v>
      </c>
      <c r="B4">
        <v>96.59</v>
      </c>
    </row>
    <row r="5" spans="1:2">
      <c r="A5" s="27"/>
    </row>
    <row r="6" spans="1:2">
      <c r="A6" t="s">
        <v>35</v>
      </c>
      <c r="B6" t="s">
        <v>34</v>
      </c>
    </row>
    <row r="7" spans="1:2">
      <c r="A7" s="27">
        <v>0.06</v>
      </c>
      <c r="B7">
        <v>7.59</v>
      </c>
    </row>
    <row r="8" spans="1:2">
      <c r="A8" s="27">
        <v>0.08</v>
      </c>
      <c r="B8">
        <v>22.67</v>
      </c>
    </row>
    <row r="9" spans="1:2">
      <c r="A9" s="27">
        <v>0.1</v>
      </c>
      <c r="B9">
        <v>37.74</v>
      </c>
    </row>
    <row r="10" spans="1:2">
      <c r="A10" s="27">
        <v>0.12</v>
      </c>
      <c r="B10">
        <v>52.81</v>
      </c>
    </row>
    <row r="11" spans="1:2">
      <c r="A11" s="27">
        <v>0.14000000000000001</v>
      </c>
      <c r="B11">
        <v>67.89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49D2-A526-4C2D-9C2C-3622102CF3AA}">
  <dimension ref="A1:L15"/>
  <sheetViews>
    <sheetView workbookViewId="0">
      <selection activeCell="H16" sqref="H16"/>
    </sheetView>
  </sheetViews>
  <sheetFormatPr defaultRowHeight="12.75"/>
  <cols>
    <col min="1" max="256" width="11.42578125" customWidth="1"/>
  </cols>
  <sheetData>
    <row r="1" spans="1:12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38</v>
      </c>
      <c r="K1" t="s">
        <v>44</v>
      </c>
      <c r="L1" t="s">
        <v>1</v>
      </c>
    </row>
    <row r="2" spans="1:12">
      <c r="A2">
        <f>Valuation!C98</f>
        <v>1</v>
      </c>
      <c r="B2" s="75">
        <f>Valuation!C99</f>
        <v>46673.000000000007</v>
      </c>
      <c r="C2" s="75">
        <f>Valuation!C99-Valuation!C100</f>
        <v>102.76640000000043</v>
      </c>
      <c r="D2" s="75">
        <f>Valuation!C101</f>
        <v>4.4000000000000004</v>
      </c>
      <c r="E2" s="75">
        <f>C2-D2</f>
        <v>98.366400000000425</v>
      </c>
      <c r="F2" s="75">
        <f>Valuation!D34</f>
        <v>0</v>
      </c>
      <c r="G2">
        <f>IF(E2&lt;F2,0,(E2-F2)*Valuation!$D$27)</f>
        <v>29.509920000000125</v>
      </c>
      <c r="H2" s="75">
        <f t="shared" ref="H2:H12" si="0">E2-G2</f>
        <v>68.856480000000303</v>
      </c>
      <c r="I2" s="75">
        <f>Valuation!C106</f>
        <v>13.200000000000001</v>
      </c>
      <c r="J2" s="75">
        <f t="shared" ref="J2:J12" si="1">D2</f>
        <v>4.4000000000000004</v>
      </c>
      <c r="K2" s="75">
        <f>Valuation!C107</f>
        <v>34.106700000000053</v>
      </c>
      <c r="L2" s="75">
        <f>H2+J2-I2-K2</f>
        <v>25.949780000000253</v>
      </c>
    </row>
    <row r="3" spans="1:12">
      <c r="A3">
        <f>Valuation!D98</f>
        <v>2</v>
      </c>
      <c r="B3" s="75">
        <f>Valuation!D99</f>
        <v>51340.30000000001</v>
      </c>
      <c r="C3" s="75">
        <f>Valuation!D99-Valuation!D100</f>
        <v>113.04303999999684</v>
      </c>
      <c r="D3" s="75">
        <f>Valuation!D101</f>
        <v>4.8400000000000007</v>
      </c>
      <c r="E3" s="75">
        <f t="shared" ref="E3:E12" si="2">C3-D3</f>
        <v>108.20303999999683</v>
      </c>
      <c r="F3" s="75">
        <f>IF(E2&gt;F2,0,F2-E2)</f>
        <v>0</v>
      </c>
      <c r="G3" s="75">
        <f>IF(E3&lt;F3,0,(E3-F3)*Valuation!$D$27)</f>
        <v>32.460911999999048</v>
      </c>
      <c r="H3" s="75">
        <f t="shared" si="0"/>
        <v>75.742127999997791</v>
      </c>
      <c r="I3" s="75">
        <f>Valuation!D106</f>
        <v>14.520000000000003</v>
      </c>
      <c r="J3" s="75">
        <f t="shared" si="1"/>
        <v>4.8400000000000007</v>
      </c>
      <c r="K3" s="75">
        <f>(B3-B2)*Valuation!G63</f>
        <v>37.517370000000021</v>
      </c>
      <c r="L3" s="75">
        <f t="shared" ref="L3:L12" si="3">H3+J3-I3-K3</f>
        <v>28.544757999997763</v>
      </c>
    </row>
    <row r="4" spans="1:12">
      <c r="A4">
        <f>Valuation!E98</f>
        <v>3</v>
      </c>
      <c r="B4" s="75">
        <f>Valuation!E99</f>
        <v>56474.330000000016</v>
      </c>
      <c r="C4" s="75">
        <f>Valuation!E99-Valuation!E100</f>
        <v>124.34734399999434</v>
      </c>
      <c r="D4" s="75">
        <f>Valuation!E101</f>
        <v>5.3240000000000016</v>
      </c>
      <c r="E4" s="75">
        <f t="shared" si="2"/>
        <v>119.02334399999434</v>
      </c>
      <c r="F4" s="75">
        <f t="shared" ref="F4:F12" si="4">IF(E3&gt;F3,0,F3-E3)</f>
        <v>0</v>
      </c>
      <c r="G4" s="75">
        <f>IF(E4&lt;F4,0,(E4-F4)*Valuation!$D$27)</f>
        <v>35.707003199998297</v>
      </c>
      <c r="H4" s="75">
        <f t="shared" si="0"/>
        <v>83.316340799996041</v>
      </c>
      <c r="I4" s="75">
        <f>Valuation!E106</f>
        <v>15.972000000000005</v>
      </c>
      <c r="J4" s="75">
        <f t="shared" si="1"/>
        <v>5.3240000000000016</v>
      </c>
      <c r="K4" s="75">
        <f>(B4-B3)*Valuation!G64</f>
        <v>41.269107000000048</v>
      </c>
      <c r="L4" s="75">
        <f t="shared" si="3"/>
        <v>31.399233799995983</v>
      </c>
    </row>
    <row r="5" spans="1:12">
      <c r="A5">
        <f>Valuation!F98</f>
        <v>4</v>
      </c>
      <c r="B5" s="75">
        <f>Valuation!F99</f>
        <v>62121.763000000021</v>
      </c>
      <c r="C5" s="75">
        <f>Valuation!F99-Valuation!F100</f>
        <v>136.78207839999959</v>
      </c>
      <c r="D5" s="75">
        <f>Valuation!F101</f>
        <v>5.8564000000000025</v>
      </c>
      <c r="E5" s="75">
        <f t="shared" si="2"/>
        <v>130.92567839999958</v>
      </c>
      <c r="F5" s="75">
        <f t="shared" si="4"/>
        <v>0</v>
      </c>
      <c r="G5" s="75">
        <f>IF(E5&lt;F5,0,(E5-F5)*Valuation!$D$27)</f>
        <v>39.277703519999875</v>
      </c>
      <c r="H5" s="75">
        <f t="shared" si="0"/>
        <v>91.647974879999708</v>
      </c>
      <c r="I5" s="75">
        <f>Valuation!F106</f>
        <v>17.569200000000006</v>
      </c>
      <c r="J5" s="75">
        <f t="shared" si="1"/>
        <v>5.8564000000000025</v>
      </c>
      <c r="K5" s="75">
        <f>(B5-B4)*Valuation!G65</f>
        <v>45.396017700000037</v>
      </c>
      <c r="L5" s="75">
        <f t="shared" si="3"/>
        <v>34.53915717999967</v>
      </c>
    </row>
    <row r="6" spans="1:12">
      <c r="A6">
        <f>Valuation!G98</f>
        <v>5</v>
      </c>
      <c r="B6" s="75">
        <f>Valuation!G99</f>
        <v>68333.939300000027</v>
      </c>
      <c r="C6" s="75">
        <f>Valuation!G99-Valuation!G100</f>
        <v>150.46028623999155</v>
      </c>
      <c r="D6" s="75">
        <f>Valuation!G101</f>
        <v>6.4420400000000031</v>
      </c>
      <c r="E6" s="75">
        <f t="shared" si="2"/>
        <v>144.01824623999156</v>
      </c>
      <c r="F6" s="75">
        <f t="shared" si="4"/>
        <v>0</v>
      </c>
      <c r="G6" s="75">
        <f>IF(E6&lt;F6,0,(E6-F6)*Valuation!$D$27)</f>
        <v>43.205473871997462</v>
      </c>
      <c r="H6" s="75">
        <f t="shared" si="0"/>
        <v>100.81277236799409</v>
      </c>
      <c r="I6" s="75">
        <f>Valuation!G106</f>
        <v>19.326120000000007</v>
      </c>
      <c r="J6" s="75">
        <f t="shared" si="1"/>
        <v>6.4420400000000031</v>
      </c>
      <c r="K6" s="75">
        <f>(B6-B5)*Valuation!G66</f>
        <v>49.935619470000049</v>
      </c>
      <c r="L6" s="75">
        <f t="shared" si="3"/>
        <v>37.99307289799404</v>
      </c>
    </row>
    <row r="7" spans="1:12">
      <c r="A7">
        <f>Valuation!H98</f>
        <v>6</v>
      </c>
      <c r="B7" s="75">
        <f>Valuation!H99</f>
        <v>75167.333230000033</v>
      </c>
      <c r="C7" s="75">
        <f>Valuation!H99-Valuation!H100</f>
        <v>165.5063148640038</v>
      </c>
      <c r="D7" s="75">
        <f>Valuation!H101</f>
        <v>7.0862440000000042</v>
      </c>
      <c r="E7" s="75">
        <f t="shared" si="2"/>
        <v>158.4200708640038</v>
      </c>
      <c r="F7" s="75">
        <f t="shared" si="4"/>
        <v>0</v>
      </c>
      <c r="G7" s="75">
        <f>IF(E7&lt;F7,0,(E7-F7)*Valuation!$D$27)</f>
        <v>47.526021259201137</v>
      </c>
      <c r="H7" s="75">
        <f t="shared" si="0"/>
        <v>110.89404960480266</v>
      </c>
      <c r="I7" s="75">
        <f>Valuation!H106</f>
        <v>21.258732000000009</v>
      </c>
      <c r="J7" s="75">
        <f t="shared" si="1"/>
        <v>7.0862440000000042</v>
      </c>
      <c r="K7" s="75">
        <f>(B7-B6)*Valuation!G67</f>
        <v>54.929181417000045</v>
      </c>
      <c r="L7" s="75">
        <f t="shared" si="3"/>
        <v>41.792380187802614</v>
      </c>
    </row>
    <row r="8" spans="1:12">
      <c r="A8" t="str">
        <f>Valuation!I98</f>
        <v xml:space="preserve"> </v>
      </c>
      <c r="B8" s="75">
        <f>Valuation!I99</f>
        <v>0</v>
      </c>
      <c r="C8" s="75">
        <f>Valuation!I99-Valuation!I100</f>
        <v>0</v>
      </c>
      <c r="D8" s="75">
        <f>Valuation!I101</f>
        <v>0</v>
      </c>
      <c r="E8" s="75">
        <f t="shared" si="2"/>
        <v>0</v>
      </c>
      <c r="F8" s="75">
        <f t="shared" si="4"/>
        <v>0</v>
      </c>
      <c r="G8" s="75">
        <f>IF(E8&lt;F8,0,(E8-F8)*Valuation!$D$27)</f>
        <v>0</v>
      </c>
      <c r="H8" s="75">
        <f t="shared" si="0"/>
        <v>0</v>
      </c>
      <c r="I8" s="75">
        <f>Valuation!I106</f>
        <v>0</v>
      </c>
      <c r="J8" s="75">
        <f t="shared" si="1"/>
        <v>0</v>
      </c>
      <c r="K8" s="75">
        <f>(B8-B7)*Valuation!G68</f>
        <v>-604.22099558700017</v>
      </c>
      <c r="L8" s="75">
        <f t="shared" si="3"/>
        <v>604.22099558700017</v>
      </c>
    </row>
    <row r="9" spans="1:12">
      <c r="A9" t="str">
        <f>Valuation!J98</f>
        <v xml:space="preserve"> </v>
      </c>
      <c r="B9" s="75">
        <f>Valuation!J99</f>
        <v>0</v>
      </c>
      <c r="C9" s="75">
        <f>Valuation!J99-Valuation!J100</f>
        <v>0</v>
      </c>
      <c r="D9" s="75">
        <f>Valuation!J101</f>
        <v>0</v>
      </c>
      <c r="E9" s="75">
        <f t="shared" si="2"/>
        <v>0</v>
      </c>
      <c r="F9" s="75">
        <f t="shared" si="4"/>
        <v>0</v>
      </c>
      <c r="G9" s="75">
        <f>IF(E9&lt;F9,0,(E9-F9)*Valuation!$D$27)</f>
        <v>0</v>
      </c>
      <c r="H9" s="75">
        <f t="shared" si="0"/>
        <v>0</v>
      </c>
      <c r="I9" s="75">
        <f>Valuation!J106</f>
        <v>0</v>
      </c>
      <c r="J9" s="75">
        <f t="shared" si="1"/>
        <v>0</v>
      </c>
      <c r="K9" s="75">
        <f>(B9-B8)*Valuation!G69</f>
        <v>0</v>
      </c>
      <c r="L9" s="75">
        <f t="shared" si="3"/>
        <v>0</v>
      </c>
    </row>
    <row r="10" spans="1:12">
      <c r="A10" t="str">
        <f>Valuation!K98</f>
        <v xml:space="preserve"> </v>
      </c>
      <c r="B10" s="75">
        <f>Valuation!K99</f>
        <v>0</v>
      </c>
      <c r="C10" s="75">
        <f>Valuation!K99-Valuation!K100</f>
        <v>0</v>
      </c>
      <c r="D10" s="75">
        <f>Valuation!K101</f>
        <v>0</v>
      </c>
      <c r="E10" s="75">
        <f t="shared" si="2"/>
        <v>0</v>
      </c>
      <c r="F10" s="75">
        <f t="shared" si="4"/>
        <v>0</v>
      </c>
      <c r="G10" s="75">
        <f>IF(E10&lt;F10,0,(E10-F10)*Valuation!$D$27)</f>
        <v>0</v>
      </c>
      <c r="H10" s="75">
        <f t="shared" si="0"/>
        <v>0</v>
      </c>
      <c r="I10" s="75">
        <f>Valuation!K106</f>
        <v>0</v>
      </c>
      <c r="J10" s="75">
        <f t="shared" si="1"/>
        <v>0</v>
      </c>
      <c r="K10" s="75">
        <f>(B10-B9)*Valuation!G70</f>
        <v>0</v>
      </c>
      <c r="L10" s="75">
        <f t="shared" si="3"/>
        <v>0</v>
      </c>
    </row>
    <row r="11" spans="1:12">
      <c r="A11" t="str">
        <f>Valuation!L98</f>
        <v xml:space="preserve"> </v>
      </c>
      <c r="B11" s="75">
        <f>Valuation!L99</f>
        <v>0</v>
      </c>
      <c r="C11" s="75">
        <f>Valuation!L99-Valuation!L100</f>
        <v>0</v>
      </c>
      <c r="D11" s="75">
        <f>Valuation!L101</f>
        <v>0</v>
      </c>
      <c r="E11" s="75">
        <f t="shared" si="2"/>
        <v>0</v>
      </c>
      <c r="F11" s="75">
        <f t="shared" si="4"/>
        <v>0</v>
      </c>
      <c r="G11" s="75">
        <f>IF(E11&lt;F11,0,(E11-F11)*Valuation!$D$27)</f>
        <v>0</v>
      </c>
      <c r="H11" s="75">
        <f t="shared" si="0"/>
        <v>0</v>
      </c>
      <c r="I11" s="75">
        <f>Valuation!L106</f>
        <v>0</v>
      </c>
      <c r="J11" s="75">
        <f t="shared" si="1"/>
        <v>0</v>
      </c>
      <c r="K11" s="75">
        <f>(B11-B10)*Valuation!G71</f>
        <v>0</v>
      </c>
      <c r="L11" s="75">
        <f t="shared" si="3"/>
        <v>0</v>
      </c>
    </row>
    <row r="12" spans="1:12">
      <c r="A12" t="s">
        <v>45</v>
      </c>
      <c r="B12" s="75">
        <f>Valuation!M99</f>
        <v>81180.719888400039</v>
      </c>
      <c r="C12" s="75">
        <f>Valuation!M99-Valuation!M100</f>
        <v>178.74682005311479</v>
      </c>
      <c r="D12" s="75">
        <f>Valuation!M101</f>
        <v>7.6531435200000049</v>
      </c>
      <c r="E12" s="75">
        <f t="shared" si="2"/>
        <v>171.09367653311477</v>
      </c>
      <c r="F12" s="75">
        <f t="shared" si="4"/>
        <v>0</v>
      </c>
      <c r="G12" s="75">
        <f>IF(E12&lt;F12,0,(E12-F12)*Valuation!$D$27)</f>
        <v>51.328102959934434</v>
      </c>
      <c r="H12" s="75">
        <f t="shared" si="0"/>
        <v>119.76557357318035</v>
      </c>
      <c r="I12" s="75">
        <f>Valuation!M106</f>
        <v>37.468997014590144</v>
      </c>
      <c r="J12" s="75">
        <f t="shared" si="1"/>
        <v>7.6531435200000049</v>
      </c>
      <c r="K12" s="75">
        <f>(B12-B11)*Valuation!E75</f>
        <v>405.9035994420002</v>
      </c>
      <c r="L12" s="75">
        <f t="shared" si="3"/>
        <v>-315.95387936341001</v>
      </c>
    </row>
    <row r="15" spans="1:12">
      <c r="H15">
        <f>5/12</f>
        <v>0.41666666666666669</v>
      </c>
    </row>
  </sheetData>
  <pageMargins left="0.75" right="0.75" top="1" bottom="1" header="0.5" footer="0.5"/>
  <pageSetup paperSize="0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D193-40DE-4CCC-80C0-5918E29C5DC3}">
  <dimension ref="A1:N139"/>
  <sheetViews>
    <sheetView showGridLines="0" showZeros="0" tabSelected="1" topLeftCell="C63" workbookViewId="0">
      <selection activeCell="M63" sqref="M63"/>
    </sheetView>
  </sheetViews>
  <sheetFormatPr defaultRowHeight="12.75"/>
  <cols>
    <col min="1" max="1" width="2.7109375" customWidth="1"/>
    <col min="2" max="8" width="12.7109375" customWidth="1"/>
    <col min="9" max="12" width="11.42578125" customWidth="1"/>
    <col min="13" max="13" width="12.7109375" customWidth="1"/>
    <col min="14" max="256" width="11.42578125" customWidth="1"/>
  </cols>
  <sheetData>
    <row r="1" spans="2:9" ht="20.100000000000001" customHeight="1">
      <c r="B1" s="1" t="s">
        <v>46</v>
      </c>
      <c r="C1" s="2"/>
      <c r="D1" s="2"/>
      <c r="E1" s="2"/>
      <c r="F1" s="2"/>
      <c r="G1" s="2"/>
      <c r="H1" s="2"/>
      <c r="I1" s="2"/>
    </row>
    <row r="2" spans="2:9" ht="20.100000000000001" customHeight="1" thickBot="1">
      <c r="B2" s="1" t="s">
        <v>47</v>
      </c>
      <c r="C2" s="2"/>
      <c r="D2" s="2"/>
      <c r="E2" s="2"/>
      <c r="F2" s="2"/>
      <c r="G2" s="2"/>
      <c r="H2" s="2"/>
      <c r="I2" s="2"/>
    </row>
    <row r="3" spans="2:9" s="8" customFormat="1" ht="20.100000000000001" customHeight="1">
      <c r="B3" s="3" t="s">
        <v>48</v>
      </c>
      <c r="C3" s="28"/>
      <c r="D3" s="29"/>
      <c r="E3" s="29"/>
      <c r="F3" s="29"/>
      <c r="G3" s="29"/>
      <c r="H3" s="30"/>
      <c r="I3" s="31"/>
    </row>
    <row r="4" spans="2:9" s="8" customFormat="1" ht="20.100000000000001" customHeight="1" thickBot="1">
      <c r="B4" s="3" t="s">
        <v>49</v>
      </c>
      <c r="C4" s="32"/>
      <c r="D4" s="33"/>
      <c r="E4" s="33"/>
      <c r="F4" s="33"/>
      <c r="G4" s="33"/>
      <c r="H4" s="34"/>
      <c r="I4" s="31"/>
    </row>
    <row r="5" spans="2:9" s="8" customFormat="1" ht="20.100000000000001" customHeight="1"/>
    <row r="6" spans="2:9" s="8" customFormat="1" ht="20.100000000000001" customHeight="1">
      <c r="B6" s="11" t="s">
        <v>50</v>
      </c>
    </row>
    <row r="7" spans="2:9" s="8" customFormat="1" ht="20.100000000000001" customHeight="1">
      <c r="B7" s="8" t="s">
        <v>51</v>
      </c>
    </row>
    <row r="8" spans="2:9" s="8" customFormat="1" ht="20.100000000000001" customHeight="1">
      <c r="B8" s="8" t="s">
        <v>52</v>
      </c>
    </row>
    <row r="9" spans="2:9" s="8" customFormat="1" ht="20.100000000000001" customHeight="1">
      <c r="B9" s="8" t="s">
        <v>53</v>
      </c>
    </row>
    <row r="10" spans="2:9" s="8" customFormat="1" ht="20.100000000000001" customHeight="1"/>
    <row r="11" spans="2:9" s="8" customFormat="1" ht="20.100000000000001" customHeight="1">
      <c r="B11" s="11" t="s">
        <v>54</v>
      </c>
    </row>
    <row r="12" spans="2:9" s="8" customFormat="1" ht="20.100000000000001" customHeight="1">
      <c r="B12" s="8" t="s">
        <v>55</v>
      </c>
    </row>
    <row r="13" spans="2:9" s="8" customFormat="1" ht="20.100000000000001" customHeight="1">
      <c r="B13" s="8" t="s">
        <v>56</v>
      </c>
    </row>
    <row r="14" spans="2:9" s="8" customFormat="1" ht="20.100000000000001" customHeight="1">
      <c r="B14" s="8" t="s">
        <v>57</v>
      </c>
    </row>
    <row r="15" spans="2:9" s="8" customFormat="1" ht="20.100000000000001" customHeight="1">
      <c r="B15" s="8" t="s">
        <v>58</v>
      </c>
    </row>
    <row r="16" spans="2:9" s="8" customFormat="1" ht="20.100000000000001" customHeight="1">
      <c r="B16" s="8" t="s">
        <v>59</v>
      </c>
    </row>
    <row r="17" spans="1:9" s="8" customFormat="1" ht="20.100000000000001" customHeight="1"/>
    <row r="18" spans="1:9" s="8" customFormat="1" ht="20.100000000000001" customHeight="1"/>
    <row r="19" spans="1:9" s="8" customFormat="1" ht="20.100000000000001" customHeight="1"/>
    <row r="20" spans="1:9" s="8" customFormat="1" ht="20.100000000000001" customHeight="1">
      <c r="A20" s="31"/>
      <c r="B20" s="42" t="s">
        <v>60</v>
      </c>
      <c r="C20" s="31"/>
      <c r="D20" s="31"/>
      <c r="E20" s="31"/>
      <c r="F20" s="31"/>
      <c r="G20" s="31"/>
      <c r="H20" s="31"/>
      <c r="I20" s="31"/>
    </row>
    <row r="21" spans="1:9" s="8" customFormat="1" ht="20.100000000000001" customHeight="1">
      <c r="B21" s="8" t="s">
        <v>61</v>
      </c>
      <c r="D21" s="63">
        <v>93.424000000000007</v>
      </c>
      <c r="E21" s="38" t="s">
        <v>62</v>
      </c>
    </row>
    <row r="22" spans="1:9" s="8" customFormat="1" ht="20.100000000000001" customHeight="1">
      <c r="B22" s="8" t="s">
        <v>63</v>
      </c>
      <c r="D22" s="63">
        <v>-76.38</v>
      </c>
      <c r="E22" s="38" t="s">
        <v>62</v>
      </c>
    </row>
    <row r="23" spans="1:9" s="8" customFormat="1" ht="20.100000000000001" customHeight="1">
      <c r="B23" s="8" t="s">
        <v>64</v>
      </c>
      <c r="D23" s="63">
        <v>0</v>
      </c>
      <c r="E23" s="38" t="s">
        <v>65</v>
      </c>
    </row>
    <row r="24" spans="1:9" s="8" customFormat="1" ht="20.100000000000001" customHeight="1">
      <c r="B24" s="8" t="s">
        <v>66</v>
      </c>
      <c r="D24" s="63">
        <v>98.744</v>
      </c>
      <c r="E24" s="38" t="s">
        <v>62</v>
      </c>
    </row>
    <row r="25" spans="1:9" s="8" customFormat="1" ht="20.100000000000001" customHeight="1">
      <c r="B25" s="8" t="s">
        <v>67</v>
      </c>
      <c r="D25" s="63">
        <v>12</v>
      </c>
      <c r="E25" s="38" t="s">
        <v>62</v>
      </c>
    </row>
    <row r="26" spans="1:9" s="8" customFormat="1" ht="20.100000000000001" customHeight="1">
      <c r="B26" s="8" t="s">
        <v>68</v>
      </c>
      <c r="D26" s="63">
        <v>4</v>
      </c>
      <c r="E26" s="38" t="s">
        <v>62</v>
      </c>
    </row>
    <row r="27" spans="1:9" s="8" customFormat="1" ht="20.100000000000001" customHeight="1">
      <c r="B27" s="8" t="s">
        <v>69</v>
      </c>
      <c r="D27" s="64">
        <v>0.3</v>
      </c>
      <c r="E27" s="38" t="s">
        <v>70</v>
      </c>
    </row>
    <row r="28" spans="1:9" s="8" customFormat="1" ht="20.100000000000001" customHeight="1">
      <c r="B28" s="8" t="s">
        <v>71</v>
      </c>
      <c r="D28" s="63">
        <v>42430</v>
      </c>
      <c r="E28" s="38" t="s">
        <v>65</v>
      </c>
    </row>
    <row r="29" spans="1:9" s="8" customFormat="1" ht="20.100000000000001" customHeight="1">
      <c r="B29" s="8" t="s">
        <v>72</v>
      </c>
      <c r="D29" s="63">
        <f>315.773+56.366+585.85-447.635-169.287</f>
        <v>341.06700000000001</v>
      </c>
      <c r="E29" s="38" t="s">
        <v>62</v>
      </c>
    </row>
    <row r="30" spans="1:9" s="8" customFormat="1" ht="20.100000000000001" customHeight="1">
      <c r="B30" s="8" t="s">
        <v>73</v>
      </c>
      <c r="D30" s="63">
        <f>D29-(140.656+48.907+957.96-471.984-101.324)</f>
        <v>-233.14800000000025</v>
      </c>
      <c r="E30" s="38" t="s">
        <v>62</v>
      </c>
    </row>
    <row r="31" spans="1:9" s="8" customFormat="1" ht="20.100000000000001" customHeight="1">
      <c r="B31" s="8" t="s">
        <v>74</v>
      </c>
      <c r="D31" s="63">
        <f>58.376+22.08</f>
        <v>80.455999999999989</v>
      </c>
      <c r="E31" s="38"/>
    </row>
    <row r="32" spans="1:9" s="8" customFormat="1" ht="20.100000000000001" customHeight="1">
      <c r="B32" s="8" t="s">
        <v>75</v>
      </c>
      <c r="D32" s="63">
        <f>639.869+207.864</f>
        <v>847.73300000000006</v>
      </c>
      <c r="E32" s="38" t="s">
        <v>65</v>
      </c>
    </row>
    <row r="33" spans="2:8" s="8" customFormat="1" ht="20.100000000000001" customHeight="1">
      <c r="B33" s="8" t="s">
        <v>76</v>
      </c>
      <c r="D33" s="63">
        <v>329.47699999999998</v>
      </c>
      <c r="E33" s="38" t="s">
        <v>62</v>
      </c>
    </row>
    <row r="34" spans="2:8" s="8" customFormat="1" ht="20.100000000000001" customHeight="1">
      <c r="B34" s="8" t="s">
        <v>77</v>
      </c>
      <c r="D34" s="63">
        <v>0</v>
      </c>
      <c r="E34" s="38"/>
    </row>
    <row r="35" spans="2:8" s="8" customFormat="1" ht="20.100000000000001" customHeight="1">
      <c r="D35" s="44"/>
      <c r="E35" s="38"/>
    </row>
    <row r="36" spans="2:8" s="35" customFormat="1" ht="20.100000000000001" customHeight="1">
      <c r="B36" s="35" t="s">
        <v>78</v>
      </c>
      <c r="D36" s="45"/>
      <c r="E36" s="46"/>
    </row>
    <row r="37" spans="2:8" s="8" customFormat="1" ht="20.100000000000001" customHeight="1">
      <c r="B37" s="8" t="s">
        <v>79</v>
      </c>
      <c r="F37" s="63" t="s">
        <v>80</v>
      </c>
      <c r="G37" s="38" t="s">
        <v>81</v>
      </c>
    </row>
    <row r="38" spans="2:8" s="8" customFormat="1" ht="20.100000000000001" customHeight="1">
      <c r="F38" s="47"/>
      <c r="G38" s="38"/>
    </row>
    <row r="39" spans="2:8" s="8" customFormat="1" ht="20.100000000000001" customHeight="1">
      <c r="B39" s="8" t="s">
        <v>82</v>
      </c>
      <c r="F39" s="43">
        <v>2220</v>
      </c>
      <c r="G39" s="38" t="s">
        <v>62</v>
      </c>
    </row>
    <row r="40" spans="2:8" s="8" customFormat="1" ht="20.100000000000001" customHeight="1">
      <c r="B40" s="8" t="s">
        <v>83</v>
      </c>
      <c r="F40" s="76">
        <v>7.3569999999999997E-2</v>
      </c>
      <c r="G40" s="38" t="s">
        <v>84</v>
      </c>
      <c r="H40" s="77"/>
    </row>
    <row r="41" spans="2:8" s="8" customFormat="1" ht="20.100000000000001" customHeight="1">
      <c r="B41" s="8" t="s">
        <v>85</v>
      </c>
      <c r="F41" s="43">
        <f>D32</f>
        <v>847.73300000000006</v>
      </c>
      <c r="G41" s="38" t="s">
        <v>65</v>
      </c>
    </row>
    <row r="42" spans="2:8" s="8" customFormat="1" ht="20.100000000000001" customHeight="1">
      <c r="D42" s="44"/>
      <c r="E42" s="38"/>
    </row>
    <row r="43" spans="2:8" s="8" customFormat="1" ht="20.100000000000001" customHeight="1">
      <c r="B43" s="8" t="s">
        <v>86</v>
      </c>
      <c r="D43" s="44"/>
      <c r="E43" s="38"/>
      <c r="F43" s="65"/>
      <c r="G43" s="38" t="s">
        <v>87</v>
      </c>
    </row>
    <row r="44" spans="2:8" s="8" customFormat="1" ht="20.100000000000001" customHeight="1">
      <c r="B44" s="8" t="s">
        <v>88</v>
      </c>
      <c r="D44" s="44"/>
      <c r="E44" s="38"/>
      <c r="F44" s="65"/>
      <c r="G44" s="38" t="s">
        <v>70</v>
      </c>
    </row>
    <row r="45" spans="2:8" s="8" customFormat="1" ht="20.100000000000001" customHeight="1">
      <c r="D45" s="44"/>
      <c r="E45" s="38"/>
    </row>
    <row r="46" spans="2:8" s="8" customFormat="1" ht="20.100000000000001" customHeight="1">
      <c r="B46" s="8" t="s">
        <v>89</v>
      </c>
      <c r="E46" s="66">
        <v>6</v>
      </c>
      <c r="F46" s="38" t="s">
        <v>90</v>
      </c>
    </row>
    <row r="47" spans="2:8" s="8" customFormat="1" ht="20.100000000000001" customHeight="1">
      <c r="E47" s="48"/>
      <c r="F47" s="38"/>
    </row>
    <row r="48" spans="2:8" s="8" customFormat="1" ht="20.100000000000001" customHeight="1">
      <c r="B48" s="35" t="s">
        <v>91</v>
      </c>
    </row>
    <row r="49" spans="2:7" s="8" customFormat="1" ht="20.100000000000001" customHeight="1">
      <c r="B49" s="8" t="s">
        <v>92</v>
      </c>
      <c r="E49" s="67" t="s">
        <v>93</v>
      </c>
      <c r="F49" s="38" t="s">
        <v>87</v>
      </c>
    </row>
    <row r="50" spans="2:7" s="8" customFormat="1" ht="20.100000000000001" customHeight="1">
      <c r="B50" s="8" t="s">
        <v>94</v>
      </c>
      <c r="E50" s="68"/>
      <c r="F50" s="38" t="s">
        <v>70</v>
      </c>
    </row>
    <row r="51" spans="2:7" s="8" customFormat="1" ht="20.100000000000001" customHeight="1">
      <c r="B51" s="50" t="s">
        <v>95</v>
      </c>
      <c r="F51" s="38"/>
    </row>
    <row r="52" spans="2:7" s="8" customFormat="1" ht="20.100000000000001" customHeight="1">
      <c r="B52" s="8" t="s">
        <v>96</v>
      </c>
      <c r="D52" s="69">
        <v>2.6</v>
      </c>
      <c r="F52" s="38"/>
    </row>
    <row r="53" spans="2:7" s="8" customFormat="1" ht="20.100000000000001" customHeight="1">
      <c r="B53" s="8" t="s">
        <v>97</v>
      </c>
      <c r="D53" s="68">
        <v>0.09</v>
      </c>
      <c r="E53" s="38" t="s">
        <v>70</v>
      </c>
      <c r="F53" s="38"/>
    </row>
    <row r="54" spans="2:7" s="8" customFormat="1" ht="20.100000000000001" customHeight="1">
      <c r="B54" s="8" t="s">
        <v>98</v>
      </c>
      <c r="D54" s="68">
        <v>7.0000000000000007E-2</v>
      </c>
      <c r="E54" s="38" t="s">
        <v>70</v>
      </c>
      <c r="F54" s="38"/>
    </row>
    <row r="55" spans="2:7" s="8" customFormat="1" ht="20.100000000000001" customHeight="1">
      <c r="D55" s="40"/>
      <c r="E55" s="38"/>
      <c r="F55" s="38"/>
    </row>
    <row r="56" spans="2:7" s="8" customFormat="1" ht="20.100000000000001" customHeight="1">
      <c r="B56" s="8" t="s">
        <v>99</v>
      </c>
      <c r="D56" s="40"/>
      <c r="E56" s="68">
        <v>0.125</v>
      </c>
      <c r="F56" s="38" t="s">
        <v>100</v>
      </c>
    </row>
    <row r="57" spans="2:7" s="8" customFormat="1" ht="20.100000000000001" customHeight="1">
      <c r="D57" s="40"/>
      <c r="E57" s="38"/>
      <c r="F57" s="38"/>
    </row>
    <row r="58" spans="2:7" s="8" customFormat="1" ht="20.100000000000001" customHeight="1">
      <c r="B58" s="35" t="s">
        <v>101</v>
      </c>
      <c r="F58" s="38"/>
    </row>
    <row r="59" spans="2:7" s="8" customFormat="1" ht="20.100000000000001" customHeight="1">
      <c r="B59" s="35" t="s">
        <v>102</v>
      </c>
      <c r="F59" s="38"/>
    </row>
    <row r="60" spans="2:7" s="8" customFormat="1" ht="20.100000000000001" customHeight="1">
      <c r="B60" s="38" t="s">
        <v>0</v>
      </c>
      <c r="C60" s="51" t="s">
        <v>103</v>
      </c>
      <c r="D60" s="51" t="s">
        <v>104</v>
      </c>
      <c r="E60" s="51" t="s">
        <v>103</v>
      </c>
      <c r="F60" s="51" t="s">
        <v>103</v>
      </c>
      <c r="G60" s="51" t="s">
        <v>105</v>
      </c>
    </row>
    <row r="61" spans="2:7" s="8" customFormat="1" ht="20.100000000000001" customHeight="1">
      <c r="B61" s="46"/>
      <c r="C61" s="51" t="s">
        <v>106</v>
      </c>
      <c r="D61" s="51"/>
      <c r="E61" s="51" t="s">
        <v>107</v>
      </c>
      <c r="F61" s="51" t="s">
        <v>38</v>
      </c>
      <c r="G61" s="51" t="s">
        <v>108</v>
      </c>
    </row>
    <row r="62" spans="2:7" s="8" customFormat="1" ht="20.100000000000001" customHeight="1">
      <c r="B62" s="38">
        <f>IF($E$46&gt;0,1,0)</f>
        <v>1</v>
      </c>
      <c r="C62" s="49">
        <v>0.1</v>
      </c>
      <c r="D62" s="68">
        <f>D21/D28</f>
        <v>2.2018383219420223E-3</v>
      </c>
      <c r="E62" s="70">
        <f>C62</f>
        <v>0.1</v>
      </c>
      <c r="F62" s="70">
        <f>E62</f>
        <v>0.1</v>
      </c>
      <c r="G62" s="68">
        <f>D29/D28</f>
        <v>8.0383455102521796E-3</v>
      </c>
    </row>
    <row r="63" spans="2:7" s="8" customFormat="1" ht="20.100000000000001" customHeight="1">
      <c r="B63" s="38">
        <f>IF($E$46&gt;1,2,0)</f>
        <v>2</v>
      </c>
      <c r="C63" s="49">
        <v>0.1</v>
      </c>
      <c r="D63" s="68">
        <f>D62</f>
        <v>2.2018383219420223E-3</v>
      </c>
      <c r="E63" s="70">
        <f t="shared" ref="E63:E71" si="0">C63</f>
        <v>0.1</v>
      </c>
      <c r="F63" s="70">
        <f t="shared" ref="F63:F71" si="1">E63</f>
        <v>0.1</v>
      </c>
      <c r="G63" s="68">
        <f t="shared" ref="G63:G71" si="2">G62</f>
        <v>8.0383455102521796E-3</v>
      </c>
    </row>
    <row r="64" spans="2:7" s="8" customFormat="1" ht="20.100000000000001" customHeight="1">
      <c r="B64" s="38">
        <f>IF($E$46&gt;2,3,0)</f>
        <v>3</v>
      </c>
      <c r="C64" s="49">
        <v>0.1</v>
      </c>
      <c r="D64" s="68">
        <f>D63</f>
        <v>2.2018383219420223E-3</v>
      </c>
      <c r="E64" s="70">
        <f t="shared" si="0"/>
        <v>0.1</v>
      </c>
      <c r="F64" s="70">
        <f t="shared" si="1"/>
        <v>0.1</v>
      </c>
      <c r="G64" s="68">
        <f t="shared" si="2"/>
        <v>8.0383455102521796E-3</v>
      </c>
    </row>
    <row r="65" spans="2:7" s="8" customFormat="1" ht="20.100000000000001" customHeight="1">
      <c r="B65" s="38">
        <f>IF($E$46&gt;3,4,0)</f>
        <v>4</v>
      </c>
      <c r="C65" s="49">
        <v>0.1</v>
      </c>
      <c r="D65" s="68">
        <f>D64</f>
        <v>2.2018383219420223E-3</v>
      </c>
      <c r="E65" s="70">
        <f t="shared" si="0"/>
        <v>0.1</v>
      </c>
      <c r="F65" s="70">
        <f t="shared" si="1"/>
        <v>0.1</v>
      </c>
      <c r="G65" s="68">
        <f t="shared" si="2"/>
        <v>8.0383455102521796E-3</v>
      </c>
    </row>
    <row r="66" spans="2:7" s="8" customFormat="1" ht="20.100000000000001" customHeight="1">
      <c r="B66" s="38">
        <f>IF($E$46&gt;4,5,0)</f>
        <v>5</v>
      </c>
      <c r="C66" s="49">
        <v>0.1</v>
      </c>
      <c r="D66" s="68">
        <f>D65</f>
        <v>2.2018383219420223E-3</v>
      </c>
      <c r="E66" s="70">
        <f t="shared" si="0"/>
        <v>0.1</v>
      </c>
      <c r="F66" s="70">
        <f t="shared" si="1"/>
        <v>0.1</v>
      </c>
      <c r="G66" s="68">
        <f t="shared" si="2"/>
        <v>8.0383455102521796E-3</v>
      </c>
    </row>
    <row r="67" spans="2:7" s="8" customFormat="1" ht="20.100000000000001" customHeight="1">
      <c r="B67" s="38">
        <f>IF($E$46&gt;5,6,0)</f>
        <v>6</v>
      </c>
      <c r="C67" s="49">
        <v>0.1</v>
      </c>
      <c r="D67" s="68">
        <f>D66</f>
        <v>2.2018383219420223E-3</v>
      </c>
      <c r="E67" s="70">
        <f t="shared" si="0"/>
        <v>0.1</v>
      </c>
      <c r="F67" s="70">
        <f t="shared" si="1"/>
        <v>0.1</v>
      </c>
      <c r="G67" s="68">
        <f t="shared" si="2"/>
        <v>8.0383455102521796E-3</v>
      </c>
    </row>
    <row r="68" spans="2:7" s="8" customFormat="1" ht="20.100000000000001" customHeight="1">
      <c r="B68" s="38">
        <f>IF($E$46&gt;6,7,0)</f>
        <v>0</v>
      </c>
      <c r="C68" s="49">
        <v>0.1</v>
      </c>
      <c r="D68" s="68">
        <f>$D$66-((($D$66-$D$71)/5)*(B68-$B$66))</f>
        <v>2.2018383219420223E-3</v>
      </c>
      <c r="E68" s="70">
        <f t="shared" si="0"/>
        <v>0.1</v>
      </c>
      <c r="F68" s="70">
        <f t="shared" si="1"/>
        <v>0.1</v>
      </c>
      <c r="G68" s="68">
        <f t="shared" si="2"/>
        <v>8.0383455102521796E-3</v>
      </c>
    </row>
    <row r="69" spans="2:7" s="8" customFormat="1" ht="20.100000000000001" customHeight="1">
      <c r="B69" s="38">
        <f>IF($E$46&gt;7,8,0)</f>
        <v>0</v>
      </c>
      <c r="C69" s="49">
        <v>0.08</v>
      </c>
      <c r="D69" s="68">
        <f>$D$66-((($D$66-$D$71)/5)*(B69-$B$66))</f>
        <v>2.2018383219420223E-3</v>
      </c>
      <c r="E69" s="70">
        <f t="shared" si="0"/>
        <v>0.08</v>
      </c>
      <c r="F69" s="70">
        <f t="shared" si="1"/>
        <v>0.08</v>
      </c>
      <c r="G69" s="68">
        <f t="shared" si="2"/>
        <v>8.0383455102521796E-3</v>
      </c>
    </row>
    <row r="70" spans="2:7" s="8" customFormat="1" ht="20.100000000000001" customHeight="1">
      <c r="B70" s="38">
        <f>IF($E$46&gt;8,9,0)</f>
        <v>0</v>
      </c>
      <c r="C70" s="49">
        <v>0.06</v>
      </c>
      <c r="D70" s="68">
        <f>$D$66-((($D$66-$D$71)/5)*(B70-$B$66))</f>
        <v>2.2018383219420223E-3</v>
      </c>
      <c r="E70" s="70">
        <f t="shared" si="0"/>
        <v>0.06</v>
      </c>
      <c r="F70" s="70">
        <f t="shared" si="1"/>
        <v>0.06</v>
      </c>
      <c r="G70" s="68">
        <f t="shared" si="2"/>
        <v>8.0383455102521796E-3</v>
      </c>
    </row>
    <row r="71" spans="2:7" s="8" customFormat="1" ht="20.100000000000001" customHeight="1">
      <c r="B71" s="38">
        <f>IF($E$46&gt;9,10,0)</f>
        <v>0</v>
      </c>
      <c r="C71" s="74">
        <v>0.05</v>
      </c>
      <c r="D71" s="70">
        <f>E74</f>
        <v>2.2018383219420223E-3</v>
      </c>
      <c r="E71" s="70">
        <f t="shared" si="0"/>
        <v>0.05</v>
      </c>
      <c r="F71" s="70">
        <f t="shared" si="1"/>
        <v>0.05</v>
      </c>
      <c r="G71" s="68">
        <f t="shared" si="2"/>
        <v>8.0383455102521796E-3</v>
      </c>
    </row>
    <row r="72" spans="2:7" s="8" customFormat="1" ht="20.100000000000001" customHeight="1">
      <c r="B72" s="8" t="s">
        <v>109</v>
      </c>
      <c r="C72" s="36">
        <f>(L100/D28)^(1/10)-1</f>
        <v>-1</v>
      </c>
    </row>
    <row r="73" spans="2:7" s="8" customFormat="1" ht="20.100000000000001" customHeight="1">
      <c r="B73" s="8" t="s">
        <v>110</v>
      </c>
      <c r="E73" s="68">
        <v>0.08</v>
      </c>
      <c r="F73" s="38" t="s">
        <v>70</v>
      </c>
    </row>
    <row r="74" spans="2:7" s="8" customFormat="1" ht="20.100000000000001" customHeight="1">
      <c r="B74" s="8" t="s">
        <v>111</v>
      </c>
      <c r="E74" s="68">
        <f>D67</f>
        <v>2.2018383219420223E-3</v>
      </c>
      <c r="F74" s="38" t="s">
        <v>70</v>
      </c>
    </row>
    <row r="75" spans="2:7" s="8" customFormat="1" ht="20.100000000000001" customHeight="1">
      <c r="B75" s="8" t="s">
        <v>112</v>
      </c>
      <c r="E75" s="68">
        <v>5.0000000000000001E-3</v>
      </c>
      <c r="F75" s="38" t="s">
        <v>70</v>
      </c>
    </row>
    <row r="76" spans="2:7" s="8" customFormat="1" ht="20.100000000000001" customHeight="1">
      <c r="E76" s="40"/>
      <c r="F76" s="38"/>
    </row>
    <row r="77" spans="2:7" s="8" customFormat="1" ht="20.100000000000001" customHeight="1">
      <c r="B77" s="8" t="s">
        <v>113</v>
      </c>
      <c r="E77" s="71" t="s">
        <v>80</v>
      </c>
      <c r="F77" s="38" t="s">
        <v>87</v>
      </c>
    </row>
    <row r="78" spans="2:7" s="8" customFormat="1" ht="20.100000000000001" customHeight="1">
      <c r="B78" s="8" t="s">
        <v>114</v>
      </c>
      <c r="E78" s="72">
        <v>1</v>
      </c>
      <c r="F78" s="38"/>
    </row>
    <row r="79" spans="2:7" s="8" customFormat="1" ht="20.100000000000001" customHeight="1">
      <c r="E79" s="38"/>
      <c r="F79" s="38"/>
    </row>
    <row r="80" spans="2:7" s="8" customFormat="1" ht="20.100000000000001" customHeight="1">
      <c r="B80" s="8" t="s">
        <v>115</v>
      </c>
      <c r="E80" s="48"/>
      <c r="F80" s="71" t="s">
        <v>80</v>
      </c>
      <c r="G80" s="38" t="s">
        <v>87</v>
      </c>
    </row>
    <row r="81" spans="1:9" s="8" customFormat="1" ht="20.100000000000001" customHeight="1">
      <c r="B81" s="8" t="s">
        <v>116</v>
      </c>
      <c r="E81" s="48"/>
      <c r="F81" s="70">
        <v>0.5</v>
      </c>
      <c r="G81" s="38" t="s">
        <v>70</v>
      </c>
    </row>
    <row r="82" spans="1:9" s="8" customFormat="1" ht="20.100000000000001" customHeight="1">
      <c r="E82" s="48"/>
      <c r="F82" s="52"/>
    </row>
    <row r="83" spans="1:9" s="8" customFormat="1" ht="20.100000000000001" customHeight="1">
      <c r="B83" s="8" t="s">
        <v>117</v>
      </c>
      <c r="E83" s="71" t="s">
        <v>80</v>
      </c>
      <c r="F83" s="38" t="s">
        <v>87</v>
      </c>
    </row>
    <row r="84" spans="1:9" s="8" customFormat="1" ht="20.100000000000001" customHeight="1">
      <c r="B84" s="8" t="s">
        <v>118</v>
      </c>
      <c r="E84" s="68">
        <v>0.105</v>
      </c>
      <c r="F84" s="38" t="s">
        <v>100</v>
      </c>
    </row>
    <row r="85" spans="1:9" s="8" customFormat="1" ht="20.100000000000001" customHeight="1">
      <c r="E85" s="53"/>
      <c r="F85" s="38"/>
    </row>
    <row r="86" spans="1:9" s="8" customFormat="1" ht="20.100000000000001" customHeight="1">
      <c r="B86" s="50" t="s">
        <v>119</v>
      </c>
      <c r="E86" s="38"/>
      <c r="F86" s="38"/>
    </row>
    <row r="87" spans="1:9" s="8" customFormat="1" ht="20.100000000000001" customHeight="1">
      <c r="B87" s="8" t="s">
        <v>120</v>
      </c>
      <c r="E87" s="54"/>
      <c r="F87" s="71" t="s">
        <v>80</v>
      </c>
      <c r="G87" s="38" t="s">
        <v>87</v>
      </c>
    </row>
    <row r="88" spans="1:9" s="8" customFormat="1" ht="20.100000000000001" customHeight="1">
      <c r="B88" s="8" t="s">
        <v>121</v>
      </c>
      <c r="E88" s="54"/>
      <c r="F88" s="70">
        <v>0.16</v>
      </c>
      <c r="G88" s="38"/>
    </row>
    <row r="89" spans="1:9" s="8" customFormat="1" ht="20.100000000000001" customHeight="1">
      <c r="B89" s="8" t="s">
        <v>122</v>
      </c>
      <c r="E89" s="54"/>
      <c r="F89" s="73">
        <v>1.1000000000000001</v>
      </c>
      <c r="G89" s="38" t="s">
        <v>123</v>
      </c>
    </row>
    <row r="90" spans="1:9" s="8" customFormat="1" ht="20.100000000000001" customHeight="1">
      <c r="E90" s="54"/>
      <c r="F90" s="54"/>
      <c r="G90" s="38"/>
    </row>
    <row r="91" spans="1:9" s="8" customFormat="1" ht="20.100000000000001" customHeight="1">
      <c r="A91" s="31"/>
      <c r="B91" s="42" t="s">
        <v>124</v>
      </c>
      <c r="C91" s="31"/>
      <c r="D91" s="31"/>
      <c r="E91" s="31"/>
      <c r="F91" s="31"/>
      <c r="G91" s="31"/>
      <c r="H91" s="31"/>
      <c r="I91" s="31"/>
    </row>
    <row r="92" spans="1:9" s="8" customFormat="1" ht="20.100000000000001" customHeight="1">
      <c r="B92" s="8" t="s">
        <v>125</v>
      </c>
      <c r="D92" s="49">
        <f>IF(E49="Yes",E50,D53+D52*D54)</f>
        <v>0.27200000000000002</v>
      </c>
      <c r="E92" s="38"/>
      <c r="F92" s="38"/>
    </row>
    <row r="93" spans="1:9" s="8" customFormat="1" ht="20.100000000000001" customHeight="1">
      <c r="B93" s="8" t="s">
        <v>126</v>
      </c>
      <c r="D93" s="49">
        <f>IF(F37="Yes",F39*F40/(F41+F39*F40),IF(F43="Yes",D32/(D32+D33),1-F44))</f>
        <v>0.16153903671637562</v>
      </c>
      <c r="E93" s="38"/>
      <c r="F93" s="38"/>
    </row>
    <row r="94" spans="1:9" s="8" customFormat="1" ht="20.100000000000001" customHeight="1">
      <c r="B94" s="8" t="s">
        <v>127</v>
      </c>
      <c r="D94" s="49">
        <f>E56*(1-D27)</f>
        <v>8.7499999999999994E-2</v>
      </c>
      <c r="E94" s="38"/>
      <c r="F94" s="38"/>
    </row>
    <row r="95" spans="1:9" s="8" customFormat="1" ht="20.100000000000001" customHeight="1">
      <c r="B95" s="8" t="s">
        <v>128</v>
      </c>
      <c r="D95" s="55">
        <f>1-D93</f>
        <v>0.83846096328362441</v>
      </c>
      <c r="E95" s="38"/>
      <c r="F95" s="38"/>
    </row>
    <row r="96" spans="1:9" s="8" customFormat="1" ht="20.100000000000001" customHeight="1">
      <c r="B96" s="8" t="s">
        <v>129</v>
      </c>
      <c r="D96" s="49">
        <f>D92*D93+D94*D95</f>
        <v>0.11730395227417131</v>
      </c>
      <c r="E96" s="38"/>
      <c r="F96" s="38"/>
    </row>
    <row r="97" spans="2:14" s="8" customFormat="1" ht="20.100000000000001" customHeight="1">
      <c r="D97" s="56"/>
      <c r="E97" s="38"/>
      <c r="F97" s="38"/>
    </row>
    <row r="98" spans="2:14" s="8" customFormat="1" ht="20.100000000000001" customHeight="1">
      <c r="C98" s="54">
        <f>IF($E$46&gt;0,1," ")</f>
        <v>1</v>
      </c>
      <c r="D98" s="54">
        <f>IF($E$46&gt;1,2," ")</f>
        <v>2</v>
      </c>
      <c r="E98" s="54">
        <f>IF($E$46&gt;2,3," ")</f>
        <v>3</v>
      </c>
      <c r="F98" s="54">
        <f>IF($E$46&gt;3,4," ")</f>
        <v>4</v>
      </c>
      <c r="G98" s="54">
        <f>IF($E$46&gt;4,5," ")</f>
        <v>5</v>
      </c>
      <c r="H98" s="54">
        <f>IF($E$46&gt;5,6," ")</f>
        <v>6</v>
      </c>
      <c r="I98" s="54" t="str">
        <f>IF($E$46&gt;6,7," ")</f>
        <v xml:space="preserve"> </v>
      </c>
      <c r="J98" s="54" t="str">
        <f>IF($E$46&gt;7,8," ")</f>
        <v xml:space="preserve"> </v>
      </c>
      <c r="K98" s="54" t="str">
        <f>IF($E$46&gt;8,9," ")</f>
        <v xml:space="preserve"> </v>
      </c>
      <c r="L98" s="54" t="str">
        <f>IF($E$46&gt;9,10," ")</f>
        <v xml:space="preserve"> </v>
      </c>
      <c r="M98" s="54" t="s">
        <v>130</v>
      </c>
    </row>
    <row r="99" spans="2:14" s="8" customFormat="1" ht="20.100000000000001" customHeight="1">
      <c r="B99" s="8" t="s">
        <v>36</v>
      </c>
      <c r="C99" s="57">
        <f>IF($E$46&lt;C98,0,D28*(1+$C62))</f>
        <v>46673.000000000007</v>
      </c>
      <c r="D99" s="57">
        <f>IF($E$46&lt;D98,0,C99*(1+$C63))</f>
        <v>51340.30000000001</v>
      </c>
      <c r="E99" s="57">
        <f>IF($E$46&lt;E98,0,D99*(1+$C64))</f>
        <v>56474.330000000016</v>
      </c>
      <c r="F99" s="57">
        <f>IF($E$46&lt;F98,0,E99*(1+$C65))</f>
        <v>62121.763000000021</v>
      </c>
      <c r="G99" s="57">
        <f>IF($E$46&lt;G98,0,F99*(1+$C66))</f>
        <v>68333.939300000027</v>
      </c>
      <c r="H99" s="57">
        <f>IF($E$46&lt;H98,0,G99*(1+$C67))</f>
        <v>75167.333230000033</v>
      </c>
      <c r="I99" s="57">
        <f>IF($E$46&lt;I98,0,H99*(1+$C68))</f>
        <v>0</v>
      </c>
      <c r="J99" s="57">
        <f>IF($E$46&lt;J98,0,I99*(1+$C69))</f>
        <v>0</v>
      </c>
      <c r="K99" s="57">
        <f>IF($E$46&lt;K98,0,J99*(1+$C70))</f>
        <v>0</v>
      </c>
      <c r="L99" s="57">
        <f>IF($E$46&lt;L98,0,K99*(1+$C71))</f>
        <v>0</v>
      </c>
      <c r="M99" s="37">
        <f>(C99*$C$111+D99*$D$111+E99*$E$111+F99*$F$111+G99*$G$111+H99*$H$111+I99*$I$111+J99*$J$111+K99*$K$111+L99*$L$111)*(1+E73)</f>
        <v>81180.719888400039</v>
      </c>
    </row>
    <row r="100" spans="2:14" s="8" customFormat="1" ht="20.100000000000001" customHeight="1">
      <c r="B100" s="8" t="s">
        <v>131</v>
      </c>
      <c r="C100" s="57">
        <f>IF($E$46&lt;C98,0,C99*(1-$D62))</f>
        <v>46570.233600000007</v>
      </c>
      <c r="D100" s="57">
        <f>IF($E$46&lt;D98,0,D99*(1-$D63))</f>
        <v>51227.256960000013</v>
      </c>
      <c r="E100" s="57">
        <f>IF($E$46&lt;E98,0,E99*(1-$D64))</f>
        <v>56349.982656000022</v>
      </c>
      <c r="F100" s="57">
        <f>IF($E$46&lt;F98,0,F99*(1-$D65))</f>
        <v>61984.980921600021</v>
      </c>
      <c r="G100" s="57">
        <f>IF($E$46&lt;G98,0,G99*(1-$D66))</f>
        <v>68183.479013760036</v>
      </c>
      <c r="H100" s="57">
        <f>IF($E$46&lt;H98,0,H99*(1-$D67))</f>
        <v>75001.826915136029</v>
      </c>
      <c r="I100" s="57">
        <f>IF($E$46&lt;I98,0,I99*(1-$D68))</f>
        <v>0</v>
      </c>
      <c r="J100" s="57">
        <f>IF($E$46&lt;J98,0,J99*(1-$D68))</f>
        <v>0</v>
      </c>
      <c r="K100" s="57">
        <f>IF($E$46&lt;K98,0,K99*(1-$D69))</f>
        <v>0</v>
      </c>
      <c r="L100" s="57">
        <f>IF($E$46&lt;L98,0,L99*(1-$D70))</f>
        <v>0</v>
      </c>
      <c r="M100" s="37">
        <f>M99*(1-E74)</f>
        <v>81001.973068346924</v>
      </c>
    </row>
    <row r="101" spans="2:14" s="8" customFormat="1" ht="20.100000000000001" customHeight="1">
      <c r="B101" s="8" t="s">
        <v>132</v>
      </c>
      <c r="C101" s="57">
        <f>IF($E$46&lt;C98,0,D26*(1+$F62))</f>
        <v>4.4000000000000004</v>
      </c>
      <c r="D101" s="57">
        <f>IF($E$46&lt;D98,0,C101*(1+$F63))</f>
        <v>4.8400000000000007</v>
      </c>
      <c r="E101" s="57">
        <f>IF($E$46&lt;E98,0,D101*(1+$F64))</f>
        <v>5.3240000000000016</v>
      </c>
      <c r="F101" s="57">
        <f>IF($E$46&lt;F98,0,E101*(1+$F65))</f>
        <v>5.8564000000000025</v>
      </c>
      <c r="G101" s="57">
        <f>IF($E$46&lt;G98,0,F101*(1+$F66))</f>
        <v>6.4420400000000031</v>
      </c>
      <c r="H101" s="57">
        <f>IF($E$46&lt;H98,0,G101*(1+$F67))</f>
        <v>7.0862440000000042</v>
      </c>
      <c r="I101" s="57">
        <f>IF($E$46&lt;I98,0,H101*(1+$F68))</f>
        <v>0</v>
      </c>
      <c r="J101" s="57">
        <f>IF($E$46&lt;J98,0,I101*(1+$F69))</f>
        <v>0</v>
      </c>
      <c r="K101" s="57">
        <f>IF($E$46&lt;K98,0,J101*(1+$F70))</f>
        <v>0</v>
      </c>
      <c r="L101" s="57">
        <f>IF($E$46&lt;L98,0,K101*(1+$F71))</f>
        <v>0</v>
      </c>
      <c r="M101" s="37">
        <f>(C101*$C$111+D101*$D$111+E101*$E$111+F101*$F$111+G101*$G$111+H101*$H$111+I101*$I$111+J101*$J$111+K101*$K$111+L101*$L$111)*(1+E73)</f>
        <v>7.6531435200000049</v>
      </c>
    </row>
    <row r="102" spans="2:14" s="8" customFormat="1" ht="20.100000000000001" customHeight="1">
      <c r="B102" s="8" t="s">
        <v>39</v>
      </c>
      <c r="C102" s="57">
        <f t="shared" ref="C102:L102" si="3">IF($E$46&lt;C98,0,C99-C100-C101)</f>
        <v>98.366400000000425</v>
      </c>
      <c r="D102" s="57">
        <f t="shared" si="3"/>
        <v>108.20303999999683</v>
      </c>
      <c r="E102" s="57">
        <f t="shared" si="3"/>
        <v>119.02334399999434</v>
      </c>
      <c r="F102" s="57">
        <f t="shared" si="3"/>
        <v>130.92567839999958</v>
      </c>
      <c r="G102" s="57">
        <f t="shared" si="3"/>
        <v>144.01824623999156</v>
      </c>
      <c r="H102" s="57">
        <f t="shared" si="3"/>
        <v>158.4200708640038</v>
      </c>
      <c r="I102" s="57">
        <f t="shared" si="3"/>
        <v>0</v>
      </c>
      <c r="J102" s="57">
        <f t="shared" si="3"/>
        <v>0</v>
      </c>
      <c r="K102" s="57">
        <f t="shared" si="3"/>
        <v>0</v>
      </c>
      <c r="L102" s="57">
        <f t="shared" si="3"/>
        <v>0</v>
      </c>
      <c r="M102" s="37">
        <f>M99-M100-M101</f>
        <v>171.09367653311477</v>
      </c>
    </row>
    <row r="103" spans="2:14" s="8" customFormat="1" ht="20.100000000000001" customHeight="1">
      <c r="B103" s="8" t="s">
        <v>133</v>
      </c>
      <c r="C103" s="57">
        <f>IF(C102&gt;0,IF(C110&gt;C102,0,(C102-C110)*$D$27),0)</f>
        <v>29.509920000000125</v>
      </c>
      <c r="D103" s="57">
        <f t="shared" ref="D103:M103" si="4">IF(D102&gt;0,IF(C110&gt;D102,0,(D102-C110)*$D$27),0)</f>
        <v>32.460911999999048</v>
      </c>
      <c r="E103" s="57">
        <f t="shared" si="4"/>
        <v>35.707003199998297</v>
      </c>
      <c r="F103" s="57">
        <f t="shared" si="4"/>
        <v>39.277703519999875</v>
      </c>
      <c r="G103" s="57">
        <f t="shared" si="4"/>
        <v>43.205473871997462</v>
      </c>
      <c r="H103" s="57">
        <f t="shared" si="4"/>
        <v>47.526021259201137</v>
      </c>
      <c r="I103" s="57">
        <f t="shared" si="4"/>
        <v>0</v>
      </c>
      <c r="J103" s="57">
        <f t="shared" si="4"/>
        <v>0</v>
      </c>
      <c r="K103" s="57">
        <f t="shared" si="4"/>
        <v>0</v>
      </c>
      <c r="L103" s="57">
        <f t="shared" si="4"/>
        <v>0</v>
      </c>
      <c r="M103" s="57">
        <f t="shared" si="4"/>
        <v>51.328102959934434</v>
      </c>
    </row>
    <row r="104" spans="2:14" s="8" customFormat="1" ht="20.100000000000001" customHeight="1">
      <c r="B104" s="8" t="s">
        <v>42</v>
      </c>
      <c r="C104" s="57">
        <f t="shared" ref="C104:M104" si="5">C102-C103</f>
        <v>68.856480000000303</v>
      </c>
      <c r="D104" s="57">
        <f t="shared" si="5"/>
        <v>75.742127999997791</v>
      </c>
      <c r="E104" s="57">
        <f t="shared" si="5"/>
        <v>83.316340799996041</v>
      </c>
      <c r="F104" s="57">
        <f t="shared" si="5"/>
        <v>91.647974879999708</v>
      </c>
      <c r="G104" s="57">
        <f t="shared" si="5"/>
        <v>100.81277236799409</v>
      </c>
      <c r="H104" s="57">
        <f t="shared" si="5"/>
        <v>110.89404960480266</v>
      </c>
      <c r="I104" s="57">
        <f t="shared" si="5"/>
        <v>0</v>
      </c>
      <c r="J104" s="57">
        <f t="shared" si="5"/>
        <v>0</v>
      </c>
      <c r="K104" s="57">
        <f t="shared" si="5"/>
        <v>0</v>
      </c>
      <c r="L104" s="57">
        <f t="shared" si="5"/>
        <v>0</v>
      </c>
      <c r="M104" s="37">
        <f t="shared" si="5"/>
        <v>119.76557357318035</v>
      </c>
    </row>
    <row r="105" spans="2:14" s="8" customFormat="1" ht="20.100000000000001" customHeight="1">
      <c r="B105" s="8" t="s">
        <v>134</v>
      </c>
      <c r="C105" s="57">
        <f t="shared" ref="C105:M105" si="6">C101</f>
        <v>4.4000000000000004</v>
      </c>
      <c r="D105" s="57">
        <f t="shared" si="6"/>
        <v>4.8400000000000007</v>
      </c>
      <c r="E105" s="57">
        <f t="shared" si="6"/>
        <v>5.3240000000000016</v>
      </c>
      <c r="F105" s="57">
        <f t="shared" si="6"/>
        <v>5.8564000000000025</v>
      </c>
      <c r="G105" s="57">
        <f t="shared" si="6"/>
        <v>6.4420400000000031</v>
      </c>
      <c r="H105" s="57">
        <f t="shared" si="6"/>
        <v>7.0862440000000042</v>
      </c>
      <c r="I105" s="57">
        <f t="shared" si="6"/>
        <v>0</v>
      </c>
      <c r="J105" s="57">
        <f t="shared" si="6"/>
        <v>0</v>
      </c>
      <c r="K105" s="57">
        <f t="shared" si="6"/>
        <v>0</v>
      </c>
      <c r="L105" s="57">
        <f t="shared" si="6"/>
        <v>0</v>
      </c>
      <c r="M105" s="37">
        <f t="shared" si="6"/>
        <v>7.6531435200000049</v>
      </c>
    </row>
    <row r="106" spans="2:14" s="8" customFormat="1" ht="20.100000000000001" customHeight="1">
      <c r="B106" s="8" t="s">
        <v>135</v>
      </c>
      <c r="C106" s="57">
        <f>IF($E$46&lt;C98,0,D25*(1+E62))</f>
        <v>13.200000000000001</v>
      </c>
      <c r="D106" s="37">
        <f>IF($E$46&lt;D98,0,C106*(1+$E63))</f>
        <v>14.520000000000003</v>
      </c>
      <c r="E106" s="37">
        <f>IF($E$46&lt;E98,0,D106*(1+$E64))</f>
        <v>15.972000000000005</v>
      </c>
      <c r="F106" s="37">
        <f>IF($E$46&lt;F98,0,E106*(1+$E65))</f>
        <v>17.569200000000006</v>
      </c>
      <c r="G106" s="37">
        <f>IF($E$46&lt;G98,0,F106*(1+$E66))</f>
        <v>19.326120000000007</v>
      </c>
      <c r="H106" s="37">
        <f>IF($E$46&lt;H98,0,G106*(1+$E67))</f>
        <v>21.258732000000009</v>
      </c>
      <c r="I106" s="37">
        <f>IF($E$46&lt;I98,0,H106*(1+$E68))</f>
        <v>0</v>
      </c>
      <c r="J106" s="37">
        <f>IF($E$46&lt;J98,0,I106*(1+$E69))</f>
        <v>0</v>
      </c>
      <c r="K106" s="37">
        <f>IF($E$46&lt;K98,0,J106*(1+$E70))</f>
        <v>0</v>
      </c>
      <c r="L106" s="37">
        <f>IF($E$46&lt;L98,0,K106*(1+$E71))</f>
        <v>0</v>
      </c>
      <c r="M106" s="37">
        <f>IF(F87="Yes",(E73/F88)*M104+M105-M107,M105*F89)</f>
        <v>37.468997014590144</v>
      </c>
    </row>
    <row r="107" spans="2:14" s="8" customFormat="1" ht="20.100000000000001" customHeight="1">
      <c r="B107" s="8" t="s">
        <v>136</v>
      </c>
      <c r="C107" s="57">
        <f>IF($E$46&lt;C98,0,($D$28*(1+$C62)-$D$28)*$G$62)</f>
        <v>34.106700000000053</v>
      </c>
      <c r="D107" s="57">
        <f>IF($E$46&lt;D98,0,(D99-C99)*$G63)</f>
        <v>37.517370000000021</v>
      </c>
      <c r="E107" s="57">
        <f>IF($E$46&lt;E98,0,(E99-D99)*$G64)</f>
        <v>41.269107000000048</v>
      </c>
      <c r="F107" s="57">
        <f>IF($E$46&lt;F98,0,(F99-E99)*$G65)</f>
        <v>45.396017700000037</v>
      </c>
      <c r="G107" s="57">
        <f>IF($E$46&lt;G98,0,(G99-F99)*$G66)</f>
        <v>49.935619470000049</v>
      </c>
      <c r="H107" s="57">
        <f>IF($E$46&lt;H98,0,(H99-G99)*$G67)</f>
        <v>54.929181417000045</v>
      </c>
      <c r="I107" s="57">
        <f>IF($E$46&lt;I98,0,(I99-H99)*$G68)</f>
        <v>0</v>
      </c>
      <c r="J107" s="57">
        <f>IF($E$46&lt;J98,0,(J99-I99)*$G69)</f>
        <v>0</v>
      </c>
      <c r="K107" s="57">
        <f>IF($E$46&lt;K98,0,(K99-J99)*$G70)</f>
        <v>0</v>
      </c>
      <c r="L107" s="57">
        <f>IF($E$46&lt;L98,0,(L99-K99)*$G71)</f>
        <v>0</v>
      </c>
      <c r="M107" s="37">
        <f>(M99-(C99*$C$111+D99*$D$111+E99*$E$111+F99*$F$111+G99*$G$111+H99*$H$111+I99*$I$111+J99*$J$111+K99*$K$111+L99*$L$111))*E75</f>
        <v>30.06693329200003</v>
      </c>
    </row>
    <row r="108" spans="2:14" s="8" customFormat="1" ht="20.100000000000001" customHeight="1">
      <c r="B108" s="8" t="s">
        <v>137</v>
      </c>
      <c r="C108" s="57">
        <f t="shared" ref="C108:M108" si="7">C104+C105-C106-C107</f>
        <v>25.949780000000253</v>
      </c>
      <c r="D108" s="57">
        <f t="shared" si="7"/>
        <v>28.544757999997763</v>
      </c>
      <c r="E108" s="57">
        <f t="shared" si="7"/>
        <v>31.399233799995983</v>
      </c>
      <c r="F108" s="57">
        <f t="shared" si="7"/>
        <v>34.53915717999967</v>
      </c>
      <c r="G108" s="57">
        <f t="shared" si="7"/>
        <v>37.99307289799404</v>
      </c>
      <c r="H108" s="57">
        <f t="shared" si="7"/>
        <v>41.792380187802614</v>
      </c>
      <c r="I108" s="57">
        <f t="shared" si="7"/>
        <v>0</v>
      </c>
      <c r="J108" s="57">
        <f t="shared" si="7"/>
        <v>0</v>
      </c>
      <c r="K108" s="57">
        <f t="shared" si="7"/>
        <v>0</v>
      </c>
      <c r="L108" s="57">
        <f t="shared" si="7"/>
        <v>0</v>
      </c>
      <c r="M108" s="37">
        <f t="shared" si="7"/>
        <v>59.882786786590174</v>
      </c>
      <c r="N108" s="38"/>
    </row>
    <row r="109" spans="2:14" s="8" customFormat="1" ht="20.100000000000001" customHeight="1">
      <c r="B109" s="8" t="s">
        <v>3</v>
      </c>
      <c r="C109" s="37">
        <f t="shared" ref="C109:L109" si="8">IF($E$46&lt;C98,0,C108/C120)</f>
        <v>23.225354163638123</v>
      </c>
      <c r="D109" s="37">
        <f t="shared" si="8"/>
        <v>22.759912301797961</v>
      </c>
      <c r="E109" s="37">
        <f t="shared" si="8"/>
        <v>22.25335374823884</v>
      </c>
      <c r="F109" s="37">
        <f t="shared" si="8"/>
        <v>21.760184487768157</v>
      </c>
      <c r="G109" s="37">
        <f t="shared" si="8"/>
        <v>21.330338796837982</v>
      </c>
      <c r="H109" s="37">
        <f t="shared" si="8"/>
        <v>21.010407590353193</v>
      </c>
      <c r="I109" s="37">
        <f t="shared" si="8"/>
        <v>0</v>
      </c>
      <c r="J109" s="37">
        <f t="shared" si="8"/>
        <v>0</v>
      </c>
      <c r="K109" s="37">
        <f t="shared" si="8"/>
        <v>0</v>
      </c>
      <c r="L109" s="37">
        <f t="shared" si="8"/>
        <v>0</v>
      </c>
      <c r="M109" s="37"/>
      <c r="N109" s="38"/>
    </row>
    <row r="110" spans="2:14" s="8" customFormat="1" ht="20.100000000000001" customHeight="1">
      <c r="B110" s="8" t="s">
        <v>138</v>
      </c>
      <c r="C110" s="37">
        <f>IF(C102&lt;0,D34-C102,D34)</f>
        <v>0</v>
      </c>
      <c r="D110" s="37">
        <f>IF(C110&gt;D102,C110-D102,0)</f>
        <v>0</v>
      </c>
      <c r="E110" s="37">
        <f t="shared" ref="E110:L110" si="9">IF(D110&gt;E102,D110-E102,0)</f>
        <v>0</v>
      </c>
      <c r="F110" s="37">
        <f t="shared" si="9"/>
        <v>0</v>
      </c>
      <c r="G110" s="37">
        <f t="shared" si="9"/>
        <v>0</v>
      </c>
      <c r="H110" s="37">
        <f t="shared" si="9"/>
        <v>0</v>
      </c>
      <c r="I110" s="37">
        <f t="shared" si="9"/>
        <v>0</v>
      </c>
      <c r="J110" s="37">
        <f t="shared" si="9"/>
        <v>0</v>
      </c>
      <c r="K110" s="37">
        <f t="shared" si="9"/>
        <v>0</v>
      </c>
      <c r="L110" s="37">
        <f t="shared" si="9"/>
        <v>0</v>
      </c>
      <c r="M110" s="37"/>
      <c r="N110" s="38"/>
    </row>
    <row r="111" spans="2:14" s="8" customFormat="1" ht="20.100000000000001" customHeight="1">
      <c r="B111" s="8" t="s">
        <v>139</v>
      </c>
      <c r="C111" s="38">
        <f t="shared" ref="C111:L111" si="10">IF($E$46=C98,1,0)</f>
        <v>0</v>
      </c>
      <c r="D111" s="38">
        <f t="shared" si="10"/>
        <v>0</v>
      </c>
      <c r="E111" s="38">
        <f t="shared" si="10"/>
        <v>0</v>
      </c>
      <c r="F111" s="38">
        <f t="shared" si="10"/>
        <v>0</v>
      </c>
      <c r="G111" s="38">
        <f t="shared" si="10"/>
        <v>0</v>
      </c>
      <c r="H111" s="38">
        <f t="shared" si="10"/>
        <v>1</v>
      </c>
      <c r="I111" s="38">
        <f t="shared" si="10"/>
        <v>0</v>
      </c>
      <c r="J111" s="38">
        <f t="shared" si="10"/>
        <v>0</v>
      </c>
      <c r="K111" s="38">
        <f t="shared" si="10"/>
        <v>0</v>
      </c>
      <c r="L111" s="38">
        <f t="shared" si="10"/>
        <v>0</v>
      </c>
      <c r="M111" s="37"/>
      <c r="N111" s="38"/>
    </row>
    <row r="112" spans="2:14" s="8" customFormat="1" ht="20.100000000000001" customHeight="1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</row>
    <row r="113" spans="2:14" s="8" customFormat="1" ht="20.100000000000001" customHeight="1">
      <c r="B113" s="35" t="s">
        <v>140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2:14" s="8" customFormat="1" ht="20.100000000000001" customHeight="1">
      <c r="B114" s="8" t="s">
        <v>141</v>
      </c>
      <c r="C114" s="58">
        <f>C103/C102</f>
        <v>0.3</v>
      </c>
      <c r="D114" s="58">
        <f t="shared" ref="D114:M114" si="11">D103/D102</f>
        <v>0.3</v>
      </c>
      <c r="E114" s="58">
        <f t="shared" si="11"/>
        <v>0.3</v>
      </c>
      <c r="F114" s="58">
        <f t="shared" si="11"/>
        <v>0.3</v>
      </c>
      <c r="G114" s="58">
        <f t="shared" si="11"/>
        <v>0.3</v>
      </c>
      <c r="H114" s="58">
        <f t="shared" si="11"/>
        <v>0.3</v>
      </c>
      <c r="I114" s="58" t="e">
        <f t="shared" si="11"/>
        <v>#DIV/0!</v>
      </c>
      <c r="J114" s="58" t="e">
        <f t="shared" si="11"/>
        <v>#DIV/0!</v>
      </c>
      <c r="K114" s="58" t="e">
        <f t="shared" si="11"/>
        <v>#DIV/0!</v>
      </c>
      <c r="L114" s="58" t="e">
        <f t="shared" si="11"/>
        <v>#DIV/0!</v>
      </c>
      <c r="M114" s="58">
        <f t="shared" si="11"/>
        <v>0.3</v>
      </c>
      <c r="N114" s="38"/>
    </row>
    <row r="115" spans="2:14" s="8" customFormat="1" ht="20.100000000000001" customHeight="1">
      <c r="B115" s="8" t="s">
        <v>142</v>
      </c>
      <c r="C115" s="39">
        <f>IF(E49="No",D52,)</f>
        <v>2.6</v>
      </c>
      <c r="D115" s="39">
        <v>2.2799999999999998</v>
      </c>
      <c r="E115" s="39">
        <v>1.96</v>
      </c>
      <c r="F115" s="39">
        <v>1.64</v>
      </c>
      <c r="G115" s="39">
        <v>1.32</v>
      </c>
      <c r="H115" s="39">
        <v>1</v>
      </c>
      <c r="I115" s="39" t="e">
        <f>IF($E$77="Yes",$G$115-(($G$115-$E$78)/5)*(I98-5),$D$52)</f>
        <v>#VALUE!</v>
      </c>
      <c r="J115" s="39" t="e">
        <f>IF($E$77="Yes",$G$115-(($G$115-$E$78)/5)*(J98-5),$D$52)</f>
        <v>#VALUE!</v>
      </c>
      <c r="K115" s="39" t="e">
        <f>IF($E$77="Yes",$G$115-(($G$115-$E$78)/5)*(K98-5),$D$52)</f>
        <v>#VALUE!</v>
      </c>
      <c r="L115" s="39" t="e">
        <f>IF($E$77="Yes",$G$115-(($G$115-$E$78)/5)*(L98-5),$D$52)</f>
        <v>#VALUE!</v>
      </c>
      <c r="M115" s="39" t="e">
        <f>L115</f>
        <v>#VALUE!</v>
      </c>
      <c r="N115" s="38"/>
    </row>
    <row r="116" spans="2:14" s="8" customFormat="1" ht="20.100000000000001" customHeight="1">
      <c r="B116" s="8" t="s">
        <v>143</v>
      </c>
      <c r="C116" s="41">
        <f>IF($E$49="no",$D$53+C115*$D$54,$E$50)</f>
        <v>0.27200000000000002</v>
      </c>
      <c r="D116" s="41">
        <f t="shared" ref="D116:M116" si="12">IF($E$49="no",$D$53+D115*$D$54,$E$50)</f>
        <v>0.24959999999999999</v>
      </c>
      <c r="E116" s="41">
        <f t="shared" si="12"/>
        <v>0.22720000000000001</v>
      </c>
      <c r="F116" s="41">
        <f t="shared" si="12"/>
        <v>0.20479999999999998</v>
      </c>
      <c r="G116" s="41">
        <f t="shared" si="12"/>
        <v>0.18240000000000001</v>
      </c>
      <c r="H116" s="41">
        <f t="shared" si="12"/>
        <v>0.16</v>
      </c>
      <c r="I116" s="41" t="e">
        <f t="shared" si="12"/>
        <v>#VALUE!</v>
      </c>
      <c r="J116" s="41" t="e">
        <f t="shared" si="12"/>
        <v>#VALUE!</v>
      </c>
      <c r="K116" s="41" t="e">
        <f t="shared" si="12"/>
        <v>#VALUE!</v>
      </c>
      <c r="L116" s="41" t="e">
        <f t="shared" si="12"/>
        <v>#VALUE!</v>
      </c>
      <c r="M116" s="41" t="e">
        <f t="shared" si="12"/>
        <v>#VALUE!</v>
      </c>
      <c r="N116" s="38"/>
    </row>
    <row r="117" spans="2:14" s="8" customFormat="1" ht="20.100000000000001" customHeight="1">
      <c r="B117" s="8" t="s">
        <v>144</v>
      </c>
      <c r="C117" s="40">
        <f>$E$56*(1-C114)</f>
        <v>8.7499999999999994E-2</v>
      </c>
      <c r="D117" s="40">
        <f>0.121*(1-D114)</f>
        <v>8.4699999999999998E-2</v>
      </c>
      <c r="E117" s="40">
        <f>0.117*(1-E114)</f>
        <v>8.1900000000000001E-2</v>
      </c>
      <c r="F117" s="40">
        <f>11.3%*(1-D114)</f>
        <v>7.9100000000000004E-2</v>
      </c>
      <c r="G117" s="40">
        <f>10.9%*(1-D114)</f>
        <v>7.6299999999999993E-2</v>
      </c>
      <c r="H117" s="40">
        <f>10.5%*(1-D114)</f>
        <v>7.3499999999999996E-2</v>
      </c>
      <c r="I117" s="40" t="e">
        <f>($E$56-($E$56-$E$84)*2/5)*(1-I114)</f>
        <v>#DIV/0!</v>
      </c>
      <c r="J117" s="40" t="e">
        <f>($E$56-($E$56-$E$84)*3/5)*(1-J114)</f>
        <v>#DIV/0!</v>
      </c>
      <c r="K117" s="40" t="e">
        <f>($E$56-($E$56-$E$84)*4/5)*(1-K114)</f>
        <v>#DIV/0!</v>
      </c>
      <c r="L117" s="40" t="e">
        <f>$E$84*(1-L114)</f>
        <v>#DIV/0!</v>
      </c>
      <c r="M117" s="40">
        <f>$E$84*(1-M114)</f>
        <v>7.3499999999999996E-2</v>
      </c>
      <c r="N117" s="38"/>
    </row>
    <row r="118" spans="2:14" s="8" customFormat="1" ht="20.100000000000001" customHeight="1">
      <c r="B118" s="8" t="s">
        <v>145</v>
      </c>
      <c r="C118" s="40">
        <f>$D$95</f>
        <v>0.83846096328362441</v>
      </c>
      <c r="D118" s="40">
        <v>0.77080000000000004</v>
      </c>
      <c r="E118" s="40">
        <f>D118-0.0677</f>
        <v>0.70310000000000006</v>
      </c>
      <c r="F118" s="40">
        <f>E118-0.0677</f>
        <v>0.63540000000000008</v>
      </c>
      <c r="G118" s="40">
        <f>F118-0.0677</f>
        <v>0.56770000000000009</v>
      </c>
      <c r="H118" s="40">
        <f>G118-0.0677</f>
        <v>0.50000000000000011</v>
      </c>
      <c r="I118" s="41" t="e">
        <f>IF($F$80="Yes",$G$118-(($G$118-$F$81)/5)*(I98-5),$D$95)</f>
        <v>#VALUE!</v>
      </c>
      <c r="J118" s="41" t="e">
        <f>IF($F$80="Yes",$G$118-(($G$118-$F$81)/5)*(J98-5),$D$95)</f>
        <v>#VALUE!</v>
      </c>
      <c r="K118" s="41" t="e">
        <f>IF($F$80="Yes",$G$118-(($G$118-$F$81)/5)*(K98-5),$D$95)</f>
        <v>#VALUE!</v>
      </c>
      <c r="L118" s="41" t="e">
        <f>IF($F$80="Yes",$G$118-(($G$118-$F$81)/5)*(L98-5),$D$95)</f>
        <v>#VALUE!</v>
      </c>
      <c r="M118" s="40" t="e">
        <f>L118</f>
        <v>#VALUE!</v>
      </c>
      <c r="N118" s="38"/>
    </row>
    <row r="119" spans="2:14" s="8" customFormat="1" ht="20.100000000000001" customHeight="1">
      <c r="B119" s="8" t="s">
        <v>146</v>
      </c>
      <c r="C119" s="40">
        <f t="shared" ref="C119:M119" si="13">C116*(1-C118)+C117*C118</f>
        <v>0.1173039522741713</v>
      </c>
      <c r="D119" s="40">
        <f t="shared" si="13"/>
        <v>0.12249507999999998</v>
      </c>
      <c r="E119" s="40">
        <f t="shared" si="13"/>
        <v>0.12503956999999999</v>
      </c>
      <c r="F119" s="40">
        <f t="shared" si="13"/>
        <v>0.12493021999999998</v>
      </c>
      <c r="G119" s="40">
        <f t="shared" si="13"/>
        <v>0.12216702999999998</v>
      </c>
      <c r="H119" s="40">
        <f t="shared" si="13"/>
        <v>0.11674999999999999</v>
      </c>
      <c r="I119" s="40" t="e">
        <f t="shared" si="13"/>
        <v>#VALUE!</v>
      </c>
      <c r="J119" s="40" t="e">
        <f t="shared" si="13"/>
        <v>#VALUE!</v>
      </c>
      <c r="K119" s="40" t="e">
        <f t="shared" si="13"/>
        <v>#VALUE!</v>
      </c>
      <c r="L119" s="40" t="e">
        <f t="shared" si="13"/>
        <v>#VALUE!</v>
      </c>
      <c r="M119" s="40" t="e">
        <f t="shared" si="13"/>
        <v>#VALUE!</v>
      </c>
      <c r="N119" s="38"/>
    </row>
    <row r="120" spans="2:14" s="8" customFormat="1" ht="20.100000000000001" customHeight="1">
      <c r="B120" s="8" t="s">
        <v>147</v>
      </c>
      <c r="C120" s="59">
        <f>1+C119</f>
        <v>1.1173039522741712</v>
      </c>
      <c r="D120" s="59">
        <f t="shared" ref="D120:L120" si="14">C120*(1+D119)</f>
        <v>1.254168189292312</v>
      </c>
      <c r="E120" s="59">
        <f t="shared" si="14"/>
        <v>1.4109888403891013</v>
      </c>
      <c r="F120" s="59">
        <f t="shared" si="14"/>
        <v>1.5872639866364566</v>
      </c>
      <c r="G120" s="59">
        <f t="shared" si="14"/>
        <v>1.7811753137097921</v>
      </c>
      <c r="H120" s="59">
        <f t="shared" si="14"/>
        <v>1.9891275315854102</v>
      </c>
      <c r="I120" s="59" t="e">
        <f t="shared" si="14"/>
        <v>#VALUE!</v>
      </c>
      <c r="J120" s="59" t="e">
        <f t="shared" si="14"/>
        <v>#VALUE!</v>
      </c>
      <c r="K120" s="59" t="e">
        <f t="shared" si="14"/>
        <v>#VALUE!</v>
      </c>
      <c r="L120" s="59" t="e">
        <f t="shared" si="14"/>
        <v>#VALUE!</v>
      </c>
      <c r="M120" s="38"/>
      <c r="N120" s="38"/>
    </row>
    <row r="121" spans="2:14" s="8" customFormat="1" ht="20.100000000000001" customHeight="1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</row>
    <row r="122" spans="2:14" s="8" customFormat="1" ht="20.100000000000001" customHeight="1">
      <c r="B122" s="8" t="s">
        <v>148</v>
      </c>
      <c r="E122" s="49">
        <f>E73</f>
        <v>0.08</v>
      </c>
      <c r="F122" s="38"/>
    </row>
    <row r="123" spans="2:14" s="8" customFormat="1" ht="20.100000000000001" customHeight="1">
      <c r="B123" s="8" t="s">
        <v>149</v>
      </c>
      <c r="E123" s="43">
        <f>M108</f>
        <v>59.882786786590174</v>
      </c>
      <c r="F123" s="38"/>
      <c r="G123" s="8">
        <f>(83.85-50)/5</f>
        <v>6.7699999999999987</v>
      </c>
    </row>
    <row r="124" spans="2:14" s="8" customFormat="1" ht="20.100000000000001" customHeight="1">
      <c r="B124" s="8" t="s">
        <v>150</v>
      </c>
      <c r="E124" s="49">
        <f>IF(E77="No",D53+D52*D54,D53+E78*D54)</f>
        <v>0.16</v>
      </c>
      <c r="F124" s="38"/>
    </row>
    <row r="125" spans="2:14" s="8" customFormat="1" ht="20.100000000000001" customHeight="1">
      <c r="B125" s="8" t="s">
        <v>151</v>
      </c>
      <c r="E125" s="49">
        <f>IF(F80="Yes",1-F81,D93)</f>
        <v>0.5</v>
      </c>
      <c r="F125" s="38"/>
    </row>
    <row r="126" spans="2:14" s="8" customFormat="1" ht="20.100000000000001" customHeight="1">
      <c r="B126" s="8" t="s">
        <v>152</v>
      </c>
      <c r="E126" s="49">
        <f>IF(E83="Yes",E84*(1-D27),D94)</f>
        <v>7.3499999999999996E-2</v>
      </c>
      <c r="F126" s="38"/>
    </row>
    <row r="127" spans="2:14" s="8" customFormat="1" ht="20.100000000000001" customHeight="1">
      <c r="B127" s="8" t="s">
        <v>153</v>
      </c>
      <c r="E127" s="49">
        <f>1-E125</f>
        <v>0.5</v>
      </c>
      <c r="F127" s="38"/>
    </row>
    <row r="128" spans="2:14" s="8" customFormat="1" ht="20.100000000000001" customHeight="1">
      <c r="B128" s="8" t="s">
        <v>154</v>
      </c>
      <c r="E128" s="49">
        <f>E124*E125+E126*E127</f>
        <v>0.11674999999999999</v>
      </c>
      <c r="F128" s="38"/>
    </row>
    <row r="129" spans="2:6" s="11" customFormat="1" ht="20.100000000000001" customHeight="1">
      <c r="B129" s="8" t="s">
        <v>155</v>
      </c>
      <c r="C129" s="8"/>
      <c r="D129" s="8"/>
      <c r="E129" s="43">
        <f>E123/(E128-E122)</f>
        <v>1629.4635860296651</v>
      </c>
      <c r="F129" s="60"/>
    </row>
    <row r="130" spans="2:6" s="8" customFormat="1" ht="20.100000000000001" customHeight="1">
      <c r="E130" s="38"/>
      <c r="F130" s="38"/>
    </row>
    <row r="131" spans="2:6" s="8" customFormat="1" ht="20.100000000000001" customHeight="1">
      <c r="B131" s="11" t="s">
        <v>156</v>
      </c>
      <c r="C131" s="11"/>
      <c r="D131" s="11"/>
      <c r="E131" s="60"/>
      <c r="F131" s="61">
        <f>SUM(C109:L109)</f>
        <v>132.33955108863424</v>
      </c>
    </row>
    <row r="132" spans="2:6" s="8" customFormat="1" ht="20.100000000000001" customHeight="1">
      <c r="B132" s="11" t="s">
        <v>157</v>
      </c>
      <c r="C132" s="11"/>
      <c r="D132" s="11"/>
      <c r="E132" s="60"/>
      <c r="F132" s="61">
        <f>E129/H120</f>
        <v>819.18507494133405</v>
      </c>
    </row>
    <row r="133" spans="2:6" s="8" customFormat="1" ht="20.100000000000001" customHeight="1">
      <c r="B133" s="11" t="s">
        <v>158</v>
      </c>
      <c r="C133" s="11"/>
      <c r="D133" s="11"/>
      <c r="E133" s="60"/>
      <c r="F133" s="61">
        <f>F131+F132</f>
        <v>951.52462602996832</v>
      </c>
    </row>
    <row r="134" spans="2:6" s="8" customFormat="1" ht="20.100000000000001" customHeight="1">
      <c r="B134" s="11" t="s">
        <v>159</v>
      </c>
      <c r="C134" s="11"/>
      <c r="D134" s="11"/>
      <c r="E134" s="60"/>
      <c r="F134" s="61">
        <f>D31</f>
        <v>80.455999999999989</v>
      </c>
    </row>
    <row r="135" spans="2:6" s="8" customFormat="1" ht="20.100000000000001" customHeight="1">
      <c r="B135" s="11" t="s">
        <v>160</v>
      </c>
      <c r="C135" s="11"/>
      <c r="D135" s="11"/>
      <c r="E135" s="60"/>
      <c r="F135" s="62">
        <f>IF(F37="Yes",F41,D32)</f>
        <v>847.73300000000006</v>
      </c>
    </row>
    <row r="136" spans="2:6" s="8" customFormat="1" ht="20.100000000000001" customHeight="1">
      <c r="B136" s="11" t="s">
        <v>161</v>
      </c>
      <c r="C136" s="11"/>
      <c r="D136" s="11"/>
      <c r="E136" s="11"/>
      <c r="F136" s="62">
        <f>F133+F134-F135</f>
        <v>184.24762602996827</v>
      </c>
    </row>
    <row r="137" spans="2:6" s="8" customFormat="1" ht="20.100000000000001" customHeight="1">
      <c r="B137" s="11" t="s">
        <v>162</v>
      </c>
      <c r="C137" s="11"/>
      <c r="D137" s="11"/>
      <c r="E137" s="11"/>
      <c r="F137" s="62">
        <f ca="1">'Option Valuation'!C28</f>
        <v>0</v>
      </c>
    </row>
    <row r="138" spans="2:6" s="8" customFormat="1" ht="20.100000000000001" customHeight="1">
      <c r="B138" s="11" t="s">
        <v>163</v>
      </c>
      <c r="C138" s="11"/>
      <c r="D138" s="11"/>
      <c r="E138" s="11"/>
      <c r="F138" s="62">
        <f ca="1">F136-F137</f>
        <v>184.24762602996827</v>
      </c>
    </row>
    <row r="139" spans="2:6" s="8" customFormat="1" ht="18" customHeight="1">
      <c r="B139" s="11" t="s">
        <v>164</v>
      </c>
      <c r="F139" s="62">
        <f ca="1">F138/F40</f>
        <v>2504.385293325653</v>
      </c>
    </row>
  </sheetData>
  <printOptions gridLinesSet="0"/>
  <pageMargins left="0.75" right="0.75" top="1" bottom="1" header="0.5" footer="0.5"/>
  <pageSetup orientation="portrait" horizontalDpi="4294967292" verticalDpi="4294967292"/>
  <headerFooter alignWithMargins="0">
    <oddHeader>&amp;C General FCFF Discount Model</oddHeader>
    <oddFooter>Page &amp;p</oddFooter>
  </headerFooter>
  <rowBreaks count="3" manualBreakCount="3">
    <brk id="19" max="65535" man="1"/>
    <brk id="88" max="65535" man="1"/>
    <brk id="96" max="65535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X</cp:lastModifiedBy>
  <cp:revision/>
  <dcterms:created xsi:type="dcterms:W3CDTF">1999-01-04T22:23:00Z</dcterms:created>
  <dcterms:modified xsi:type="dcterms:W3CDTF">2025-03-28T04:17:23Z</dcterms:modified>
  <cp:category/>
  <cp:contentStatus/>
</cp:coreProperties>
</file>