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211049\Desktop\"/>
    </mc:Choice>
  </mc:AlternateContent>
  <bookViews>
    <workbookView xWindow="0" yWindow="0" windowWidth="25125" windowHeight="11100"/>
  </bookViews>
  <sheets>
    <sheet name="Rent Roll" sheetId="1" r:id="rId1"/>
  </sheets>
  <externalReferences>
    <externalReference r:id="rId2"/>
  </externalReferences>
  <definedNames>
    <definedName name="_________________PL7" hidden="1">{#N/A,#N/A,TRUE,"대 차 대 조 표"}</definedName>
    <definedName name="________________PL7" hidden="1">{#N/A,#N/A,TRUE,"대 차 대 조 표"}</definedName>
    <definedName name="_______________PL7" hidden="1">{#N/A,#N/A,TRUE,"대 차 대 조 표"}</definedName>
    <definedName name="______________PL7" hidden="1">{#N/A,#N/A,TRUE,"대 차 대 조 표"}</definedName>
    <definedName name="_____________PL7" hidden="1">{#N/A,#N/A,TRUE,"대 차 대 조 표"}</definedName>
    <definedName name="____________PL7" hidden="1">{#N/A,#N/A,TRUE,"대 차 대 조 표"}</definedName>
    <definedName name="___________PL7" hidden="1">{#N/A,#N/A,TRUE,"대 차 대 조 표"}</definedName>
    <definedName name="__________PL7" hidden="1">{#N/A,#N/A,TRUE,"대 차 대 조 표"}</definedName>
    <definedName name="________PL7" hidden="1">{#N/A,#N/A,TRUE,"대 차 대 조 표"}</definedName>
    <definedName name="_______PL7" hidden="1">{#N/A,#N/A,TRUE,"대 차 대 조 표"}</definedName>
    <definedName name="______PL7" hidden="1">{#N/A,#N/A,TRUE,"대 차 대 조 표"}</definedName>
    <definedName name="_____PL7" hidden="1">{#N/A,#N/A,TRUE,"대 차 대 조 표"}</definedName>
    <definedName name="____PL7" hidden="1">{#N/A,#N/A,TRUE,"대 차 대 조 표"}</definedName>
    <definedName name="___10">#REF!</definedName>
    <definedName name="___11">#REF!</definedName>
    <definedName name="___6">#REF!</definedName>
    <definedName name="___7">#REF!</definedName>
    <definedName name="___8">#REF!</definedName>
    <definedName name="___9">#REF!</definedName>
    <definedName name="___PL7" hidden="1">{#N/A,#N/A,TRUE,"대 차 대 조 표"}</definedName>
    <definedName name="___xlfn.BAHTTEXT" hidden="1">#NAME?</definedName>
    <definedName name="__10">#REF!</definedName>
    <definedName name="__11">#REF!</definedName>
    <definedName name="__123Graph_D" hidden="1">#REF!</definedName>
    <definedName name="__6">#REF!</definedName>
    <definedName name="__7">#REF!</definedName>
    <definedName name="__8">#REF!</definedName>
    <definedName name="__9">#REF!</definedName>
    <definedName name="__C">#REF!</definedName>
    <definedName name="__PL7" hidden="1">{#N/A,#N/A,TRUE,"대 차 대 조 표"}</definedName>
    <definedName name="__xlfn.BAHTTEXT" hidden="1">#NAME?</definedName>
    <definedName name="_1">#N/A</definedName>
    <definedName name="_10">#N/A</definedName>
    <definedName name="_11">#N/A</definedName>
    <definedName name="_12">#N/A</definedName>
    <definedName name="_13">#N/A</definedName>
    <definedName name="_14">#N/A</definedName>
    <definedName name="_15">#N/A</definedName>
    <definedName name="_16">#N/A</definedName>
    <definedName name="_17">#N/A</definedName>
    <definedName name="_18">#N/A</definedName>
    <definedName name="_19">#N/A</definedName>
    <definedName name="_2">#N/A</definedName>
    <definedName name="_20">#N/A</definedName>
    <definedName name="_21">#N/A</definedName>
    <definedName name="_22">#N/A</definedName>
    <definedName name="_23">#N/A</definedName>
    <definedName name="_24">#N/A</definedName>
    <definedName name="_25">#N/A</definedName>
    <definedName name="_26">#N/A</definedName>
    <definedName name="_27">#N/A</definedName>
    <definedName name="_28">#N/A</definedName>
    <definedName name="_29">#N/A</definedName>
    <definedName name="_3">#N/A</definedName>
    <definedName name="_30">#N/A</definedName>
    <definedName name="_31">#N/A</definedName>
    <definedName name="_32">#N/A</definedName>
    <definedName name="_33">#N/A</definedName>
    <definedName name="_34">#N/A</definedName>
    <definedName name="_35">#N/A</definedName>
    <definedName name="_36">#N/A</definedName>
    <definedName name="_37">#N/A</definedName>
    <definedName name="_38">#N/A</definedName>
    <definedName name="_39">#N/A</definedName>
    <definedName name="_4">#N/A</definedName>
    <definedName name="_40">#N/A</definedName>
    <definedName name="_41">#N/A</definedName>
    <definedName name="_42">#N/A</definedName>
    <definedName name="_43">#N/A</definedName>
    <definedName name="_44">#N/A</definedName>
    <definedName name="_45">#N/A</definedName>
    <definedName name="_46">#N/A</definedName>
    <definedName name="_47">#N/A</definedName>
    <definedName name="_48">#N/A</definedName>
    <definedName name="_49">#N/A</definedName>
    <definedName name="_5">#N/A</definedName>
    <definedName name="_50">#N/A</definedName>
    <definedName name="_51">#N/A</definedName>
    <definedName name="_52">#N/A</definedName>
    <definedName name="_53">#N/A</definedName>
    <definedName name="_54">#N/A</definedName>
    <definedName name="_55">#N/A</definedName>
    <definedName name="_56">#N/A</definedName>
    <definedName name="_57">#N/A</definedName>
    <definedName name="_58">#N/A</definedName>
    <definedName name="_59">#N/A</definedName>
    <definedName name="_6">#N/A</definedName>
    <definedName name="_60">#N/A</definedName>
    <definedName name="_61">#N/A</definedName>
    <definedName name="_62">#N/A</definedName>
    <definedName name="_63">#N/A</definedName>
    <definedName name="_64">#N/A</definedName>
    <definedName name="_65">#N/A</definedName>
    <definedName name="_66">#N/A</definedName>
    <definedName name="_67">#N/A</definedName>
    <definedName name="_68">#N/A</definedName>
    <definedName name="_69">#N/A</definedName>
    <definedName name="_7">#N/A</definedName>
    <definedName name="_70">#N/A</definedName>
    <definedName name="_71">#N/A</definedName>
    <definedName name="_72">#N/A</definedName>
    <definedName name="_73">#N/A</definedName>
    <definedName name="_74">#N/A</definedName>
    <definedName name="_75">#N/A</definedName>
    <definedName name="_76">#N/A</definedName>
    <definedName name="_77">#N/A</definedName>
    <definedName name="_78">#N/A</definedName>
    <definedName name="_79">#N/A</definedName>
    <definedName name="_8">#N/A</definedName>
    <definedName name="_80">#N/A</definedName>
    <definedName name="_81">#N/A</definedName>
    <definedName name="_82">#N/A</definedName>
    <definedName name="_83">#N/A</definedName>
    <definedName name="_84">#N/A</definedName>
    <definedName name="_85">#N/A</definedName>
    <definedName name="_86">#N/A</definedName>
    <definedName name="_87">#N/A</definedName>
    <definedName name="_88">#N/A</definedName>
    <definedName name="_89">#N/A</definedName>
    <definedName name="_9">#N/A</definedName>
    <definedName name="_90">#N/A</definedName>
    <definedName name="_91">#N/A</definedName>
    <definedName name="_92">#N/A</definedName>
    <definedName name="_93">#N/A</definedName>
    <definedName name="_94">#N/A</definedName>
    <definedName name="_95">#N/A</definedName>
    <definedName name="_96">#N/A</definedName>
    <definedName name="_97">#N/A</definedName>
    <definedName name="_98">#N/A</definedName>
    <definedName name="_99">#N/A</definedName>
    <definedName name="_C">#REF!</definedName>
    <definedName name="_xlnm._FilterDatabase" localSheetId="0" hidden="1">'Rent Roll'!$A$6:$AN$99</definedName>
    <definedName name="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Key1" hidden="1">#REF!</definedName>
    <definedName name="_Order1" hidden="1">255</definedName>
    <definedName name="_Order2" hidden="1">255</definedName>
    <definedName name="_PL7" hidden="1">{#N/A,#N/A,TRUE,"대 차 대 조 표"}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Out" hidden="1">#REF!</definedName>
    <definedName name="\a">#N/A</definedName>
    <definedName name="\b">#N/A</definedName>
    <definedName name="\c">#N/A</definedName>
    <definedName name="\d">#N/A</definedName>
    <definedName name="\e">#N/A</definedName>
    <definedName name="\f">#N/A</definedName>
    <definedName name="\g">#N/A</definedName>
    <definedName name="\h">#N/A</definedName>
    <definedName name="\i">#N/A</definedName>
    <definedName name="\j">#N/A</definedName>
    <definedName name="\k">#N/A</definedName>
    <definedName name="\l">#N/A</definedName>
    <definedName name="\m">#N/A</definedName>
    <definedName name="\n">#N/A</definedName>
    <definedName name="\o">#N/A</definedName>
    <definedName name="\p">#N/A</definedName>
    <definedName name="\q">#REF!</definedName>
    <definedName name="\r">#N/A</definedName>
    <definedName name="\s">#N/A</definedName>
    <definedName name="\u">#N/A</definedName>
    <definedName name="\v">#N/A</definedName>
    <definedName name="\x">#N/A</definedName>
    <definedName name="\y">#N/A</definedName>
    <definedName name="\z">#N/A</definedName>
    <definedName name="A">#REF!</definedName>
    <definedName name="A_I">#REF!</definedName>
    <definedName name="A_I1">#REF!</definedName>
    <definedName name="A_I2">#REF!</definedName>
    <definedName name="A_I3">#REF!</definedName>
    <definedName name="A_I4">#REF!</definedName>
    <definedName name="A_P">#REF!</definedName>
    <definedName name="A315yoo1">#REF!</definedName>
    <definedName name="AAA_DOCTOPS" hidden="1">"AAA_SET"</definedName>
    <definedName name="AAA_duser" hidden="1">"OFF"</definedName>
    <definedName name="aab" hidden="1">{#N/A,#N/A,FALSE,"동부"}</definedName>
    <definedName name="AAB_Addin5" hidden="1">"AAB_Description for addin 5,Description for addin 5,Description for addin 5,Description for addin 5,Description for addin 5,Description for addin 5"</definedName>
    <definedName name="ab" hidden="1">1</definedName>
    <definedName name="Access_Button" hidden="1">"종합사번1999년_99년02월_퇴사__List"</definedName>
    <definedName name="AccessDatabase" hidden="1">"C:\My Documents\사번\종합사번1999년.mdb"</definedName>
    <definedName name="ADSDF" hidden="1">{#N/A,#N/A,TRUE,"Y생산";#N/A,#N/A,TRUE,"Y판매";#N/A,#N/A,TRUE,"Y총물량";#N/A,#N/A,TRUE,"Y능력";#N/A,#N/A,TRUE,"YKD"}</definedName>
    <definedName name="anscount" hidden="1">2</definedName>
    <definedName name="app.3.2.2" hidden="1">{#N/A,#N/A,FALSE,"동부"}</definedName>
    <definedName name="App3.2.2" hidden="1">{#N/A,#N/A,TRUE,"대 차 대 조 표"}</definedName>
    <definedName name="AS2DocOpenMode" hidden="1">"AS2DocumentEdit"</definedName>
    <definedName name="B">#REF!</definedName>
    <definedName name="B_I">#REF!</definedName>
    <definedName name="B_I1">#REF!</definedName>
    <definedName name="B_I2">#REF!</definedName>
    <definedName name="B_I3">#REF!</definedName>
    <definedName name="B_I4">#REF!</definedName>
    <definedName name="B_P">#REF!</definedName>
    <definedName name="ban" hidden="1">{#N/A,#N/A,FALSE,"5YRASSPl - consol'd";#N/A,#N/A,FALSE,"5YRASSPl - hotel";#N/A,#N/A,FALSE,"5YRASSPl - excl htl";#N/A,#N/A,FALSE,"VarReport";#N/A,#N/A,FALSE,"Sensitivity";#N/A,#N/A,FALSE,"House View ";#N/A,#N/A,FALSE,"KPI"}</definedName>
    <definedName name="BASE">#REF!</definedName>
    <definedName name="Beachwood" hidden="1">{"p",#N/A,FALSE,"Sheet1";"p 2",#N/A,FALSE,"Sheet1";"p 3",#N/A,FALSE,"Sheet1"}</definedName>
    <definedName name="Beachwood_1" hidden="1">{"p",#N/A,FALSE,"Sheet1";"p 2",#N/A,FALSE,"Sheet1";"p 3",#N/A,FALSE,"Sheet1"}</definedName>
    <definedName name="BU별" hidden="1">{#N/A,#N/A,FALSE,"동부"}</definedName>
    <definedName name="C_">#REF!</definedName>
    <definedName name="CATEGORY">#N/A</definedName>
    <definedName name="cf" hidden="1">#REF!</definedName>
    <definedName name="CF요인" hidden="1">#REF!</definedName>
    <definedName name="CONSTANT">#REF!</definedName>
    <definedName name="D">#REF!</definedName>
    <definedName name="_xlnm.Database">#N/A</definedName>
    <definedName name="DDDDDDDDDD" hidden="1">{#N/A,#N/A,TRUE,"Y생산";#N/A,#N/A,TRUE,"Y판매";#N/A,#N/A,TRUE,"Y총물량";#N/A,#N/A,TRUE,"Y능력";#N/A,#N/A,TRUE,"YKD"}</definedName>
    <definedName name="DETAIL">#N/A</definedName>
    <definedName name="DFL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NFL" hidden="1">{#N/A,#N/A,FALSE,"동부"}</definedName>
    <definedName name="DOGUB">#REF!</definedName>
    <definedName name="DPFLSDPFL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dsfkljsd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dsgsdgsd" hidden="1">{#N/A,#N/A,FALSE,"5YRASSPl - consol'd";#N/A,#N/A,FALSE,"5YRASSPl - hotel";#N/A,#N/A,FALSE,"5YRASSPl - excl htl";#N/A,#N/A,FALSE,"VarReport";#N/A,#N/A,FALSE,"Sensitivity";#N/A,#N/A,FALSE,"House View ";#N/A,#N/A,FALSE,"KPI"}</definedName>
    <definedName name="E">#REF!</definedName>
    <definedName name="F">#N/A</definedName>
    <definedName name="g">#REF!</definedName>
    <definedName name="GINPUT">#REF!</definedName>
    <definedName name="H">#N/A</definedName>
    <definedName name="haha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hgkdj" hidden="1">{"AnnualRentRoll",#N/A,FALSE,"RentRoll"}</definedName>
    <definedName name="hgkdj_1" hidden="1">{"AnnualRentRoll",#N/A,FALSE,"RentRoll"}</definedName>
    <definedName name="hjdg" hidden="1">{#N/A,#N/A,FALSE,"PropertyInfo"}</definedName>
    <definedName name="hjdg_1" hidden="1">{#N/A,#N/A,FALSE,"PropertyInfo"}</definedName>
    <definedName name="I">#N/A</definedName>
    <definedName name="INCREASED">#REF!</definedName>
    <definedName name="INETOTHER">#REF!</definedName>
    <definedName name="INETPPE">#REF!</definedName>
    <definedName name="j">#REF!</definedName>
    <definedName name="jd" hidden="1">{#N/A,#N/A,FALSE,"LoanAssumptions"}</definedName>
    <definedName name="jd_1" hidden="1">{#N/A,#N/A,FALSE,"LoanAssumptions"}</definedName>
    <definedName name="k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kyd.CounterLimitCell.01." hidden="1">"x"</definedName>
    <definedName name="kyd.Dim.01." hidden="1">"local:Company"</definedName>
    <definedName name="kyd.ElementList.01." hidden="1">#REF!</definedName>
    <definedName name="kyd.ElementType.01." hidden="1">3</definedName>
    <definedName name="kyd.ItemType.01." hidden="1">2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"FormatReport"</definedName>
    <definedName name="kyd.MacroEndOfEachCycle." hidden="1">""</definedName>
    <definedName name="kyd.MacroStartOfProc." hidden="1">""</definedName>
    <definedName name="kyd.MemoCtrlNum." hidden="1">0</definedName>
    <definedName name="kyd.MemoSortHide." hidden="1">FALSE</definedName>
    <definedName name="kyd.NumLevels.01." hidden="1">999</definedName>
    <definedName name="kyd.PanicStop." hidden="1">FALSE</definedName>
    <definedName name="kyd.ParentName.01." hidden="1">""</definedName>
    <definedName name="kyd.PreScreenData." hidden="1">FALSE</definedName>
    <definedName name="kyd.PrintMemo." hidden="1">FALSE</definedName>
    <definedName name="kyd.PrintParent.01." hidden="1">TRUE</definedName>
    <definedName name="kyd.PrintStdWhen." hidden="1">3</definedName>
    <definedName name="kyd.PrintToWbk." hidden="1">FALSE</definedName>
    <definedName name="kyd.ProcessInCycle." hidden="1">FALSE</definedName>
    <definedName name="kyd.SaveAsFile." hidden="1">FALSE</definedName>
    <definedName name="kyd.SaveMemo." hidden="1">FALSE</definedName>
    <definedName name="kyd.SelectString.01." hidden="1">"*"</definedName>
    <definedName name="kyd.Shortcut." hidden="1">FALSE</definedName>
    <definedName name="kyd.StdSortHide." hidden="1">FALSE</definedName>
    <definedName name="kyd.StopRow." hidden="1">65536</definedName>
    <definedName name="kyd.WriteMemWhenOptn." hidden="1">3</definedName>
    <definedName name="l" hidden="1">{#N/A,#N/A,FALSE,"동부"}</definedName>
    <definedName name="LG">#REF!</definedName>
    <definedName name="lll">#REF!</definedName>
    <definedName name="lllllll">#REF!</definedName>
    <definedName name="m">#REF!</definedName>
    <definedName name="MHELP">#REF!</definedName>
    <definedName name="mmm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Months">#REF!</definedName>
    <definedName name="n">#REF!</definedName>
    <definedName name="NO">#N/A</definedName>
    <definedName name="November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ocf" hidden="1">#REF!</definedName>
    <definedName name="opo" hidden="1">{#N/A,#N/A,FALSE,"지침";#N/A,#N/A,FALSE,"환경분석";#N/A,#N/A,FALSE,"Sheet16"}</definedName>
    <definedName name="PQ점수">"Dialog Frame 1"</definedName>
    <definedName name="print">#REF!</definedName>
    <definedName name="_xlnm.Print_Area" localSheetId="0">'Rent Roll'!$A$1:$BB$114</definedName>
    <definedName name="Print_title">#REF!,#REF!</definedName>
    <definedName name="_xlnm.Print_Titles">#REF!</definedName>
    <definedName name="PROJECT">#N/A</definedName>
    <definedName name="QQQAAASSS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R_">#REF!</definedName>
    <definedName name="_xlnm.Recorder">#REF!</definedName>
    <definedName name="REMK">#N/A</definedName>
    <definedName name="rewr" hidden="1">{#N/A,#N/A,FALSE,"이력서&amp;자기소개서"}</definedName>
    <definedName name="rewrs" hidden="1">{#N/A,#N/A,FALSE,"이력서&amp;자기소개서"}</definedName>
    <definedName name="sadd" hidden="1">{"MonthlyRentRoll",#N/A,FALSE,"RentRoll"}</definedName>
    <definedName name="sadd_1" hidden="1">{"MonthlyRentRoll",#N/A,FALSE,"RentRoll"}</definedName>
    <definedName name="saddd" hidden="1">{"AnnualRentRoll",#N/A,FALSE,"RentRoll"}</definedName>
    <definedName name="saddd_1" hidden="1">{"AnnualRentRoll",#N/A,FALSE,"RentRoll"}</definedName>
    <definedName name="saddddd" hidden="1">{"AnnualRentRoll",#N/A,FALSE,"RentRoll"}</definedName>
    <definedName name="saddddd_1" hidden="1">{"AnnualRentRoll",#N/A,FALSE,"RentRoll"}</definedName>
    <definedName name="sadddddddd" hidden="1">{#N/A,#N/A,FALSE,"ExitStratigy"}</definedName>
    <definedName name="sadddddddd_1" hidden="1">{#N/A,#N/A,FALSE,"ExitStratigy"}</definedName>
    <definedName name="sadddddddddd" hidden="1">{#N/A,#N/A,FALSE,"LoanAssumptions"}</definedName>
    <definedName name="sadddddddddd_1" hidden="1">{#N/A,#N/A,FALSE,"LoanAssumptions"}</definedName>
    <definedName name="saddddddddddddd" hidden="1">{#N/A,#N/A,FALSE,"OperatingAssumptions"}</definedName>
    <definedName name="saddddddddddddd_1" hidden="1">{#N/A,#N/A,FALSE,"OperatingAssumptions"}</definedName>
    <definedName name="sdsss">#REF!</definedName>
    <definedName name="sencount" hidden="1">1</definedName>
    <definedName name="SEQU">#N/A</definedName>
    <definedName name="SEXP">#N/A</definedName>
    <definedName name="SIZE">#N/A</definedName>
    <definedName name="SLAB">#N/A</definedName>
    <definedName name="SMAT">#N/A</definedName>
    <definedName name="SMHR">#N/A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hs1" hidden="1">#REF!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pre" hidden="1">0.000001</definedName>
    <definedName name="solver_rel1" hidden="1">1</definedName>
    <definedName name="solver_rhs1" hidden="1">#REF!*1.5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ss" hidden="1">{#N/A,#N/A,FALSE,"동부"}</definedName>
    <definedName name="start">#REF!</definedName>
    <definedName name="table">#REF!</definedName>
    <definedName name="TextRefCopyRangeCount" hidden="1">20</definedName>
    <definedName name="TITLE">#REF!</definedName>
    <definedName name="Total_Debt">#REF!+#REF!</definedName>
    <definedName name="ttttt" hidden="1">{#N/A,#N/A,FALSE,"지침";#N/A,#N/A,FALSE,"환경분석";#N/A,#N/A,FALSE,"Sheet16"}</definedName>
    <definedName name="UNIT">#N/A</definedName>
    <definedName name="up" hidden="1">{#N/A,#N/A,FALSE,"지침";#N/A,#N/A,FALSE,"환경분석";#N/A,#N/A,FALSE,"Sheet16"}</definedName>
    <definedName name="WEARF" hidden="1">{#N/A,#N/A,TRUE,"Y생산";#N/A,#N/A,TRUE,"Y판매";#N/A,#N/A,TRUE,"Y총물량";#N/A,#N/A,TRUE,"Y능력";#N/A,#N/A,TRUE,"YKD"}</definedName>
    <definedName name="wkqcjf">#REF!</definedName>
    <definedName name="wrn.97." hidden="1">{#N/A,#N/A,FALSE,"지침";#N/A,#N/A,FALSE,"환경분석";#N/A,#N/A,FALSE,"Sheet16"}</definedName>
    <definedName name="wrn.97년._.9월._.임차현황." hidden="1">{#N/A,#N/A,FALSE,"동부"}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nnualRentRoll" hidden="1">{"AnnualRentRoll",#N/A,FALSE,"RentRoll"}</definedName>
    <definedName name="wrn.AnnualRentRoll." hidden="1">{"AnnualRentRoll",#N/A,FALSE,"RentRoll"}</definedName>
    <definedName name="wrn.AnnualRentRoll._1" hidden="1">{"AnnualRentRoll",#N/A,FALSE,"RentRoll"}</definedName>
    <definedName name="wrn.AnnualRentRoll_1" hidden="1">{"AnnualRentRoll",#N/A,FALSE,"RentRoll"}</definedName>
    <definedName name="wrn.balance._.france." hidden="1">{"Balance france 1",#N/A,TRUE,"modele balance France";"Balance france 2",#N/A,TRUE,"modele balance France";"balance france 3",#N/A,TRUE,"modele balance France";"page4",#N/A,TRUE,"modele balance France";"page5",#N/A,TRUE,"modele balance France";"page6",#N/A,TRUE,"modele balance France";"page7",#N/A,TRUE,"modele balance France";"page8",#N/A,TRUE,"modele balance France";"page9",#N/A,TRUE,"modele balance France";"page10",#N/A,TRUE,"modele balance France";"page11",#N/A,TRUE,"modele balance France";"page12",#N/A,TRUE,"modele balance France";"page13",#N/A,TRUE,"modele balance France";"page14",#N/A,TRUE,"modele balance France";"page15",#N/A,TRUE,"modele balance France"}</definedName>
    <definedName name="wrn.BL94TAXRETURN.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budget." hidden="1">{"budget1",#N/A,FALSE,"BUDG.XLS";"budget2",#N/A,FALSE,"BUDG.XLS"}</definedName>
    <definedName name="wrn.Capex." hidden="1">{#N/A,#N/A,TRUE,"Capex Summ";#N/A,#N/A,TRUE,"Essential Works.tw";#N/A,#N/A,TRUE,"Desirable Works.tw";#N/A,#N/A,TRUE,"Essential Works.rt";#N/A,#N/A,TRUE,"Desirable Works.rt";#N/A,#N/A,TRUE,"Mthly";#N/A,#N/A,TRUE,"Essential Works.ht";#N/A,#N/A,TRUE,"Desirable Works.ht";#N/A,#N/A,TRUE,"Incentives"}</definedName>
    <definedName name="wrn.Chart._.of._.Accounts." hidden="1">{#N/A,#N/A,FALSE,"Categories";#N/A,#N/A,FALSE,"MRi INCH";#N/A,#N/A,FALSE,"COA Usage";#N/A,#N/A,FALSE,"Detail"}</definedName>
    <definedName name="wrn.CIC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omplet._.sauf._.balance." hidden="1">{"VUEIS",#N/A,FALSE,"calcul IS";"FNP",#N/A,FALSE,"FNP";"CCA",#N/A,FALSE,"CCA et produits a recevoir";"IMPOTS",#N/A,FALSE,"TAXESet prov charges sociales";"FRAISFI",#N/A,FALSE,"Intérêts financiers, PCA ";"budget1",#N/A,FALSE,"BUDG.XLS";"budget2",#N/A,FALSE,"BUDG.XLS";"marge complete",#N/A,FALSE,"marge";"VUECUMUL",#N/A,FALSE,"marge cumulée";"page 25",#N/A,FALSE,"inventory Summary";#N/A,#N/A,FALSE,"reserves and accruals";#N/A,#N/A,FALSE,"contrôle"}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ExitAndSalesAssumptions." hidden="1">{#N/A,#N/A,FALSE,"ExitStratigy"}</definedName>
    <definedName name="wrn.ExitAndSalesAssumptions._1" hidden="1">{#N/A,#N/A,FALSE,"ExitStratigy"}</definedName>
    <definedName name="wrn.fullreport." hidden="1">{#N/A,#N/A,FALSE,"530&amp;120Consol";#N/A,#N/A,FALSE,"530aplan";#N/A,#N/A,FALSE,"120aplan";#N/A,#N/A,FALSE,"mgmt report";#N/A,#N/A,FALSE,"variance";#N/A,#N/A,FALSE,"SENSITIVE 9899";#N/A,#N/A,FALSE,"Letup 530";#N/A,#N/A,FALSE,"LETUP 120";#N/A,#N/A,FALSE,"Rent Review";#N/A,#N/A,FALSE,"Option";#N/A,#N/A,FALSE,"530 capex summ";#N/A,#N/A,FALSE,"120 capex summ";#N/A,#N/A,FALSE,"mtlhy cashflow";#N/A,#N/A,FALSE,"530 Collins E&amp;D";#N/A,#N/A,FALSE,"120 King E&amp;D";#N/A,#N/A,FALSE,"House View  530std  "}</definedName>
    <definedName name="wrn.IFF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oanInformation." hidden="1">{#N/A,#N/A,FALSE,"LoanAssumptions"}</definedName>
    <definedName name="wrn.LoanInformation._1" hidden="1">{#N/A,#N/A,FALSE,"LoanAssumptions"}</definedName>
    <definedName name="wrn.lodging." hidden="1">{"p",#N/A,FALSE,"Sheet1";"p 2",#N/A,FALSE,"Sheet1";"p 3",#N/A,FALSE,"Sheet1"}</definedName>
    <definedName name="wrn.lodging._1" hidden="1">{"p",#N/A,FALSE,"Sheet1";"p 2",#N/A,FALSE,"Sheet1";"p 3",#N/A,FALSE,"Sheet1"}</definedName>
    <definedName name="wrn.MonthlyRentRoll." hidden="1">{"MonthlyRentRoll",#N/A,FALSE,"RentRoll"}</definedName>
    <definedName name="wrn.MonthlyRentRoll._1" hidden="1">{"MonthlyRentRoll",#N/A,FALSE,"RentRoll"}</definedName>
    <definedName name="wrn.mortassetplan." hidden="1">{#N/A,#N/A,FALSE,"asset plan";#N/A,#N/A,FALSE,"Mgmt Report";#N/A,#N/A,FALSE,"sensitivities (2)";#N/A,#N/A,FALSE,"sensitivities";#N/A,#N/A,FALSE,"let up 10  Mort";#N/A,#N/A,FALSE,"let up 12 Mort";#N/A,#N/A,FALSE,"Capex";#N/A,#N/A,FALSE,"Capex Cashflow (2)";#N/A,#N/A,FALSE,"Capex Cashflow (3)";#N/A,#N/A,FALSE,"House View";#N/A,#N/A,FALSE,"kpi"}</definedName>
    <definedName name="wrn.OperatingAssumtions." hidden="1">{#N/A,#N/A,FALSE,"OperatingAssumptions"}</definedName>
    <definedName name="wrn.OperatingAssumtions._1" hidden="1">{#N/A,#N/A,FALSE,"OperatingAssumptions"}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resentation." hidden="1">{#N/A,#N/A,TRUE,"Summary";"AnnualRentRoll",#N/A,TRUE,"RentRoll";#N/A,#N/A,TRUE,"ExitStratigy";#N/A,#N/A,TRUE,"OperatingAssumptions"}</definedName>
    <definedName name="wrn.Presentation._1" hidden="1">{#N/A,#N/A,TRUE,"Summary";"AnnualRentRoll",#N/A,TRUE,"RentRoll";#N/A,#N/A,TRUE,"ExitStratigy";#N/A,#N/A,TRUE,"OperatingAssumptions"}</definedName>
    <definedName name="wrn.print." hidden="1">{"page1",#N/A,FALSE,"Sheet1";"page2",#N/A,FALSE,"Sheet1"}</definedName>
    <definedName name="wrn.print._1" hidden="1">{"page1",#N/A,FALSE,"Sheet1";"page2",#N/A,FALSE,"Sheet1"}</definedName>
    <definedName name="wrn.PropertyInformation." hidden="1">{#N/A,#N/A,FALSE,"PropertyInfo"}</definedName>
    <definedName name="wrn.PropertyInformation._1" hidden="1">{#N/A,#N/A,FALSE,"PropertyInfo"}</definedName>
    <definedName name="wrn.QAPU." hidden="1">{#N/A,#N/A,FALSE,"5YRASSPl - consol'd";#N/A,#N/A,FALSE,"5YRASSPl - hotel";#N/A,#N/A,FALSE,"5YRASSPl - excl htl";#N/A,#N/A,FALSE,"VarReport";#N/A,#N/A,FALSE,"Sensitivity";#N/A,#N/A,FALSE,"House View ";#N/A,#N/A,FALSE,"KPI"}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ituation._.complete." hidden="1">{"balance france 1",#N/A,TRUE,"modele balance France";"balance france 2",#N/A,TRUE,"modele balance France";"balance france 3",#N/A,TRUE,"modele balance France";"page4",#N/A,TRUE,"modele balance France";"page5",#N/A,TRUE,"modele balance France";"page6",#N/A,TRUE,"modele balance France";"page7",#N/A,TRUE,"modele balance France";"page8",#N/A,TRUE,"modele balance France";"page9",#N/A,TRUE,"modele balance France";"page10",#N/A,TRUE,"modele balance France";"page11",#N/A,TRUE,"modele balance France";"page12",#N/A,TRUE,"modele balance France";"page13",#N/A,TRUE,"modele balance France";"page14",#N/A,TRUE,"modele balance France";"page15",#N/A,TRUE,"modele balance France";"vueis",#N/A,TRUE,"calcul IS";"FNP",#N/A,TRUE,"FNP";"CCA",#N/A,TRUE,"CCA et produits a recevoir";"I&amp;T",#N/A,TRUE,"TAXESet prov charges sociales";"Interets",#N/A,TRUE,"Intérêts financiers, PCA ";"Budget",#N/A,TRUE,"BUDG.XLS";"cashflow",#N/A,TRUE,"cash flow";"margemensuelle",#N/A,TRUE,"marge";"margecumulée",#N/A,TRUE,"marge cumulée";"inventory",#N/A,TRUE,"inventory Summary";"interco",#N/A,TRUE,"interco";"assets",#N/A,TRUE,"assets";"controle",#N/A,TRUE,"contrôle"}</definedName>
    <definedName name="wrn.Summary." hidden="1">{#N/A,#N/A,FALSE,"Summary"}</definedName>
    <definedName name="wrn.Summary._1" hidden="1">{#N/A,#N/A,FALSE,"Summary"}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건설기계사업소._.상반기보고." hidden="1">{#N/A,#N/A,FALSE,"사업총괄";#N/A,#N/A,FALSE,"장비사업";#N/A,#N/A,FALSE,"철구사업";#N/A,#N/A,FALSE,"준설사업"}</definedName>
    <definedName name="wrn.대차._.대조표." hidden="1">{#N/A,#N/A,TRUE,"대 차 대 조 표"}</definedName>
    <definedName name="wrn.변경예산." hidden="1">{#N/A,#N/A,FALSE,"변경관리예산";#N/A,#N/A,FALSE,"변경장비예산";#N/A,#N/A,FALSE,"변경준설예산";#N/A,#N/A,FALSE,"변경철구예산"}</definedName>
    <definedName name="wrn.사업현황." hidden="1">{#N/A,#N/A,FALSE,"표지";#N/A,#N/A,FALSE,"조직표";#N/A,#N/A,FALSE,"정직원인원";#N/A,#N/A,FALSE,"사업계획";#N/A,#N/A,FALSE,"부동산";#N/A,#N/A,FALSE,"장비현황";#N/A,#N/A,FALSE,"장비가동";#N/A,#N/A,FALSE,"매각장비";#N/A,#N/A,FALSE,"철구제작";#N/A,#N/A,FALSE,"철구수주";#N/A,#N/A,FALSE,"철구시설";#N/A,#N/A,FALSE,"준설장비";#N/A,#N/A,FALSE,"준설수량";#N/A,#N/A,FALSE,"골재인원";#N/A,#N/A,FALSE,"골재손익";#N/A,#N/A,FALSE,"노조현황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예상손익." hidden="1">{#N/A,#N/A,FALSE,"예상손익";#N/A,#N/A,FALSE,"관리분석";#N/A,#N/A,FALSE,"장비분석";#N/A,#N/A,FALSE,"준설분석";#N/A,#N/A,FALSE,"철구분석"}</definedName>
    <definedName name="wrn.이력서._.자기소개서." hidden="1">{#N/A,#N/A,FALSE,"이력서&amp;자기소개서"}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XRefColumnsCount" hidden="1">2</definedName>
    <definedName name="XRefCopyRangeCount" hidden="1">12</definedName>
    <definedName name="Y.S.KIM">#REF!,#REF!,#REF!,#REF!,#REF!,#REF!,#REF!,#REF!,#REF!,#REF!,#REF!,#REF!,#REF!,#REF!,#REF!,#REF!,#REF!,#REF!,#REF!</definedName>
    <definedName name="yoo10">#REF!</definedName>
    <definedName name="yoo2">#REF!</definedName>
    <definedName name="yoo3">#REF!</definedName>
    <definedName name="yoo4">#REF!</definedName>
    <definedName name="yoo8">#REF!</definedName>
    <definedName name="yyy" hidden="1">{#N/A,#N/A,FALSE,"지침";#N/A,#N/A,FALSE,"환경분석";#N/A,#N/A,FALSE,"Sheet16"}</definedName>
    <definedName name="ああああああ" hidden="1">{#N/A,#N/A,FALSE,"Categories";#N/A,#N/A,FALSE,"MRi INCH";#N/A,#N/A,FALSE,"COA Usage";#N/A,#N/A,FALSE,"Detail"}</definedName>
    <definedName name="ㄱㄱㄱㄱ" hidden="1">{#N/A,#N/A,FALSE,"지침";#N/A,#N/A,FALSE,"환경분석";#N/A,#N/A,FALSE,"Sheet16"}</definedName>
    <definedName name="갑지">#REF!</definedName>
    <definedName name="개발양수도3">#REF!</definedName>
    <definedName name="개선내용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건설팀" hidden="1">{#N/A,#N/A,TRUE,"Y생산";#N/A,#N/A,TRUE,"Y판매";#N/A,#N/A,TRUE,"Y총물량";#N/A,#N/A,TRUE,"Y능력";#N/A,#N/A,TRUE,"YKD"}</definedName>
    <definedName name="건축1">#REF!</definedName>
    <definedName name="건축팀별" hidden="1">{#N/A,#N/A,FALSE,"지침";#N/A,#N/A,FALSE,"환경분석";#N/A,#N/A,FALSE,"Sheet16"}</definedName>
    <definedName name="견적">#REF!</definedName>
    <definedName name="계수" hidden="1">{#N/A,#N/A,FALSE,"지침";#N/A,#N/A,FALSE,"환경분석";#N/A,#N/A,FALSE,"Sheet16"}</definedName>
    <definedName name="골조">#REF!</definedName>
    <definedName name="공">#REF!</definedName>
    <definedName name="공기">#REF!</definedName>
    <definedName name="공문">#REF!</definedName>
    <definedName name="공사개요">#REF!</definedName>
    <definedName name="공종">#REF!</definedName>
    <definedName name="구분">#REF!</definedName>
    <definedName name="ㄴㅇ" hidden="1">{#N/A,#N/A,TRUE,"Y생산";#N/A,#N/A,TRUE,"Y판매";#N/A,#N/A,TRUE,"Y총물량";#N/A,#N/A,TRUE,"Y능력";#N/A,#N/A,TRUE,"YKD"}</definedName>
    <definedName name="ㄴㅇㄹㄴㅇㄹ" hidden="1">{#N/A,#N/A,TRUE,"Y생산";#N/A,#N/A,TRUE,"Y판매";#N/A,#N/A,TRUE,"Y총물량";#N/A,#N/A,TRUE,"Y능력";#N/A,#N/A,TRUE,"YKD"}</definedName>
    <definedName name="ㄴㅇㄹㄴㅇㄹㄴㅇㄹ" hidden="1">{#N/A,#N/A,TRUE,"Y생산";#N/A,#N/A,TRUE,"Y판매";#N/A,#N/A,TRUE,"Y총물량";#N/A,#N/A,TRUE,"Y능력";#N/A,#N/A,TRUE,"YKD"}</definedName>
    <definedName name="ㄴㅇㅇㄴ" hidden="1">{#N/A,#N/A,FALSE,"동부"}</definedName>
    <definedName name="내영.." hidden="1">{#N/A,#N/A,TRUE,"Y생산";#N/A,#N/A,TRUE,"Y판매";#N/A,#N/A,TRUE,"Y총물량";#N/A,#N/A,TRUE,"Y능력";#N/A,#N/A,TRUE,"YKD"}</definedName>
    <definedName name="내용" hidden="1">{#N/A,#N/A,TRUE,"Y생산";#N/A,#N/A,TRUE,"Y판매";#N/A,#N/A,TRUE,"Y총물량";#N/A,#N/A,TRUE,"Y능력";#N/A,#N/A,TRUE,"YKD"}</definedName>
    <definedName name="ㄷㄷㄷㄷㄷ" hidden="1">{#N/A,#N/A,FALSE,"동부"}</definedName>
    <definedName name="ㄷㅇ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담.원">#REF!</definedName>
    <definedName name="담보">#REF!</definedName>
    <definedName name="담보권">#REF!</definedName>
    <definedName name="대구200203빌딩별임차현황" hidden="1">{#N/A,#N/A,FALSE,"동부"}</definedName>
    <definedName name="대구200207" hidden="1">{#N/A,#N/A,FALSE,"동부"}</definedName>
    <definedName name="대구대구" hidden="1">{#N/A,#N/A,FALSE,"동부"}</definedName>
    <definedName name="대전조차2">#REF!</definedName>
    <definedName name="대차123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ㄹㄴㅇㄹㄴㅇㄹㄴㄱㄴㅇ" hidden="1">{#N/A,#N/A,FALSE,"지침";#N/A,#N/A,FALSE,"환경분석";#N/A,#N/A,FALSE,"Sheet16"}</definedName>
    <definedName name="ㅁ" hidden="1">{#N/A,#N/A,FALSE,"변경관리예산";#N/A,#N/A,FALSE,"변경장비예산";#N/A,#N/A,FALSE,"변경준설예산";#N/A,#N/A,FALSE,"변경철구예산"}</definedName>
    <definedName name="ㅁ1100">#REF!</definedName>
    <definedName name="ㅁ1140">#REF!</definedName>
    <definedName name="ㅁa1140">#REF!</definedName>
    <definedName name="ㅁㄴㅇㅁㄴㅇ" hidden="1">{#N/A,#N/A,TRUE,"Y생산";#N/A,#N/A,TRUE,"Y판매";#N/A,#N/A,TRUE,"Y총물량";#N/A,#N/A,TRUE,"Y능력";#N/A,#N/A,TRUE,"YKD"}</definedName>
    <definedName name="ㅁㄴㅇㅁㄴㅇㅁ" hidden="1">{#N/A,#N/A,TRUE,"Y생산";#N/A,#N/A,TRUE,"Y판매";#N/A,#N/A,TRUE,"Y총물량";#N/A,#N/A,TRUE,"Y능력";#N/A,#N/A,TRUE,"YKD"}</definedName>
    <definedName name="ㅁㅁㅁ" hidden="1">{#N/A,#N/A,FALSE,"지침";#N/A,#N/A,FALSE,"환경분석";#N/A,#N/A,FALSE,"Sheet16"}</definedName>
    <definedName name="메롱" hidden="1">{#N/A,#N/A,FALSE,"동부"}</definedName>
    <definedName name="멘트">#REF!</definedName>
    <definedName name="모래">#REF!</definedName>
    <definedName name="모래1">#REF!</definedName>
    <definedName name="무담보">#REF!</definedName>
    <definedName name="물랴자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뮬소" hidden="1">{#N/A,#N/A,TRUE,"Y생산";#N/A,#N/A,TRUE,"Y판매";#N/A,#N/A,TRUE,"Y총물량";#N/A,#N/A,TRUE,"Y능력";#N/A,#N/A,TRUE,"YKD"}</definedName>
    <definedName name="미화" hidden="1">{#N/A,#N/A,FALSE,"이력서&amp;자기소개서"}</definedName>
    <definedName name="민감도" hidden="1">#REF!</definedName>
    <definedName name="ㅂㅂ">#REF!</definedName>
    <definedName name="ㅂㅈㄷㄷㄷ">#N/A</definedName>
    <definedName name="바바라" hidden="1">{#N/A,#N/A,TRUE,"Y생산";#N/A,#N/A,TRUE,"Y판매";#N/A,#N/A,TRUE,"Y총물량";#N/A,#N/A,TRUE,"Y능력";#N/A,#N/A,TRUE,"YKD"}</definedName>
    <definedName name="배분전" hidden="1">{#N/A,#N/A,TRUE,"대 차 대 조 표"}</definedName>
    <definedName name="별지66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분기별" hidden="1">{#N/A,#N/A,TRUE,"Y생산";#N/A,#N/A,TRUE,"Y판매";#N/A,#N/A,TRUE,"Y총물량";#N/A,#N/A,TRUE,"Y능력";#N/A,#N/A,TRUE,"YKD"}</definedName>
    <definedName name="비" hidden="1">{#N/A,#N/A,FALSE,"동부"}</definedName>
    <definedName name="빌" hidden="1">{#N/A,#N/A,FALSE,"동부"}</definedName>
    <definedName name="빌딩" hidden="1">{#N/A,#N/A,FALSE,"동부"}</definedName>
    <definedName name="빌딩2" hidden="1">{#N/A,#N/A,FALSE,"동부"}</definedName>
    <definedName name="빌딩3" hidden="1">{#N/A,#N/A,FALSE,"동부"}</definedName>
    <definedName name="빌딩별2" hidden="1">{#N/A,#N/A,FALSE,"동부"}</definedName>
    <definedName name="빌딩별강남" hidden="1">{#N/A,#N/A,FALSE,"동부"}</definedName>
    <definedName name="사" hidden="1">{#N/A,#N/A,FALSE,"지침";#N/A,#N/A,FALSE,"환경분석";#N/A,#N/A,FALSE,"Sheet16"}</definedName>
    <definedName name="사1" hidden="1">{#N/A,#N/A,FALSE,"지침";#N/A,#N/A,FALSE,"환경분석";#N/A,#N/A,FALSE,"Sheet16"}</definedName>
    <definedName name="상각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서비스임대" hidden="1">#REF!</definedName>
    <definedName name="세전익익" hidden="1">{#N/A,#N/A,FALSE,"지침";#N/A,#N/A,FALSE,"환경분석";#N/A,#N/A,FALSE,"Sheet16"}</definedName>
    <definedName name="손익">#REF!</definedName>
    <definedName name="손익변경" hidden="1">{#N/A,#N/A,FALSE,"지침";#N/A,#N/A,FALSE,"환경분석";#N/A,#N/A,FALSE,"Sheet16"}</definedName>
    <definedName name="수광비" hidden="1">{#N/A,#N/A,FALSE,"동부"}</definedName>
    <definedName name="수도" hidden="1">{#N/A,#N/A,FALSE,"동부"}</definedName>
    <definedName name="수입" hidden="1">{#N/A,#N/A,TRUE,"대 차 대 조 표"}</definedName>
    <definedName name="수정물량" hidden="1">{#N/A,#N/A,TRUE,"Y생산";#N/A,#N/A,TRUE,"Y판매";#N/A,#N/A,TRUE,"Y총물량";#N/A,#N/A,TRUE,"Y능력";#N/A,#N/A,TRUE,"YKD"}</definedName>
    <definedName name="시">#REF!</definedName>
    <definedName name="ㅇ" hidden="1">{#N/A,#N/A,FALSE,"동부"}</definedName>
    <definedName name="ㅇㄴㄻㄴㅇㄹ" hidden="1">{#N/A,#N/A,TRUE,"Y생산";#N/A,#N/A,TRUE,"Y판매";#N/A,#N/A,TRUE,"Y총물량";#N/A,#N/A,TRUE,"Y능력";#N/A,#N/A,TRUE,"YKD"}</definedName>
    <definedName name="ㅇㄴㅇㄹㄴㅇ" hidden="1">{#N/A,#N/A,TRUE,"Y생산";#N/A,#N/A,TRUE,"Y판매";#N/A,#N/A,TRUE,"Y총물량";#N/A,#N/A,TRUE,"Y능력";#N/A,#N/A,TRUE,"YKD"}</definedName>
    <definedName name="ㅇㄹㄴㅇㄹ" hidden="1">{#N/A,#N/A,TRUE,"Y생산";#N/A,#N/A,TRUE,"Y판매";#N/A,#N/A,TRUE,"Y총물량";#N/A,#N/A,TRUE,"Y능력";#N/A,#N/A,TRUE,"YKD"}</definedName>
    <definedName name="ㅇㄹㅇㄴㄹ" hidden="1">{#N/A,#N/A,TRUE,"Y생산";#N/A,#N/A,TRUE,"Y판매";#N/A,#N/A,TRUE,"Y총물량";#N/A,#N/A,TRUE,"Y능력";#N/A,#N/A,TRUE,"YKD"}</definedName>
    <definedName name="ㅇㄹㅇㄹ" hidden="1">{#N/A,#N/A,TRUE,"Y생산";#N/A,#N/A,TRUE,"Y판매";#N/A,#N/A,TRUE,"Y총물량";#N/A,#N/A,TRUE,"Y능력";#N/A,#N/A,TRUE,"YKD"}</definedName>
    <definedName name="ㅇㄹㅇㄹㅇㄹㅇㄹㅇㄹㅇㄹㅇㄹㅇㄹ" hidden="1">{#N/A,#N/A,FALSE,"이력서&amp;자기소개서"}</definedName>
    <definedName name="ㅇㅇ" hidden="1">{#N/A,#N/A,FALSE,"사업총괄";#N/A,#N/A,FALSE,"장비사업";#N/A,#N/A,FALSE,"철구사업";#N/A,#N/A,FALSE,"준설사업"}</definedName>
    <definedName name="ㅇㅇㅇ" hidden="1">{#N/A,#N/A,FALSE,"지침";#N/A,#N/A,FALSE,"환경분석";#N/A,#N/A,FALSE,"Sheet16"}</definedName>
    <definedName name="ㅇㅇㅇㅇ" hidden="1">{#N/A,#N/A,FALSE,"지침";#N/A,#N/A,FALSE,"환경분석";#N/A,#N/A,FALSE,"Sheet16"}</definedName>
    <definedName name="ㅇㅇㅇㅇㅇㅇ" hidden="1">{#N/A,#N/A,FALSE,"지침";#N/A,#N/A,FALSE,"환경분석";#N/A,#N/A,FALSE,"Sheet16"}</definedName>
    <definedName name="ㅇㅇㅇㅇㅇㅇㅇㅇㅇㅇㅇ" hidden="1">{#N/A,#N/A,TRUE,"Y생산";#N/A,#N/A,TRUE,"Y판매";#N/A,#N/A,TRUE,"Y총물량";#N/A,#N/A,TRUE,"Y능력";#N/A,#N/A,TRUE,"YKD"}</definedName>
    <definedName name="양석">#REF!,#REF!,#REF!,#REF!,#REF!,#REF!,#REF!,#REF!,#REF!,#REF!,#REF!,#REF!,#REF!,#REF!,#REF!,#REF!,#REF!,#REF!,#REF!</definedName>
    <definedName name="영업" hidden="1">{#N/A,#N/A,FALSE,"지침";#N/A,#N/A,FALSE,"환경분석";#N/A,#N/A,FALSE,"Sheet16"}</definedName>
    <definedName name="영업현금" hidden="1">{#N/A,#N/A,FALSE,"지침";#N/A,#N/A,FALSE,"환경분석";#N/A,#N/A,FALSE,"Sheet16"}</definedName>
    <definedName name="영역">#REF!</definedName>
    <definedName name="영역1">#REF!</definedName>
    <definedName name="운영관리" hidden="1">{#N/A,#N/A,TRUE,"Y생산";#N/A,#N/A,TRUE,"Y판매";#N/A,#N/A,TRUE,"Y총물량";#N/A,#N/A,TRUE,"Y능력";#N/A,#N/A,TRUE,"YKD"}</definedName>
    <definedName name="운영팀2" hidden="1">{#N/A,#N/A,TRUE,"Y생산";#N/A,#N/A,TRUE,"Y판매";#N/A,#N/A,TRUE,"Y총물량";#N/A,#N/A,TRUE,"Y능력";#N/A,#N/A,TRUE,"YKD"}</definedName>
    <definedName name="원금">#REF!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이쁘니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이슈" hidden="1">{#N/A,#N/A,FALSE,"지침";#N/A,#N/A,FALSE,"환경분석";#N/A,#N/A,FALSE,"Sheet16"}</definedName>
    <definedName name="이이" hidden="1">{#N/A,#N/A,TRUE,"Y생산";#N/A,#N/A,TRUE,"Y판매";#N/A,#N/A,TRUE,"Y총물량";#N/A,#N/A,TRUE,"Y능력";#N/A,#N/A,TRUE,"YKD"}</definedName>
    <definedName name="이자">#REF!</definedName>
    <definedName name="이준호">#REF!</definedName>
    <definedName name="이희선">#REF!,#REF!</definedName>
    <definedName name="인테리어팀" hidden="1">{#N/A,#N/A,TRUE,"Y생산";#N/A,#N/A,TRUE,"Y판매";#N/A,#N/A,TRUE,"Y총물량";#N/A,#N/A,TRUE,"Y능력";#N/A,#N/A,TRUE,"YKD"}</definedName>
    <definedName name="일위대가">#REF!</definedName>
    <definedName name="임차풀" hidden="1">{#N/A,#N/A,FALSE,"동부"}</definedName>
    <definedName name="장기" hidden="1">{#N/A,#N/A,TRUE,"Y생산";#N/A,#N/A,TRUE,"Y판매";#N/A,#N/A,TRUE,"Y총물량";#N/A,#N/A,TRUE,"Y능력";#N/A,#N/A,TRUE,"YKD"}</definedName>
    <definedName name="재무제표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전자CF" hidden="1">{#N/A,#N/A,FALSE,"지침";#N/A,#N/A,FALSE,"환경분석";#N/A,#N/A,FALSE,"Sheet16"}</definedName>
    <definedName name="주" hidden="1">{#N/A,#N/A,FALSE,"지침";#N/A,#N/A,FALSE,"환경분석";#N/A,#N/A,FALSE,"Sheet16"}</definedName>
    <definedName name="주택매출">#REF!</definedName>
    <definedName name="주택원가">#REF!</definedName>
    <definedName name="주택최종">#REF!</definedName>
    <definedName name="집계">#REF!</definedName>
    <definedName name="창">#REF!</definedName>
    <definedName name="총괄표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출력">#REF!</definedName>
    <definedName name="출판" hidden="1">{#N/A,#N/A,FALSE,"지침";#N/A,#N/A,FALSE,"환경분석";#N/A,#N/A,FALSE,"Sheet16"}</definedName>
    <definedName name="출판C">#REF!</definedName>
    <definedName name="출판CF">#REF!</definedName>
    <definedName name="충돌">#N/A</definedName>
    <definedName name="캐쉬" hidden="1">{#N/A,#N/A,FALSE,"지침";#N/A,#N/A,FALSE,"환경분석";#N/A,#N/A,FALSE,"Sheet16"}</definedName>
    <definedName name="테넌트" hidden="1">{#N/A,#N/A,TRUE,"Y생산";#N/A,#N/A,TRUE,"Y판매";#N/A,#N/A,TRUE,"Y총물량";#N/A,#N/A,TRUE,"Y능력";#N/A,#N/A,TRUE,"YKD"}</definedName>
    <definedName name="테넌트팀" hidden="1">{#N/A,#N/A,TRUE,"Y생산";#N/A,#N/A,TRUE,"Y판매";#N/A,#N/A,TRUE,"Y총물량";#N/A,#N/A,TRUE,"Y능력";#N/A,#N/A,TRUE,"YKD"}</definedName>
    <definedName name="통합본관" hidden="1">#REF!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투입">#REF!</definedName>
    <definedName name="티지" hidden="1">{#N/A,#N/A,FALSE,"LoanAssumptions"}</definedName>
    <definedName name="포장2월ocf" hidden="1">{#N/A,#N/A,FALSE,"지침";#N/A,#N/A,FALSE,"환경분석";#N/A,#N/A,FALSE,"Sheet16"}</definedName>
    <definedName name="포장ocf" hidden="1">{#N/A,#N/A,FALSE,"지침";#N/A,#N/A,FALSE,"환경분석";#N/A,#N/A,FALSE,"Sheet16"}</definedName>
    <definedName name="표지" hidden="1">{#N/A,#N/A,FALSE,"동부"}</definedName>
    <definedName name="풀" hidden="1">{#N/A,#N/A,FALSE,"동부"}</definedName>
    <definedName name="한영사전" hidden="1">{#N/A,#N/A,TRUE,"Y생산";#N/A,#N/A,TRUE,"Y판매";#N/A,#N/A,TRUE,"Y총물량";#N/A,#N/A,TRUE,"Y능력";#N/A,#N/A,TRUE,"YKD"}</definedName>
    <definedName name="현장관리">#REF!</definedName>
    <definedName name="현천기자재비">#REF!</definedName>
    <definedName name="현황" hidden="1">{#N/A,#N/A,TRUE,"Y생산";#N/A,#N/A,TRUE,"Y판매";#N/A,#N/A,TRUE,"Y총물량";#N/A,#N/A,TRUE,"Y능력";#N/A,#N/A,TRUE,"YKD"}</definedName>
    <definedName name="회" hidden="1">{#N/A,#N/A,FALSE,"동부"}</definedName>
    <definedName name="회계보고서" hidden="1">{#N/A,#N/A,TRUE,"대 차 대 조 표"}</definedName>
    <definedName name="희선">#REF!,#REF!,#REF!,#REF!,#REF!,#REF!,#REF!,#REF!,#REF!,#REF!,#REF!,#REF!,#REF!,#REF!,#REF!,#REF!,#REF!,#REF!,#REF!</definedName>
    <definedName name="ㅏ나앙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ㅏ앙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ㅐㅐㅐ" hidden="1">{#N/A,#N/A,FALSE,"지침";#N/A,#N/A,FALSE,"환경분석";#N/A,#N/A,FALSE,"Sheet16"}</definedName>
    <definedName name="ㅑ7">#REF!</definedName>
    <definedName name="ㅠㅠㅠ" hidden="1">{#N/A,#N/A,FALSE,"지침";#N/A,#N/A,FALSE,"환경분석";#N/A,#N/A,FALSE,"Sheet16"}</definedName>
    <definedName name="ㅡㅡㅡ" hidden="1">{#N/A,#N/A,FALSE,"지침";#N/A,#N/A,FALSE,"환경분석";#N/A,#N/A,FALSE,"Sheet16"}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4" i="1" l="1"/>
  <c r="Q203" i="1"/>
  <c r="T203" i="1" s="1"/>
  <c r="U203" i="1" s="1"/>
  <c r="P203" i="1"/>
  <c r="P204" i="1" s="1"/>
  <c r="S204" i="1" s="1"/>
  <c r="O203" i="1"/>
  <c r="O204" i="1" s="1"/>
  <c r="N196" i="1" s="1"/>
  <c r="N203" i="1"/>
  <c r="N204" i="1" s="1"/>
  <c r="M196" i="1" s="1"/>
  <c r="M197" i="1" s="1"/>
  <c r="T202" i="1"/>
  <c r="S202" i="1"/>
  <c r="L199" i="1"/>
  <c r="K199" i="1"/>
  <c r="K194" i="1"/>
  <c r="O193" i="1" s="1"/>
  <c r="L193" i="1"/>
  <c r="L192" i="1"/>
  <c r="L191" i="1"/>
  <c r="L190" i="1"/>
  <c r="L194" i="1" s="1"/>
  <c r="L195" i="1" s="1"/>
  <c r="L187" i="1"/>
  <c r="M187" i="1" s="1"/>
  <c r="K187" i="1"/>
  <c r="R186" i="1" s="1"/>
  <c r="N186" i="1"/>
  <c r="L186" i="1"/>
  <c r="R185" i="1"/>
  <c r="N185" i="1"/>
  <c r="L185" i="1"/>
  <c r="F185" i="1"/>
  <c r="E185" i="1"/>
  <c r="H184" i="1" s="1"/>
  <c r="R184" i="1"/>
  <c r="P184" i="1"/>
  <c r="N184" i="1"/>
  <c r="L184" i="1"/>
  <c r="I184" i="1"/>
  <c r="G184" i="1"/>
  <c r="F184" i="1"/>
  <c r="R183" i="1"/>
  <c r="P183" i="1"/>
  <c r="N183" i="1"/>
  <c r="L183" i="1"/>
  <c r="I183" i="1"/>
  <c r="H183" i="1"/>
  <c r="H185" i="1" s="1"/>
  <c r="G183" i="1"/>
  <c r="G185" i="1" s="1"/>
  <c r="F183" i="1"/>
  <c r="R182" i="1"/>
  <c r="P182" i="1"/>
  <c r="N182" i="1"/>
  <c r="L182" i="1"/>
  <c r="R181" i="1"/>
  <c r="P181" i="1"/>
  <c r="N181" i="1"/>
  <c r="L181" i="1"/>
  <c r="R180" i="1"/>
  <c r="P180" i="1"/>
  <c r="N180" i="1"/>
  <c r="L180" i="1"/>
  <c r="H180" i="1"/>
  <c r="G180" i="1"/>
  <c r="R179" i="1"/>
  <c r="P179" i="1"/>
  <c r="N179" i="1"/>
  <c r="L179" i="1"/>
  <c r="R178" i="1"/>
  <c r="P178" i="1"/>
  <c r="N178" i="1"/>
  <c r="L178" i="1"/>
  <c r="R177" i="1"/>
  <c r="P177" i="1"/>
  <c r="N177" i="1"/>
  <c r="N187" i="1" s="1"/>
  <c r="O187" i="1" s="1"/>
  <c r="L177" i="1"/>
  <c r="AQ176" i="1"/>
  <c r="AT175" i="1"/>
  <c r="AT180" i="1" s="1"/>
  <c r="AT174" i="1"/>
  <c r="AT179" i="1" s="1"/>
  <c r="K174" i="1"/>
  <c r="BA173" i="1"/>
  <c r="R173" i="1"/>
  <c r="P173" i="1"/>
  <c r="N173" i="1"/>
  <c r="L173" i="1"/>
  <c r="H173" i="1"/>
  <c r="BA172" i="1"/>
  <c r="AZ172" i="1"/>
  <c r="AZ173" i="1" s="1"/>
  <c r="R172" i="1"/>
  <c r="P172" i="1"/>
  <c r="N172" i="1"/>
  <c r="L172" i="1"/>
  <c r="H172" i="1"/>
  <c r="E172" i="1"/>
  <c r="I172" i="1" s="1"/>
  <c r="R171" i="1"/>
  <c r="P171" i="1"/>
  <c r="N171" i="1"/>
  <c r="L171" i="1"/>
  <c r="I171" i="1"/>
  <c r="H171" i="1"/>
  <c r="G171" i="1"/>
  <c r="F171" i="1"/>
  <c r="AH170" i="1"/>
  <c r="AT169" i="1" s="1"/>
  <c r="R170" i="1"/>
  <c r="P170" i="1"/>
  <c r="N170" i="1"/>
  <c r="L170" i="1"/>
  <c r="I170" i="1"/>
  <c r="H170" i="1"/>
  <c r="G170" i="1"/>
  <c r="F170" i="1"/>
  <c r="R169" i="1"/>
  <c r="P169" i="1"/>
  <c r="P174" i="1" s="1"/>
  <c r="Q174" i="1" s="1"/>
  <c r="N169" i="1"/>
  <c r="L169" i="1"/>
  <c r="I169" i="1"/>
  <c r="H169" i="1"/>
  <c r="G169" i="1"/>
  <c r="F169" i="1"/>
  <c r="AO168" i="1"/>
  <c r="R168" i="1"/>
  <c r="R174" i="1" s="1"/>
  <c r="P168" i="1"/>
  <c r="N168" i="1"/>
  <c r="N174" i="1" s="1"/>
  <c r="O174" i="1" s="1"/>
  <c r="L168" i="1"/>
  <c r="L174" i="1" s="1"/>
  <c r="M174" i="1" s="1"/>
  <c r="I168" i="1"/>
  <c r="H168" i="1"/>
  <c r="G168" i="1"/>
  <c r="F168" i="1"/>
  <c r="I167" i="1"/>
  <c r="H167" i="1"/>
  <c r="G167" i="1"/>
  <c r="G172" i="1" s="1"/>
  <c r="G173" i="1" s="1"/>
  <c r="F167" i="1"/>
  <c r="F172" i="1" s="1"/>
  <c r="F173" i="1" s="1"/>
  <c r="BB160" i="1"/>
  <c r="AX160" i="1"/>
  <c r="AT160" i="1"/>
  <c r="AQ160" i="1"/>
  <c r="AP160" i="1"/>
  <c r="AO160" i="1"/>
  <c r="AN160" i="1"/>
  <c r="AM160" i="1"/>
  <c r="S160" i="1"/>
  <c r="R160" i="1"/>
  <c r="E160" i="1"/>
  <c r="BB159" i="1"/>
  <c r="AX159" i="1"/>
  <c r="AT159" i="1"/>
  <c r="AQ159" i="1"/>
  <c r="AP159" i="1"/>
  <c r="AO159" i="1"/>
  <c r="AN159" i="1"/>
  <c r="AM159" i="1"/>
  <c r="R159" i="1"/>
  <c r="J159" i="1"/>
  <c r="K159" i="1" s="1"/>
  <c r="H159" i="1"/>
  <c r="I159" i="1" s="1"/>
  <c r="E159" i="1"/>
  <c r="BB158" i="1"/>
  <c r="AX158" i="1"/>
  <c r="AT158" i="1"/>
  <c r="AQ158" i="1"/>
  <c r="AP158" i="1"/>
  <c r="AO158" i="1"/>
  <c r="AN158" i="1"/>
  <c r="AM158" i="1"/>
  <c r="R158" i="1"/>
  <c r="J158" i="1"/>
  <c r="M158" i="1" s="1"/>
  <c r="H158" i="1"/>
  <c r="I158" i="1" s="1"/>
  <c r="E158" i="1"/>
  <c r="BB157" i="1"/>
  <c r="AX157" i="1"/>
  <c r="AT157" i="1"/>
  <c r="AQ157" i="1"/>
  <c r="AP157" i="1"/>
  <c r="AO157" i="1"/>
  <c r="AN157" i="1"/>
  <c r="AM157" i="1"/>
  <c r="R157" i="1"/>
  <c r="J157" i="1"/>
  <c r="K157" i="1" s="1"/>
  <c r="H157" i="1"/>
  <c r="I157" i="1" s="1"/>
  <c r="E157" i="1"/>
  <c r="BB156" i="1"/>
  <c r="AX156" i="1"/>
  <c r="AT156" i="1"/>
  <c r="AQ156" i="1"/>
  <c r="AP156" i="1"/>
  <c r="AO156" i="1"/>
  <c r="AN156" i="1"/>
  <c r="AM156" i="1"/>
  <c r="R156" i="1"/>
  <c r="J156" i="1"/>
  <c r="M156" i="1" s="1"/>
  <c r="H156" i="1"/>
  <c r="I156" i="1" s="1"/>
  <c r="E156" i="1"/>
  <c r="BB155" i="1"/>
  <c r="AX155" i="1"/>
  <c r="AT155" i="1"/>
  <c r="AQ155" i="1"/>
  <c r="AP155" i="1"/>
  <c r="AO155" i="1"/>
  <c r="AN155" i="1"/>
  <c r="AM155" i="1"/>
  <c r="R155" i="1"/>
  <c r="J155" i="1"/>
  <c r="K155" i="1" s="1"/>
  <c r="H155" i="1"/>
  <c r="M155" i="1" s="1"/>
  <c r="E155" i="1"/>
  <c r="BB154" i="1"/>
  <c r="AX154" i="1"/>
  <c r="AT154" i="1"/>
  <c r="AQ154" i="1"/>
  <c r="AP154" i="1"/>
  <c r="AO154" i="1"/>
  <c r="AN154" i="1"/>
  <c r="AM154" i="1"/>
  <c r="R154" i="1"/>
  <c r="J154" i="1"/>
  <c r="M154" i="1" s="1"/>
  <c r="H154" i="1"/>
  <c r="I154" i="1" s="1"/>
  <c r="E154" i="1"/>
  <c r="BB153" i="1"/>
  <c r="AX153" i="1"/>
  <c r="AT153" i="1"/>
  <c r="AQ153" i="1"/>
  <c r="AP153" i="1"/>
  <c r="AO153" i="1"/>
  <c r="AN153" i="1"/>
  <c r="AM153" i="1"/>
  <c r="R153" i="1"/>
  <c r="J153" i="1"/>
  <c r="K153" i="1" s="1"/>
  <c r="H153" i="1"/>
  <c r="E153" i="1"/>
  <c r="BB152" i="1"/>
  <c r="AX152" i="1"/>
  <c r="AT152" i="1"/>
  <c r="AQ152" i="1"/>
  <c r="AP152" i="1"/>
  <c r="AO152" i="1"/>
  <c r="AN152" i="1"/>
  <c r="AM152" i="1"/>
  <c r="R152" i="1"/>
  <c r="K152" i="1"/>
  <c r="J152" i="1"/>
  <c r="H152" i="1"/>
  <c r="I152" i="1" s="1"/>
  <c r="E152" i="1"/>
  <c r="AX151" i="1"/>
  <c r="AT151" i="1"/>
  <c r="AQ151" i="1"/>
  <c r="AP151" i="1"/>
  <c r="AO151" i="1"/>
  <c r="AN151" i="1"/>
  <c r="AM151" i="1"/>
  <c r="S151" i="1"/>
  <c r="E151" i="1"/>
  <c r="BB150" i="1"/>
  <c r="AX150" i="1"/>
  <c r="AT150" i="1"/>
  <c r="AQ150" i="1"/>
  <c r="AP150" i="1"/>
  <c r="AO150" i="1"/>
  <c r="AN150" i="1"/>
  <c r="AM150" i="1"/>
  <c r="S150" i="1"/>
  <c r="J150" i="1"/>
  <c r="E150" i="1"/>
  <c r="BB149" i="1"/>
  <c r="AX149" i="1"/>
  <c r="AT149" i="1"/>
  <c r="AQ149" i="1"/>
  <c r="AP149" i="1"/>
  <c r="AO149" i="1"/>
  <c r="AN149" i="1"/>
  <c r="AM149" i="1"/>
  <c r="S149" i="1"/>
  <c r="J149" i="1"/>
  <c r="K149" i="1" s="1"/>
  <c r="H149" i="1"/>
  <c r="I149" i="1" s="1"/>
  <c r="E149" i="1"/>
  <c r="BB148" i="1"/>
  <c r="AX148" i="1"/>
  <c r="AT148" i="1"/>
  <c r="AQ148" i="1"/>
  <c r="AP148" i="1"/>
  <c r="AO148" i="1"/>
  <c r="AN148" i="1"/>
  <c r="AM148" i="1"/>
  <c r="S148" i="1"/>
  <c r="J148" i="1"/>
  <c r="M148" i="1" s="1"/>
  <c r="H148" i="1"/>
  <c r="I148" i="1" s="1"/>
  <c r="E148" i="1"/>
  <c r="BB147" i="1"/>
  <c r="AX147" i="1"/>
  <c r="AT147" i="1"/>
  <c r="AQ147" i="1"/>
  <c r="AP147" i="1"/>
  <c r="AO147" i="1"/>
  <c r="AN147" i="1"/>
  <c r="AM147" i="1"/>
  <c r="S147" i="1"/>
  <c r="J147" i="1"/>
  <c r="K147" i="1" s="1"/>
  <c r="H147" i="1"/>
  <c r="I147" i="1" s="1"/>
  <c r="E147" i="1"/>
  <c r="BB146" i="1"/>
  <c r="AX146" i="1"/>
  <c r="AT146" i="1"/>
  <c r="AQ146" i="1"/>
  <c r="AP146" i="1"/>
  <c r="AO146" i="1"/>
  <c r="AN146" i="1"/>
  <c r="AM146" i="1"/>
  <c r="S146" i="1"/>
  <c r="J146" i="1"/>
  <c r="M146" i="1" s="1"/>
  <c r="H146" i="1"/>
  <c r="I146" i="1" s="1"/>
  <c r="E146" i="1"/>
  <c r="BB145" i="1"/>
  <c r="AX145" i="1"/>
  <c r="AT145" i="1"/>
  <c r="AQ145" i="1"/>
  <c r="AP145" i="1"/>
  <c r="AO145" i="1"/>
  <c r="AN145" i="1"/>
  <c r="AM145" i="1"/>
  <c r="S145" i="1"/>
  <c r="J145" i="1"/>
  <c r="K145" i="1" s="1"/>
  <c r="H145" i="1"/>
  <c r="I145" i="1" s="1"/>
  <c r="E145" i="1"/>
  <c r="BB144" i="1"/>
  <c r="AX144" i="1"/>
  <c r="AT144" i="1"/>
  <c r="AQ144" i="1"/>
  <c r="AP144" i="1"/>
  <c r="AO144" i="1"/>
  <c r="AN144" i="1"/>
  <c r="AM144" i="1"/>
  <c r="S144" i="1"/>
  <c r="J144" i="1"/>
  <c r="M144" i="1" s="1"/>
  <c r="H144" i="1"/>
  <c r="I144" i="1" s="1"/>
  <c r="E144" i="1"/>
  <c r="BB143" i="1"/>
  <c r="AX143" i="1"/>
  <c r="AT143" i="1"/>
  <c r="AI143" i="1" s="1"/>
  <c r="AQ143" i="1"/>
  <c r="AP143" i="1"/>
  <c r="AO143" i="1"/>
  <c r="AN143" i="1"/>
  <c r="AM143" i="1"/>
  <c r="S143" i="1"/>
  <c r="J143" i="1"/>
  <c r="H143" i="1"/>
  <c r="I143" i="1" s="1"/>
  <c r="E143" i="1"/>
  <c r="BB142" i="1"/>
  <c r="AX142" i="1"/>
  <c r="AT142" i="1"/>
  <c r="AQ142" i="1"/>
  <c r="AP142" i="1"/>
  <c r="AO142" i="1"/>
  <c r="AN142" i="1"/>
  <c r="AM142" i="1"/>
  <c r="S142" i="1"/>
  <c r="J142" i="1"/>
  <c r="H142" i="1"/>
  <c r="I142" i="1" s="1"/>
  <c r="E142" i="1"/>
  <c r="BB141" i="1"/>
  <c r="AX141" i="1"/>
  <c r="AT141" i="1"/>
  <c r="AQ141" i="1"/>
  <c r="AP141" i="1"/>
  <c r="AO141" i="1"/>
  <c r="AN141" i="1"/>
  <c r="AM141" i="1"/>
  <c r="S141" i="1"/>
  <c r="H141" i="1"/>
  <c r="I141" i="1" s="1"/>
  <c r="E141" i="1"/>
  <c r="BB140" i="1"/>
  <c r="AX140" i="1"/>
  <c r="AT140" i="1"/>
  <c r="AQ140" i="1"/>
  <c r="AP140" i="1"/>
  <c r="AO140" i="1"/>
  <c r="AN140" i="1"/>
  <c r="AM140" i="1"/>
  <c r="S140" i="1"/>
  <c r="J140" i="1"/>
  <c r="H140" i="1"/>
  <c r="I140" i="1" s="1"/>
  <c r="E140" i="1"/>
  <c r="BB139" i="1"/>
  <c r="AX139" i="1"/>
  <c r="AJ139" i="1" s="1"/>
  <c r="AT139" i="1"/>
  <c r="AQ139" i="1"/>
  <c r="AP139" i="1"/>
  <c r="AO139" i="1"/>
  <c r="AN139" i="1"/>
  <c r="AM139" i="1"/>
  <c r="S139" i="1"/>
  <c r="J139" i="1"/>
  <c r="H139" i="1"/>
  <c r="I139" i="1" s="1"/>
  <c r="E139" i="1"/>
  <c r="BB138" i="1"/>
  <c r="AX138" i="1"/>
  <c r="AT138" i="1"/>
  <c r="AQ138" i="1"/>
  <c r="AP138" i="1"/>
  <c r="AO138" i="1"/>
  <c r="AN138" i="1"/>
  <c r="AM138" i="1"/>
  <c r="S138" i="1"/>
  <c r="J138" i="1"/>
  <c r="H138" i="1"/>
  <c r="I138" i="1" s="1"/>
  <c r="E138" i="1"/>
  <c r="BB137" i="1"/>
  <c r="AX137" i="1"/>
  <c r="AT137" i="1"/>
  <c r="AQ137" i="1"/>
  <c r="AP137" i="1"/>
  <c r="AO137" i="1"/>
  <c r="AN137" i="1"/>
  <c r="AM137" i="1"/>
  <c r="S137" i="1"/>
  <c r="J137" i="1"/>
  <c r="K137" i="1" s="1"/>
  <c r="H137" i="1"/>
  <c r="I137" i="1" s="1"/>
  <c r="E137" i="1"/>
  <c r="BB136" i="1"/>
  <c r="AX136" i="1"/>
  <c r="AT136" i="1"/>
  <c r="AQ136" i="1"/>
  <c r="AP136" i="1"/>
  <c r="AO136" i="1"/>
  <c r="AN136" i="1"/>
  <c r="AM136" i="1"/>
  <c r="AJ136" i="1"/>
  <c r="S136" i="1"/>
  <c r="J136" i="1"/>
  <c r="H136" i="1"/>
  <c r="I136" i="1" s="1"/>
  <c r="E136" i="1"/>
  <c r="BB135" i="1"/>
  <c r="AX135" i="1"/>
  <c r="AJ135" i="1" s="1"/>
  <c r="AT135" i="1"/>
  <c r="AQ135" i="1"/>
  <c r="AP135" i="1"/>
  <c r="AO135" i="1"/>
  <c r="AN135" i="1"/>
  <c r="AM135" i="1"/>
  <c r="S135" i="1"/>
  <c r="K135" i="1"/>
  <c r="J135" i="1"/>
  <c r="M135" i="1" s="1"/>
  <c r="H135" i="1"/>
  <c r="I135" i="1" s="1"/>
  <c r="E135" i="1"/>
  <c r="BB134" i="1"/>
  <c r="AX134" i="1"/>
  <c r="AJ134" i="1" s="1"/>
  <c r="AT134" i="1"/>
  <c r="AQ134" i="1"/>
  <c r="AP134" i="1"/>
  <c r="AO134" i="1"/>
  <c r="AN134" i="1"/>
  <c r="AM134" i="1"/>
  <c r="S134" i="1"/>
  <c r="M134" i="1"/>
  <c r="J134" i="1"/>
  <c r="K134" i="1" s="1"/>
  <c r="I134" i="1"/>
  <c r="H134" i="1"/>
  <c r="E134" i="1"/>
  <c r="BB133" i="1"/>
  <c r="AX133" i="1"/>
  <c r="AT133" i="1"/>
  <c r="AQ133" i="1"/>
  <c r="AP133" i="1"/>
  <c r="AO133" i="1"/>
  <c r="AN133" i="1"/>
  <c r="AM133" i="1"/>
  <c r="S133" i="1"/>
  <c r="J133" i="1"/>
  <c r="M133" i="1" s="1"/>
  <c r="H133" i="1"/>
  <c r="I133" i="1" s="1"/>
  <c r="E133" i="1"/>
  <c r="BB132" i="1"/>
  <c r="AX132" i="1"/>
  <c r="AJ132" i="1" s="1"/>
  <c r="AT132" i="1"/>
  <c r="AQ132" i="1"/>
  <c r="AP132" i="1"/>
  <c r="AO132" i="1"/>
  <c r="AN132" i="1"/>
  <c r="AM132" i="1"/>
  <c r="S132" i="1"/>
  <c r="M132" i="1"/>
  <c r="J132" i="1"/>
  <c r="K132" i="1" s="1"/>
  <c r="I132" i="1"/>
  <c r="H132" i="1"/>
  <c r="E132" i="1"/>
  <c r="BB131" i="1"/>
  <c r="AX131" i="1"/>
  <c r="AT131" i="1"/>
  <c r="AQ131" i="1"/>
  <c r="AP131" i="1"/>
  <c r="AO131" i="1"/>
  <c r="AN131" i="1"/>
  <c r="AM131" i="1"/>
  <c r="S131" i="1"/>
  <c r="K131" i="1"/>
  <c r="J131" i="1"/>
  <c r="M131" i="1" s="1"/>
  <c r="H131" i="1"/>
  <c r="I131" i="1" s="1"/>
  <c r="E131" i="1"/>
  <c r="BB130" i="1"/>
  <c r="AX130" i="1"/>
  <c r="AJ130" i="1" s="1"/>
  <c r="AT130" i="1"/>
  <c r="AQ130" i="1"/>
  <c r="AP130" i="1"/>
  <c r="AO130" i="1"/>
  <c r="AN130" i="1"/>
  <c r="AM130" i="1"/>
  <c r="S130" i="1"/>
  <c r="J130" i="1"/>
  <c r="K130" i="1" s="1"/>
  <c r="I130" i="1"/>
  <c r="H130" i="1"/>
  <c r="E130" i="1"/>
  <c r="BB129" i="1"/>
  <c r="AX129" i="1"/>
  <c r="AT129" i="1"/>
  <c r="AQ129" i="1"/>
  <c r="AP129" i="1"/>
  <c r="AO129" i="1"/>
  <c r="AN129" i="1"/>
  <c r="AM129" i="1"/>
  <c r="AJ129" i="1"/>
  <c r="S129" i="1"/>
  <c r="J129" i="1"/>
  <c r="H129" i="1"/>
  <c r="I129" i="1" s="1"/>
  <c r="E129" i="1"/>
  <c r="BB128" i="1"/>
  <c r="AX128" i="1"/>
  <c r="AT128" i="1"/>
  <c r="AQ128" i="1"/>
  <c r="AP128" i="1"/>
  <c r="AO128" i="1"/>
  <c r="AN128" i="1"/>
  <c r="AM128" i="1"/>
  <c r="S128" i="1"/>
  <c r="J128" i="1"/>
  <c r="K128" i="1" s="1"/>
  <c r="H128" i="1"/>
  <c r="I128" i="1" s="1"/>
  <c r="E128" i="1"/>
  <c r="BB127" i="1"/>
  <c r="AX127" i="1"/>
  <c r="AT127" i="1"/>
  <c r="AQ127" i="1"/>
  <c r="AP127" i="1"/>
  <c r="AO127" i="1"/>
  <c r="AN127" i="1"/>
  <c r="AM127" i="1"/>
  <c r="S127" i="1"/>
  <c r="J127" i="1"/>
  <c r="K127" i="1" s="1"/>
  <c r="H127" i="1"/>
  <c r="M127" i="1" s="1"/>
  <c r="E127" i="1"/>
  <c r="BB126" i="1"/>
  <c r="AX126" i="1"/>
  <c r="AT126" i="1"/>
  <c r="AQ126" i="1"/>
  <c r="AP126" i="1"/>
  <c r="AO126" i="1"/>
  <c r="AN126" i="1"/>
  <c r="AM126" i="1"/>
  <c r="S126" i="1"/>
  <c r="J126" i="1"/>
  <c r="K126" i="1" s="1"/>
  <c r="H126" i="1"/>
  <c r="I126" i="1" s="1"/>
  <c r="E126" i="1"/>
  <c r="BB125" i="1"/>
  <c r="AX125" i="1"/>
  <c r="AT125" i="1"/>
  <c r="AQ125" i="1"/>
  <c r="AP125" i="1"/>
  <c r="AO125" i="1"/>
  <c r="AN125" i="1"/>
  <c r="AM125" i="1"/>
  <c r="S125" i="1"/>
  <c r="J125" i="1"/>
  <c r="M125" i="1" s="1"/>
  <c r="H125" i="1"/>
  <c r="I125" i="1" s="1"/>
  <c r="E125" i="1"/>
  <c r="BB124" i="1"/>
  <c r="AX124" i="1"/>
  <c r="AT124" i="1"/>
  <c r="AQ124" i="1"/>
  <c r="AP124" i="1"/>
  <c r="AO124" i="1"/>
  <c r="AN124" i="1"/>
  <c r="AM124" i="1"/>
  <c r="S124" i="1"/>
  <c r="J124" i="1"/>
  <c r="K124" i="1" s="1"/>
  <c r="H124" i="1"/>
  <c r="I124" i="1" s="1"/>
  <c r="E124" i="1"/>
  <c r="BB123" i="1"/>
  <c r="AX123" i="1"/>
  <c r="AT123" i="1"/>
  <c r="AQ123" i="1"/>
  <c r="AP123" i="1"/>
  <c r="AO123" i="1"/>
  <c r="AN123" i="1"/>
  <c r="AM123" i="1"/>
  <c r="S123" i="1"/>
  <c r="H123" i="1"/>
  <c r="I123" i="1" s="1"/>
  <c r="E123" i="1"/>
  <c r="BB122" i="1"/>
  <c r="AX122" i="1"/>
  <c r="AX161" i="1" s="1"/>
  <c r="AT122" i="1"/>
  <c r="AQ122" i="1"/>
  <c r="AP122" i="1"/>
  <c r="AP161" i="1" s="1"/>
  <c r="AO122" i="1"/>
  <c r="AO161" i="1" s="1"/>
  <c r="AN122" i="1"/>
  <c r="AN161" i="1" s="1"/>
  <c r="AM122" i="1"/>
  <c r="S122" i="1"/>
  <c r="J122" i="1"/>
  <c r="H122" i="1"/>
  <c r="E122" i="1"/>
  <c r="AX114" i="1"/>
  <c r="AT114" i="1"/>
  <c r="AZ113" i="1"/>
  <c r="Y113" i="1"/>
  <c r="W113" i="1"/>
  <c r="R113" i="1"/>
  <c r="Q113" i="1"/>
  <c r="P113" i="1" s="1"/>
  <c r="AZ112" i="1"/>
  <c r="Y112" i="1"/>
  <c r="W112" i="1"/>
  <c r="R112" i="1"/>
  <c r="Q112" i="1"/>
  <c r="P112" i="1" s="1"/>
  <c r="AZ111" i="1"/>
  <c r="Y111" i="1"/>
  <c r="W111" i="1"/>
  <c r="R111" i="1"/>
  <c r="Q111" i="1"/>
  <c r="P111" i="1" s="1"/>
  <c r="AZ107" i="1"/>
  <c r="AZ106" i="1"/>
  <c r="K106" i="1"/>
  <c r="AD106" i="1" s="1"/>
  <c r="J106" i="1"/>
  <c r="H106" i="1"/>
  <c r="AX105" i="1"/>
  <c r="AT105" i="1"/>
  <c r="AZ105" i="1" s="1"/>
  <c r="AQ105" i="1"/>
  <c r="AP105" i="1"/>
  <c r="AO105" i="1"/>
  <c r="AN105" i="1"/>
  <c r="AM105" i="1"/>
  <c r="AE105" i="1"/>
  <c r="BF104" i="1"/>
  <c r="BA104" i="1"/>
  <c r="BA158" i="1" s="1"/>
  <c r="AZ104" i="1"/>
  <c r="AZ158" i="1" s="1"/>
  <c r="AY158" i="1" s="1"/>
  <c r="AY104" i="1"/>
  <c r="AV104" i="1"/>
  <c r="AV158" i="1" s="1"/>
  <c r="AL104" i="1"/>
  <c r="AJ104" i="1"/>
  <c r="AA104" i="1"/>
  <c r="Y104" i="1"/>
  <c r="W104" i="1"/>
  <c r="V104" i="1"/>
  <c r="U104" i="1"/>
  <c r="S104" i="1"/>
  <c r="R104" i="1"/>
  <c r="Q104" i="1"/>
  <c r="P104" i="1"/>
  <c r="L104" i="1"/>
  <c r="K104" i="1"/>
  <c r="AD104" i="1" s="1"/>
  <c r="I104" i="1"/>
  <c r="AI104" i="1" s="1"/>
  <c r="AS104" i="1" s="1"/>
  <c r="BF103" i="1"/>
  <c r="AZ103" i="1"/>
  <c r="AL103" i="1"/>
  <c r="AL157" i="1" s="1"/>
  <c r="AK103" i="1"/>
  <c r="AD103" i="1"/>
  <c r="Y103" i="1"/>
  <c r="W103" i="1"/>
  <c r="V103" i="1"/>
  <c r="U103" i="1" s="1"/>
  <c r="S103" i="1"/>
  <c r="R103" i="1"/>
  <c r="Q103" i="1"/>
  <c r="L103" i="1"/>
  <c r="K103" i="1"/>
  <c r="I103" i="1"/>
  <c r="AI103" i="1" s="1"/>
  <c r="BF102" i="1"/>
  <c r="BB102" i="1"/>
  <c r="AZ102" i="1"/>
  <c r="AL102" i="1"/>
  <c r="AL151" i="1" s="1"/>
  <c r="AK102" i="1"/>
  <c r="AK151" i="1" s="1"/>
  <c r="Y102" i="1"/>
  <c r="W102" i="1"/>
  <c r="V102" i="1"/>
  <c r="U102" i="1" s="1"/>
  <c r="R102" i="1"/>
  <c r="Q102" i="1"/>
  <c r="AA102" i="1" s="1"/>
  <c r="J102" i="1"/>
  <c r="I102" i="1"/>
  <c r="AI102" i="1" s="1"/>
  <c r="H102" i="1"/>
  <c r="H151" i="1" s="1"/>
  <c r="BF101" i="1"/>
  <c r="BA101" i="1"/>
  <c r="AZ101" i="1"/>
  <c r="AY101" i="1" s="1"/>
  <c r="AS101" i="1"/>
  <c r="AU101" i="1" s="1"/>
  <c r="AL101" i="1"/>
  <c r="AK101" i="1" s="1"/>
  <c r="AJ101" i="1"/>
  <c r="AV101" i="1" s="1"/>
  <c r="AA101" i="1"/>
  <c r="Y101" i="1"/>
  <c r="W101" i="1"/>
  <c r="V101" i="1"/>
  <c r="U101" i="1"/>
  <c r="S101" i="1"/>
  <c r="R101" i="1"/>
  <c r="Q101" i="1"/>
  <c r="P101" i="1"/>
  <c r="L101" i="1"/>
  <c r="K101" i="1"/>
  <c r="AD101" i="1" s="1"/>
  <c r="I101" i="1"/>
  <c r="AI101" i="1" s="1"/>
  <c r="BF100" i="1"/>
  <c r="BA100" i="1"/>
  <c r="AZ100" i="1"/>
  <c r="AL100" i="1"/>
  <c r="AK100" i="1"/>
  <c r="AH100" i="1" s="1"/>
  <c r="AI100" i="1"/>
  <c r="AD100" i="1"/>
  <c r="AA100" i="1"/>
  <c r="Y100" i="1"/>
  <c r="W100" i="1"/>
  <c r="V100" i="1"/>
  <c r="U100" i="1"/>
  <c r="S100" i="1"/>
  <c r="R100" i="1"/>
  <c r="Q100" i="1"/>
  <c r="AR100" i="1" s="1"/>
  <c r="P100" i="1"/>
  <c r="L100" i="1"/>
  <c r="K100" i="1"/>
  <c r="I100" i="1"/>
  <c r="AJ100" i="1" s="1"/>
  <c r="BF99" i="1"/>
  <c r="AZ99" i="1"/>
  <c r="AY99" i="1"/>
  <c r="AL99" i="1"/>
  <c r="AK99" i="1" s="1"/>
  <c r="AH99" i="1" s="1"/>
  <c r="Y99" i="1"/>
  <c r="W99" i="1"/>
  <c r="V99" i="1"/>
  <c r="U99" i="1" s="1"/>
  <c r="S99" i="1"/>
  <c r="R99" i="1"/>
  <c r="Q99" i="1"/>
  <c r="AS99" i="1" s="1"/>
  <c r="AU99" i="1" s="1"/>
  <c r="L99" i="1"/>
  <c r="K99" i="1"/>
  <c r="I99" i="1"/>
  <c r="AI99" i="1" s="1"/>
  <c r="AR99" i="1" s="1"/>
  <c r="BF98" i="1"/>
  <c r="AZ98" i="1"/>
  <c r="AL98" i="1"/>
  <c r="AK98" i="1"/>
  <c r="Y98" i="1"/>
  <c r="W98" i="1"/>
  <c r="V98" i="1"/>
  <c r="U98" i="1" s="1"/>
  <c r="S98" i="1"/>
  <c r="R98" i="1"/>
  <c r="Q98" i="1"/>
  <c r="L98" i="1"/>
  <c r="K98" i="1"/>
  <c r="AD98" i="1" s="1"/>
  <c r="I98" i="1"/>
  <c r="BA98" i="1" s="1"/>
  <c r="BF97" i="1"/>
  <c r="BA97" i="1"/>
  <c r="AZ97" i="1"/>
  <c r="AY97" i="1"/>
  <c r="AV97" i="1"/>
  <c r="AL97" i="1"/>
  <c r="AK97" i="1" s="1"/>
  <c r="AJ97" i="1"/>
  <c r="AA97" i="1"/>
  <c r="Y97" i="1"/>
  <c r="W97" i="1"/>
  <c r="V97" i="1"/>
  <c r="U97" i="1"/>
  <c r="S97" i="1"/>
  <c r="R97" i="1"/>
  <c r="Q97" i="1"/>
  <c r="AW97" i="1" s="1"/>
  <c r="P97" i="1"/>
  <c r="L97" i="1"/>
  <c r="K97" i="1"/>
  <c r="AD97" i="1" s="1"/>
  <c r="I97" i="1"/>
  <c r="AI97" i="1" s="1"/>
  <c r="AS97" i="1" s="1"/>
  <c r="AU97" i="1" s="1"/>
  <c r="BF96" i="1"/>
  <c r="AZ96" i="1"/>
  <c r="AY96" i="1" s="1"/>
  <c r="AL96" i="1"/>
  <c r="AK96" i="1" s="1"/>
  <c r="AH96" i="1" s="1"/>
  <c r="Y96" i="1"/>
  <c r="W96" i="1"/>
  <c r="S96" i="1"/>
  <c r="R96" i="1"/>
  <c r="Q96" i="1"/>
  <c r="AW96" i="1" s="1"/>
  <c r="L96" i="1"/>
  <c r="K96" i="1"/>
  <c r="AD96" i="1" s="1"/>
  <c r="I96" i="1"/>
  <c r="AJ96" i="1" s="1"/>
  <c r="BF95" i="1"/>
  <c r="BA95" i="1"/>
  <c r="AZ95" i="1"/>
  <c r="AY95" i="1"/>
  <c r="AV95" i="1"/>
  <c r="AL95" i="1"/>
  <c r="AK95" i="1"/>
  <c r="AH95" i="1" s="1"/>
  <c r="AJ95" i="1"/>
  <c r="AA95" i="1"/>
  <c r="Y95" i="1"/>
  <c r="W95" i="1"/>
  <c r="V95" i="1"/>
  <c r="U95" i="1"/>
  <c r="S95" i="1"/>
  <c r="R95" i="1"/>
  <c r="Q95" i="1"/>
  <c r="AW95" i="1" s="1"/>
  <c r="P95" i="1"/>
  <c r="L95" i="1"/>
  <c r="K95" i="1"/>
  <c r="AD95" i="1" s="1"/>
  <c r="I95" i="1"/>
  <c r="AI95" i="1" s="1"/>
  <c r="AS95" i="1" s="1"/>
  <c r="AU95" i="1" s="1"/>
  <c r="BF94" i="1"/>
  <c r="AZ94" i="1"/>
  <c r="AW94" i="1"/>
  <c r="AL94" i="1"/>
  <c r="AD94" i="1"/>
  <c r="Y94" i="1"/>
  <c r="W94" i="1"/>
  <c r="V94" i="1"/>
  <c r="U94" i="1" s="1"/>
  <c r="S94" i="1"/>
  <c r="R94" i="1"/>
  <c r="Q94" i="1"/>
  <c r="L94" i="1"/>
  <c r="K94" i="1"/>
  <c r="I94" i="1"/>
  <c r="AJ94" i="1" s="1"/>
  <c r="H94" i="1"/>
  <c r="BF93" i="1"/>
  <c r="AZ93" i="1"/>
  <c r="AS93" i="1"/>
  <c r="AL93" i="1"/>
  <c r="AL160" i="1" s="1"/>
  <c r="AK93" i="1"/>
  <c r="AJ93" i="1"/>
  <c r="AI93" i="1"/>
  <c r="AR93" i="1" s="1"/>
  <c r="AR160" i="1" s="1"/>
  <c r="AD93" i="1"/>
  <c r="AA93" i="1"/>
  <c r="Y93" i="1"/>
  <c r="W93" i="1"/>
  <c r="V93" i="1"/>
  <c r="U93" i="1"/>
  <c r="R93" i="1"/>
  <c r="Q93" i="1"/>
  <c r="P93" i="1"/>
  <c r="L93" i="1"/>
  <c r="K93" i="1"/>
  <c r="I93" i="1"/>
  <c r="BF92" i="1"/>
  <c r="AZ92" i="1"/>
  <c r="AL92" i="1"/>
  <c r="AK92" i="1" s="1"/>
  <c r="AD92" i="1"/>
  <c r="Y92" i="1"/>
  <c r="W92" i="1"/>
  <c r="V92" i="1"/>
  <c r="U92" i="1" s="1"/>
  <c r="S92" i="1"/>
  <c r="R92" i="1"/>
  <c r="Q92" i="1"/>
  <c r="L92" i="1"/>
  <c r="K92" i="1"/>
  <c r="I92" i="1"/>
  <c r="BF91" i="1"/>
  <c r="AZ91" i="1"/>
  <c r="AL91" i="1"/>
  <c r="AK91" i="1"/>
  <c r="Y91" i="1"/>
  <c r="W91" i="1"/>
  <c r="V91" i="1"/>
  <c r="U91" i="1" s="1"/>
  <c r="S91" i="1"/>
  <c r="R91" i="1"/>
  <c r="Q91" i="1"/>
  <c r="L91" i="1"/>
  <c r="K91" i="1"/>
  <c r="AD91" i="1" s="1"/>
  <c r="I91" i="1"/>
  <c r="BA91" i="1" s="1"/>
  <c r="BF90" i="1"/>
  <c r="BA90" i="1"/>
  <c r="AZ90" i="1"/>
  <c r="AY90" i="1"/>
  <c r="AV90" i="1"/>
  <c r="AL90" i="1"/>
  <c r="AK90" i="1"/>
  <c r="AH90" i="1" s="1"/>
  <c r="AJ90" i="1"/>
  <c r="AA90" i="1"/>
  <c r="Y90" i="1"/>
  <c r="W90" i="1"/>
  <c r="V90" i="1"/>
  <c r="U90" i="1"/>
  <c r="S90" i="1"/>
  <c r="R90" i="1"/>
  <c r="Q90" i="1"/>
  <c r="AW90" i="1" s="1"/>
  <c r="P90" i="1"/>
  <c r="L90" i="1"/>
  <c r="K90" i="1"/>
  <c r="AD90" i="1" s="1"/>
  <c r="I90" i="1"/>
  <c r="AI90" i="1" s="1"/>
  <c r="AS90" i="1" s="1"/>
  <c r="AU90" i="1" s="1"/>
  <c r="BF89" i="1"/>
  <c r="AZ89" i="1"/>
  <c r="AW89" i="1"/>
  <c r="AW149" i="1" s="1"/>
  <c r="AL89" i="1"/>
  <c r="AD89" i="1"/>
  <c r="Y89" i="1"/>
  <c r="W89" i="1"/>
  <c r="V89" i="1"/>
  <c r="U89" i="1" s="1"/>
  <c r="S89" i="1"/>
  <c r="R89" i="1"/>
  <c r="Q89" i="1"/>
  <c r="L89" i="1"/>
  <c r="K89" i="1"/>
  <c r="I89" i="1"/>
  <c r="AJ89" i="1" s="1"/>
  <c r="BF88" i="1"/>
  <c r="AZ88" i="1"/>
  <c r="AZ148" i="1" s="1"/>
  <c r="AY148" i="1" s="1"/>
  <c r="AL88" i="1"/>
  <c r="AI88" i="1"/>
  <c r="AS88" i="1" s="1"/>
  <c r="AD88" i="1"/>
  <c r="AA88" i="1"/>
  <c r="Y88" i="1"/>
  <c r="W88" i="1"/>
  <c r="V88" i="1"/>
  <c r="U88" i="1"/>
  <c r="S88" i="1"/>
  <c r="R88" i="1"/>
  <c r="Q88" i="1"/>
  <c r="P88" i="1"/>
  <c r="L88" i="1"/>
  <c r="K88" i="1"/>
  <c r="I88" i="1"/>
  <c r="BA88" i="1" s="1"/>
  <c r="BA148" i="1" s="1"/>
  <c r="BF87" i="1"/>
  <c r="AZ87" i="1"/>
  <c r="AY87" i="1" s="1"/>
  <c r="AL87" i="1"/>
  <c r="AK87" i="1"/>
  <c r="AH87" i="1" s="1"/>
  <c r="AJ87" i="1"/>
  <c r="Y87" i="1"/>
  <c r="W87" i="1"/>
  <c r="V87" i="1"/>
  <c r="U87" i="1" s="1"/>
  <c r="S87" i="1"/>
  <c r="R87" i="1"/>
  <c r="Q87" i="1"/>
  <c r="L87" i="1"/>
  <c r="K87" i="1"/>
  <c r="AD87" i="1" s="1"/>
  <c r="I87" i="1"/>
  <c r="BA87" i="1" s="1"/>
  <c r="BF86" i="1"/>
  <c r="BA86" i="1"/>
  <c r="BA147" i="1" s="1"/>
  <c r="AZ86" i="1"/>
  <c r="AZ147" i="1" s="1"/>
  <c r="AY147" i="1" s="1"/>
  <c r="AL86" i="1"/>
  <c r="AL147" i="1" s="1"/>
  <c r="AK86" i="1"/>
  <c r="AK147" i="1" s="1"/>
  <c r="AH147" i="1" s="1"/>
  <c r="AJ86" i="1"/>
  <c r="AV86" i="1" s="1"/>
  <c r="AV147" i="1" s="1"/>
  <c r="AH86" i="1"/>
  <c r="AA86" i="1"/>
  <c r="Y86" i="1"/>
  <c r="W86" i="1"/>
  <c r="V86" i="1"/>
  <c r="U86" i="1"/>
  <c r="S86" i="1"/>
  <c r="R86" i="1"/>
  <c r="Q86" i="1"/>
  <c r="P86" i="1"/>
  <c r="L86" i="1"/>
  <c r="K86" i="1"/>
  <c r="AD86" i="1" s="1"/>
  <c r="I86" i="1"/>
  <c r="AI86" i="1" s="1"/>
  <c r="AS86" i="1" s="1"/>
  <c r="AS147" i="1" s="1"/>
  <c r="BF85" i="1"/>
  <c r="AZ85" i="1"/>
  <c r="AL85" i="1"/>
  <c r="AK85" i="1"/>
  <c r="AD85" i="1"/>
  <c r="Y85" i="1"/>
  <c r="W85" i="1"/>
  <c r="V85" i="1"/>
  <c r="U85" i="1" s="1"/>
  <c r="S85" i="1"/>
  <c r="R85" i="1"/>
  <c r="Q85" i="1"/>
  <c r="L85" i="1"/>
  <c r="K85" i="1"/>
  <c r="I85" i="1"/>
  <c r="BF84" i="1"/>
  <c r="AZ84" i="1"/>
  <c r="AZ144" i="1" s="1"/>
  <c r="AY144" i="1" s="1"/>
  <c r="AY84" i="1"/>
  <c r="AR84" i="1"/>
  <c r="AR144" i="1" s="1"/>
  <c r="AL84" i="1"/>
  <c r="AI84" i="1"/>
  <c r="AS84" i="1" s="1"/>
  <c r="AA84" i="1"/>
  <c r="Y84" i="1"/>
  <c r="W84" i="1"/>
  <c r="V84" i="1"/>
  <c r="U84" i="1"/>
  <c r="S84" i="1"/>
  <c r="R84" i="1"/>
  <c r="Q84" i="1"/>
  <c r="P84" i="1"/>
  <c r="L84" i="1"/>
  <c r="K84" i="1"/>
  <c r="AD84" i="1" s="1"/>
  <c r="I84" i="1"/>
  <c r="BA84" i="1" s="1"/>
  <c r="BA144" i="1" s="1"/>
  <c r="BF83" i="1"/>
  <c r="AZ83" i="1"/>
  <c r="AS83" i="1"/>
  <c r="AL83" i="1"/>
  <c r="AL146" i="1" s="1"/>
  <c r="AK83" i="1"/>
  <c r="AJ83" i="1"/>
  <c r="AW83" i="1" s="1"/>
  <c r="AI83" i="1"/>
  <c r="AR83" i="1" s="1"/>
  <c r="AR146" i="1" s="1"/>
  <c r="AD83" i="1"/>
  <c r="Y83" i="1"/>
  <c r="W83" i="1"/>
  <c r="R83" i="1"/>
  <c r="Q83" i="1"/>
  <c r="P83" i="1"/>
  <c r="L83" i="1"/>
  <c r="K83" i="1"/>
  <c r="I83" i="1"/>
  <c r="BA83" i="1" s="1"/>
  <c r="BA146" i="1" s="1"/>
  <c r="BF82" i="1"/>
  <c r="AZ82" i="1"/>
  <c r="AL82" i="1"/>
  <c r="AL145" i="1" s="1"/>
  <c r="AD82" i="1"/>
  <c r="Y82" i="1"/>
  <c r="W82" i="1"/>
  <c r="V82" i="1"/>
  <c r="U82" i="1" s="1"/>
  <c r="S82" i="1"/>
  <c r="R82" i="1"/>
  <c r="Q82" i="1"/>
  <c r="L82" i="1"/>
  <c r="K82" i="1"/>
  <c r="I82" i="1"/>
  <c r="BF81" i="1"/>
  <c r="AZ81" i="1"/>
  <c r="AZ159" i="1" s="1"/>
  <c r="AY159" i="1" s="1"/>
  <c r="AL81" i="1"/>
  <c r="AL159" i="1" s="1"/>
  <c r="AK81" i="1"/>
  <c r="Y81" i="1"/>
  <c r="W81" i="1"/>
  <c r="V81" i="1"/>
  <c r="U81" i="1" s="1"/>
  <c r="R81" i="1"/>
  <c r="Q81" i="1"/>
  <c r="P81" i="1" s="1"/>
  <c r="L81" i="1"/>
  <c r="K81" i="1"/>
  <c r="AD81" i="1" s="1"/>
  <c r="I81" i="1"/>
  <c r="AJ81" i="1" s="1"/>
  <c r="BF80" i="1"/>
  <c r="AZ80" i="1"/>
  <c r="AZ156" i="1" s="1"/>
  <c r="AY156" i="1" s="1"/>
  <c r="AL80" i="1"/>
  <c r="AL156" i="1" s="1"/>
  <c r="AK80" i="1"/>
  <c r="AJ80" i="1"/>
  <c r="Y80" i="1"/>
  <c r="W80" i="1"/>
  <c r="V80" i="1"/>
  <c r="U80" i="1" s="1"/>
  <c r="S80" i="1"/>
  <c r="R80" i="1"/>
  <c r="Q80" i="1"/>
  <c r="L80" i="1"/>
  <c r="K80" i="1"/>
  <c r="AD80" i="1" s="1"/>
  <c r="I80" i="1"/>
  <c r="BA80" i="1" s="1"/>
  <c r="BA156" i="1" s="1"/>
  <c r="BF79" i="1"/>
  <c r="AZ79" i="1"/>
  <c r="AZ155" i="1" s="1"/>
  <c r="AS79" i="1"/>
  <c r="AS155" i="1" s="1"/>
  <c r="AL79" i="1"/>
  <c r="AL155" i="1" s="1"/>
  <c r="AA79" i="1"/>
  <c r="Y79" i="1"/>
  <c r="W79" i="1"/>
  <c r="V79" i="1"/>
  <c r="U79" i="1"/>
  <c r="S79" i="1"/>
  <c r="R79" i="1"/>
  <c r="Q79" i="1"/>
  <c r="P79" i="1"/>
  <c r="L79" i="1"/>
  <c r="K79" i="1"/>
  <c r="AD79" i="1" s="1"/>
  <c r="I79" i="1"/>
  <c r="AI79" i="1" s="1"/>
  <c r="BF78" i="1"/>
  <c r="BA78" i="1"/>
  <c r="BA154" i="1" s="1"/>
  <c r="AZ78" i="1"/>
  <c r="AZ154" i="1" s="1"/>
  <c r="AY154" i="1" s="1"/>
  <c r="AV78" i="1"/>
  <c r="AV154" i="1" s="1"/>
  <c r="AL78" i="1"/>
  <c r="AL154" i="1" s="1"/>
  <c r="AJ78" i="1"/>
  <c r="AA78" i="1"/>
  <c r="Y78" i="1"/>
  <c r="W78" i="1"/>
  <c r="V78" i="1"/>
  <c r="U78" i="1"/>
  <c r="S78" i="1"/>
  <c r="R78" i="1"/>
  <c r="Q78" i="1"/>
  <c r="AW78" i="1" s="1"/>
  <c r="P78" i="1"/>
  <c r="L78" i="1"/>
  <c r="K78" i="1"/>
  <c r="AD78" i="1" s="1"/>
  <c r="I78" i="1"/>
  <c r="AI78" i="1" s="1"/>
  <c r="AS78" i="1" s="1"/>
  <c r="BF77" i="1"/>
  <c r="AZ77" i="1"/>
  <c r="AZ153" i="1" s="1"/>
  <c r="AL77" i="1"/>
  <c r="AL153" i="1" s="1"/>
  <c r="AD77" i="1"/>
  <c r="Y77" i="1"/>
  <c r="W77" i="1"/>
  <c r="V77" i="1"/>
  <c r="U77" i="1" s="1"/>
  <c r="S77" i="1"/>
  <c r="R77" i="1"/>
  <c r="Q77" i="1"/>
  <c r="L77" i="1"/>
  <c r="K77" i="1"/>
  <c r="I77" i="1"/>
  <c r="BA77" i="1" s="1"/>
  <c r="BA153" i="1" s="1"/>
  <c r="BF76" i="1"/>
  <c r="AZ76" i="1"/>
  <c r="AZ152" i="1" s="1"/>
  <c r="AY152" i="1" s="1"/>
  <c r="AY76" i="1"/>
  <c r="AS76" i="1"/>
  <c r="AS152" i="1" s="1"/>
  <c r="AL76" i="1"/>
  <c r="AL152" i="1" s="1"/>
  <c r="AJ76" i="1"/>
  <c r="AW76" i="1" s="1"/>
  <c r="AI76" i="1"/>
  <c r="AR76" i="1" s="1"/>
  <c r="AR152" i="1" s="1"/>
  <c r="AB76" i="1"/>
  <c r="Y76" i="1"/>
  <c r="W76" i="1"/>
  <c r="V76" i="1"/>
  <c r="U76" i="1" s="1"/>
  <c r="S76" i="1"/>
  <c r="R76" i="1"/>
  <c r="Q76" i="1"/>
  <c r="AV76" i="1" s="1"/>
  <c r="AV152" i="1" s="1"/>
  <c r="L76" i="1"/>
  <c r="K76" i="1"/>
  <c r="AD76" i="1" s="1"/>
  <c r="I76" i="1"/>
  <c r="BA76" i="1" s="1"/>
  <c r="BA152" i="1" s="1"/>
  <c r="BF75" i="1"/>
  <c r="BA75" i="1"/>
  <c r="BA143" i="1" s="1"/>
  <c r="AZ75" i="1"/>
  <c r="AZ143" i="1" s="1"/>
  <c r="AY143" i="1" s="1"/>
  <c r="AV75" i="1"/>
  <c r="AV143" i="1" s="1"/>
  <c r="AL75" i="1"/>
  <c r="AL143" i="1" s="1"/>
  <c r="AJ75" i="1"/>
  <c r="AA75" i="1"/>
  <c r="Y75" i="1"/>
  <c r="W75" i="1"/>
  <c r="V75" i="1"/>
  <c r="U75" i="1"/>
  <c r="S75" i="1"/>
  <c r="R75" i="1"/>
  <c r="Q75" i="1"/>
  <c r="AW75" i="1" s="1"/>
  <c r="P75" i="1"/>
  <c r="L75" i="1"/>
  <c r="K75" i="1"/>
  <c r="AD75" i="1" s="1"/>
  <c r="I75" i="1"/>
  <c r="AI75" i="1" s="1"/>
  <c r="AS75" i="1" s="1"/>
  <c r="BF74" i="1"/>
  <c r="AZ74" i="1"/>
  <c r="AZ142" i="1" s="1"/>
  <c r="AY142" i="1" s="1"/>
  <c r="AL74" i="1"/>
  <c r="AL142" i="1" s="1"/>
  <c r="AD74" i="1"/>
  <c r="Y74" i="1"/>
  <c r="W74" i="1"/>
  <c r="V74" i="1"/>
  <c r="U74" i="1" s="1"/>
  <c r="S74" i="1"/>
  <c r="R74" i="1"/>
  <c r="Q74" i="1"/>
  <c r="L74" i="1"/>
  <c r="K74" i="1"/>
  <c r="I74" i="1"/>
  <c r="BA74" i="1" s="1"/>
  <c r="BA142" i="1" s="1"/>
  <c r="BF73" i="1"/>
  <c r="AZ73" i="1"/>
  <c r="AY73" i="1"/>
  <c r="AL73" i="1"/>
  <c r="AK73" i="1" s="1"/>
  <c r="AJ73" i="1"/>
  <c r="Y73" i="1"/>
  <c r="W73" i="1"/>
  <c r="V73" i="1"/>
  <c r="U73" i="1" s="1"/>
  <c r="S73" i="1"/>
  <c r="R73" i="1"/>
  <c r="Q73" i="1"/>
  <c r="AW73" i="1" s="1"/>
  <c r="L73" i="1"/>
  <c r="K73" i="1"/>
  <c r="AD73" i="1" s="1"/>
  <c r="I73" i="1"/>
  <c r="AI73" i="1" s="1"/>
  <c r="AS73" i="1" s="1"/>
  <c r="AU73" i="1" s="1"/>
  <c r="BF72" i="1"/>
  <c r="AZ72" i="1"/>
  <c r="AY72" i="1" s="1"/>
  <c r="AL72" i="1"/>
  <c r="AK72" i="1"/>
  <c r="AJ72" i="1"/>
  <c r="Y72" i="1"/>
  <c r="W72" i="1"/>
  <c r="V72" i="1"/>
  <c r="U72" i="1" s="1"/>
  <c r="S72" i="1"/>
  <c r="R72" i="1"/>
  <c r="Q72" i="1"/>
  <c r="AW72" i="1" s="1"/>
  <c r="L72" i="1"/>
  <c r="K72" i="1"/>
  <c r="AD72" i="1" s="1"/>
  <c r="I72" i="1"/>
  <c r="AI72" i="1" s="1"/>
  <c r="AS72" i="1" s="1"/>
  <c r="AU72" i="1" s="1"/>
  <c r="BF71" i="1"/>
  <c r="BA71" i="1"/>
  <c r="AZ71" i="1"/>
  <c r="AY71" i="1" s="1"/>
  <c r="AV71" i="1"/>
  <c r="AL71" i="1"/>
  <c r="AK71" i="1" s="1"/>
  <c r="AJ71" i="1"/>
  <c r="AA71" i="1"/>
  <c r="Y71" i="1"/>
  <c r="W71" i="1"/>
  <c r="V71" i="1"/>
  <c r="U71" i="1"/>
  <c r="S71" i="1"/>
  <c r="R71" i="1"/>
  <c r="Q71" i="1"/>
  <c r="AW71" i="1" s="1"/>
  <c r="P71" i="1"/>
  <c r="L71" i="1"/>
  <c r="K71" i="1"/>
  <c r="AD71" i="1" s="1"/>
  <c r="I71" i="1"/>
  <c r="AI71" i="1" s="1"/>
  <c r="AS71" i="1" s="1"/>
  <c r="AU71" i="1" s="1"/>
  <c r="BF70" i="1"/>
  <c r="AZ70" i="1"/>
  <c r="AY70" i="1" s="1"/>
  <c r="AL70" i="1"/>
  <c r="AK70" i="1" s="1"/>
  <c r="AH70" i="1" s="1"/>
  <c r="AI70" i="1"/>
  <c r="Y70" i="1"/>
  <c r="W70" i="1"/>
  <c r="V70" i="1"/>
  <c r="U70" i="1" s="1"/>
  <c r="S70" i="1"/>
  <c r="R70" i="1"/>
  <c r="Q70" i="1"/>
  <c r="J70" i="1"/>
  <c r="I70" i="1"/>
  <c r="BA70" i="1" s="1"/>
  <c r="BF69" i="1"/>
  <c r="AZ69" i="1"/>
  <c r="AL69" i="1"/>
  <c r="AK69" i="1"/>
  <c r="AJ69" i="1"/>
  <c r="Y69" i="1"/>
  <c r="W69" i="1"/>
  <c r="V69" i="1"/>
  <c r="U69" i="1" s="1"/>
  <c r="S69" i="1"/>
  <c r="R69" i="1"/>
  <c r="Q69" i="1"/>
  <c r="AW69" i="1" s="1"/>
  <c r="AG69" i="1" s="1"/>
  <c r="L69" i="1"/>
  <c r="K69" i="1"/>
  <c r="AD69" i="1" s="1"/>
  <c r="I69" i="1"/>
  <c r="AI69" i="1" s="1"/>
  <c r="AS69" i="1" s="1"/>
  <c r="BF68" i="1"/>
  <c r="BA68" i="1"/>
  <c r="BA140" i="1" s="1"/>
  <c r="AZ68" i="1"/>
  <c r="AZ140" i="1" s="1"/>
  <c r="AY140" i="1" s="1"/>
  <c r="AV68" i="1"/>
  <c r="AV140" i="1" s="1"/>
  <c r="AL68" i="1"/>
  <c r="AJ68" i="1"/>
  <c r="AA68" i="1"/>
  <c r="Y68" i="1"/>
  <c r="W68" i="1"/>
  <c r="V68" i="1"/>
  <c r="U68" i="1"/>
  <c r="S68" i="1"/>
  <c r="R68" i="1"/>
  <c r="Q68" i="1"/>
  <c r="AW68" i="1" s="1"/>
  <c r="P68" i="1"/>
  <c r="L68" i="1"/>
  <c r="K68" i="1"/>
  <c r="AD68" i="1" s="1"/>
  <c r="I68" i="1"/>
  <c r="AI68" i="1" s="1"/>
  <c r="AS68" i="1" s="1"/>
  <c r="BF67" i="1"/>
  <c r="AZ67" i="1"/>
  <c r="AZ139" i="1" s="1"/>
  <c r="AY139" i="1" s="1"/>
  <c r="AL67" i="1"/>
  <c r="AL139" i="1" s="1"/>
  <c r="AI67" i="1"/>
  <c r="AD67" i="1"/>
  <c r="Y67" i="1"/>
  <c r="W67" i="1"/>
  <c r="V67" i="1"/>
  <c r="U67" i="1" s="1"/>
  <c r="S67" i="1"/>
  <c r="R67" i="1"/>
  <c r="Q67" i="1"/>
  <c r="L67" i="1"/>
  <c r="K67" i="1"/>
  <c r="I67" i="1"/>
  <c r="BF66" i="1"/>
  <c r="AZ66" i="1"/>
  <c r="AZ138" i="1" s="1"/>
  <c r="AY138" i="1" s="1"/>
  <c r="AY66" i="1"/>
  <c r="AL66" i="1"/>
  <c r="AK66" i="1" s="1"/>
  <c r="AJ66" i="1"/>
  <c r="Y66" i="1"/>
  <c r="W66" i="1"/>
  <c r="V66" i="1"/>
  <c r="U66" i="1" s="1"/>
  <c r="S66" i="1"/>
  <c r="R66" i="1"/>
  <c r="Q66" i="1"/>
  <c r="AW66" i="1" s="1"/>
  <c r="L66" i="1"/>
  <c r="K66" i="1"/>
  <c r="I66" i="1"/>
  <c r="BA66" i="1" s="1"/>
  <c r="J65" i="1"/>
  <c r="H65" i="1"/>
  <c r="H63" i="1" s="1"/>
  <c r="K64" i="1"/>
  <c r="J64" i="1"/>
  <c r="L64" i="1" s="1"/>
  <c r="I64" i="1"/>
  <c r="H64" i="1"/>
  <c r="BB63" i="1"/>
  <c r="AX63" i="1"/>
  <c r="AT63" i="1"/>
  <c r="AQ63" i="1"/>
  <c r="AP63" i="1"/>
  <c r="AO63" i="1"/>
  <c r="AN63" i="1"/>
  <c r="AM63" i="1"/>
  <c r="AE63" i="1"/>
  <c r="BF62" i="1"/>
  <c r="BA62" i="1"/>
  <c r="BA137" i="1" s="1"/>
  <c r="AZ62" i="1"/>
  <c r="AZ137" i="1" s="1"/>
  <c r="AY137" i="1" s="1"/>
  <c r="AL62" i="1"/>
  <c r="AI62" i="1"/>
  <c r="AR62" i="1" s="1"/>
  <c r="AR137" i="1" s="1"/>
  <c r="AA62" i="1"/>
  <c r="Y62" i="1"/>
  <c r="W62" i="1"/>
  <c r="S62" i="1"/>
  <c r="R62" i="1"/>
  <c r="Q62" i="1"/>
  <c r="AS62" i="1" s="1"/>
  <c r="L62" i="1"/>
  <c r="K62" i="1"/>
  <c r="AD62" i="1" s="1"/>
  <c r="I62" i="1"/>
  <c r="AJ62" i="1" s="1"/>
  <c r="AW62" i="1" s="1"/>
  <c r="BF61" i="1"/>
  <c r="BA61" i="1"/>
  <c r="AZ61" i="1"/>
  <c r="AY61" i="1" s="1"/>
  <c r="AV61" i="1"/>
  <c r="AL61" i="1"/>
  <c r="AK61" i="1" s="1"/>
  <c r="AJ61" i="1"/>
  <c r="AA61" i="1"/>
  <c r="Y61" i="1"/>
  <c r="W61" i="1"/>
  <c r="V61" i="1"/>
  <c r="U61" i="1"/>
  <c r="S61" i="1"/>
  <c r="R61" i="1"/>
  <c r="Q61" i="1"/>
  <c r="AW61" i="1" s="1"/>
  <c r="AG61" i="1" s="1"/>
  <c r="P61" i="1"/>
  <c r="L61" i="1"/>
  <c r="K61" i="1"/>
  <c r="AD61" i="1" s="1"/>
  <c r="I61" i="1"/>
  <c r="AI61" i="1" s="1"/>
  <c r="AS61" i="1" s="1"/>
  <c r="AU61" i="1" s="1"/>
  <c r="BF60" i="1"/>
  <c r="BA60" i="1"/>
  <c r="AZ60" i="1"/>
  <c r="AY60" i="1" s="1"/>
  <c r="AW60" i="1"/>
  <c r="AR60" i="1"/>
  <c r="AL60" i="1"/>
  <c r="AK60" i="1" s="1"/>
  <c r="AH60" i="1" s="1"/>
  <c r="AI60" i="1"/>
  <c r="AD60" i="1"/>
  <c r="AA60" i="1"/>
  <c r="Y60" i="1"/>
  <c r="V60" i="1"/>
  <c r="U60" i="1"/>
  <c r="S60" i="1"/>
  <c r="R60" i="1"/>
  <c r="Q60" i="1"/>
  <c r="P60" i="1"/>
  <c r="L60" i="1"/>
  <c r="K60" i="1"/>
  <c r="I60" i="1"/>
  <c r="AJ60" i="1" s="1"/>
  <c r="AV60" i="1" s="1"/>
  <c r="BF59" i="1"/>
  <c r="AZ59" i="1"/>
  <c r="AY59" i="1" s="1"/>
  <c r="AV59" i="1"/>
  <c r="AL59" i="1"/>
  <c r="AK59" i="1" s="1"/>
  <c r="AH59" i="1"/>
  <c r="AD59" i="1"/>
  <c r="AA59" i="1"/>
  <c r="Y59" i="1"/>
  <c r="W59" i="1"/>
  <c r="V59" i="1"/>
  <c r="U59" i="1"/>
  <c r="S59" i="1"/>
  <c r="R59" i="1"/>
  <c r="Q59" i="1"/>
  <c r="AW59" i="1" s="1"/>
  <c r="P59" i="1"/>
  <c r="L59" i="1"/>
  <c r="K59" i="1"/>
  <c r="I59" i="1"/>
  <c r="AJ59" i="1" s="1"/>
  <c r="BF58" i="1"/>
  <c r="AZ58" i="1"/>
  <c r="AY58" i="1"/>
  <c r="AL58" i="1"/>
  <c r="AK58" i="1" s="1"/>
  <c r="AH58" i="1" s="1"/>
  <c r="AI58" i="1"/>
  <c r="Y58" i="1"/>
  <c r="W58" i="1"/>
  <c r="V58" i="1"/>
  <c r="U58" i="1" s="1"/>
  <c r="S58" i="1"/>
  <c r="R58" i="1"/>
  <c r="Q58" i="1"/>
  <c r="AR58" i="1" s="1"/>
  <c r="L58" i="1"/>
  <c r="K58" i="1"/>
  <c r="AD58" i="1" s="1"/>
  <c r="I58" i="1"/>
  <c r="BA58" i="1" s="1"/>
  <c r="BF57" i="1"/>
  <c r="AZ57" i="1"/>
  <c r="AY57" i="1"/>
  <c r="AL57" i="1"/>
  <c r="AK57" i="1"/>
  <c r="AH57" i="1" s="1"/>
  <c r="AJ57" i="1"/>
  <c r="Y57" i="1"/>
  <c r="W57" i="1"/>
  <c r="V57" i="1"/>
  <c r="U57" i="1" s="1"/>
  <c r="S57" i="1"/>
  <c r="R57" i="1"/>
  <c r="Q57" i="1"/>
  <c r="AW57" i="1" s="1"/>
  <c r="L57" i="1"/>
  <c r="K57" i="1"/>
  <c r="AD57" i="1" s="1"/>
  <c r="I57" i="1"/>
  <c r="AI57" i="1" s="1"/>
  <c r="AS57" i="1" s="1"/>
  <c r="AU57" i="1" s="1"/>
  <c r="BF56" i="1"/>
  <c r="BA56" i="1"/>
  <c r="AZ56" i="1"/>
  <c r="AY56" i="1" s="1"/>
  <c r="AV56" i="1"/>
  <c r="AL56" i="1"/>
  <c r="AK56" i="1" s="1"/>
  <c r="AJ56" i="1"/>
  <c r="AA56" i="1"/>
  <c r="Y56" i="1"/>
  <c r="W56" i="1"/>
  <c r="V56" i="1"/>
  <c r="U56" i="1"/>
  <c r="S56" i="1"/>
  <c r="R56" i="1"/>
  <c r="Q56" i="1"/>
  <c r="AW56" i="1" s="1"/>
  <c r="AG56" i="1" s="1"/>
  <c r="P56" i="1"/>
  <c r="L56" i="1"/>
  <c r="K56" i="1"/>
  <c r="AD56" i="1" s="1"/>
  <c r="I56" i="1"/>
  <c r="AI56" i="1" s="1"/>
  <c r="AS56" i="1" s="1"/>
  <c r="AU56" i="1" s="1"/>
  <c r="BF55" i="1"/>
  <c r="BA55" i="1"/>
  <c r="BA136" i="1" s="1"/>
  <c r="AZ55" i="1"/>
  <c r="AZ136" i="1" s="1"/>
  <c r="AY136" i="1" s="1"/>
  <c r="AR55" i="1"/>
  <c r="AR136" i="1" s="1"/>
  <c r="AL55" i="1"/>
  <c r="AI55" i="1"/>
  <c r="AA55" i="1"/>
  <c r="Y55" i="1"/>
  <c r="W55" i="1"/>
  <c r="S55" i="1"/>
  <c r="R55" i="1"/>
  <c r="Q55" i="1"/>
  <c r="AS55" i="1" s="1"/>
  <c r="L55" i="1"/>
  <c r="K55" i="1"/>
  <c r="AD55" i="1" s="1"/>
  <c r="I55" i="1"/>
  <c r="AJ55" i="1" s="1"/>
  <c r="AW55" i="1" s="1"/>
  <c r="BF54" i="1"/>
  <c r="BA54" i="1"/>
  <c r="AZ54" i="1"/>
  <c r="AY54" i="1" s="1"/>
  <c r="AV54" i="1"/>
  <c r="AU54" i="1"/>
  <c r="AL54" i="1"/>
  <c r="AK54" i="1"/>
  <c r="AJ54" i="1"/>
  <c r="AA54" i="1"/>
  <c r="Y54" i="1"/>
  <c r="W54" i="1"/>
  <c r="V54" i="1"/>
  <c r="U54" i="1"/>
  <c r="S54" i="1"/>
  <c r="R54" i="1"/>
  <c r="Q54" i="1"/>
  <c r="AW54" i="1" s="1"/>
  <c r="AG54" i="1" s="1"/>
  <c r="P54" i="1"/>
  <c r="L54" i="1"/>
  <c r="K54" i="1"/>
  <c r="AD54" i="1" s="1"/>
  <c r="I54" i="1"/>
  <c r="AI54" i="1" s="1"/>
  <c r="AS54" i="1" s="1"/>
  <c r="BF53" i="1"/>
  <c r="BA53" i="1"/>
  <c r="AZ53" i="1"/>
  <c r="AY53" i="1" s="1"/>
  <c r="AV53" i="1"/>
  <c r="AR53" i="1"/>
  <c r="AL53" i="1"/>
  <c r="AK53" i="1" s="1"/>
  <c r="AI53" i="1"/>
  <c r="AH53" i="1"/>
  <c r="AA53" i="1"/>
  <c r="Y53" i="1"/>
  <c r="W53" i="1"/>
  <c r="S53" i="1"/>
  <c r="R53" i="1"/>
  <c r="Q53" i="1"/>
  <c r="AS53" i="1" s="1"/>
  <c r="AU53" i="1" s="1"/>
  <c r="L53" i="1"/>
  <c r="K53" i="1"/>
  <c r="AD53" i="1" s="1"/>
  <c r="I53" i="1"/>
  <c r="AJ53" i="1" s="1"/>
  <c r="AW53" i="1" s="1"/>
  <c r="AG53" i="1" s="1"/>
  <c r="BF52" i="1"/>
  <c r="BA52" i="1"/>
  <c r="BA135" i="1" s="1"/>
  <c r="AZ52" i="1"/>
  <c r="AV52" i="1"/>
  <c r="AV135" i="1" s="1"/>
  <c r="AL52" i="1"/>
  <c r="AL135" i="1" s="1"/>
  <c r="AJ52" i="1"/>
  <c r="AA52" i="1"/>
  <c r="Y52" i="1"/>
  <c r="W52" i="1"/>
  <c r="V52" i="1"/>
  <c r="U52" i="1"/>
  <c r="S52" i="1"/>
  <c r="R52" i="1"/>
  <c r="Q52" i="1"/>
  <c r="AW52" i="1" s="1"/>
  <c r="AW135" i="1" s="1"/>
  <c r="P52" i="1"/>
  <c r="L52" i="1"/>
  <c r="K52" i="1"/>
  <c r="AD52" i="1" s="1"/>
  <c r="I52" i="1"/>
  <c r="AI52" i="1" s="1"/>
  <c r="AS52" i="1" s="1"/>
  <c r="AS135" i="1" s="1"/>
  <c r="BF51" i="1"/>
  <c r="AZ51" i="1"/>
  <c r="AW51" i="1"/>
  <c r="AV51" i="1"/>
  <c r="AL51" i="1"/>
  <c r="AK51" i="1" s="1"/>
  <c r="AI51" i="1"/>
  <c r="AH51" i="1"/>
  <c r="AD51" i="1"/>
  <c r="Y51" i="1"/>
  <c r="W51" i="1"/>
  <c r="V51" i="1"/>
  <c r="U51" i="1" s="1"/>
  <c r="S51" i="1"/>
  <c r="R51" i="1"/>
  <c r="Q51" i="1"/>
  <c r="AA51" i="1" s="1"/>
  <c r="L51" i="1"/>
  <c r="K51" i="1"/>
  <c r="I51" i="1"/>
  <c r="AJ51" i="1" s="1"/>
  <c r="BF50" i="1"/>
  <c r="AZ50" i="1"/>
  <c r="AY50" i="1"/>
  <c r="AL50" i="1"/>
  <c r="AK50" i="1" s="1"/>
  <c r="Y50" i="1"/>
  <c r="W50" i="1"/>
  <c r="V50" i="1"/>
  <c r="U50" i="1" s="1"/>
  <c r="S50" i="1"/>
  <c r="R50" i="1"/>
  <c r="Q50" i="1"/>
  <c r="L50" i="1"/>
  <c r="K50" i="1"/>
  <c r="AD50" i="1" s="1"/>
  <c r="I50" i="1"/>
  <c r="BA50" i="1" s="1"/>
  <c r="BF49" i="1"/>
  <c r="AZ49" i="1"/>
  <c r="AY49" i="1" s="1"/>
  <c r="AU49" i="1"/>
  <c r="AS49" i="1"/>
  <c r="AL49" i="1"/>
  <c r="AK49" i="1"/>
  <c r="AH49" i="1" s="1"/>
  <c r="AJ49" i="1"/>
  <c r="AW49" i="1" s="1"/>
  <c r="AI49" i="1"/>
  <c r="AR49" i="1" s="1"/>
  <c r="AG49" i="1"/>
  <c r="AF49" i="1"/>
  <c r="AC49" i="1"/>
  <c r="AA49" i="1"/>
  <c r="Y49" i="1"/>
  <c r="W49" i="1"/>
  <c r="V49" i="1"/>
  <c r="U49" i="1"/>
  <c r="S49" i="1"/>
  <c r="R49" i="1"/>
  <c r="Q49" i="1"/>
  <c r="AV49" i="1" s="1"/>
  <c r="P49" i="1"/>
  <c r="L49" i="1"/>
  <c r="K49" i="1"/>
  <c r="AD49" i="1" s="1"/>
  <c r="I49" i="1"/>
  <c r="BA49" i="1" s="1"/>
  <c r="BF48" i="1"/>
  <c r="BA48" i="1"/>
  <c r="BA133" i="1" s="1"/>
  <c r="AZ48" i="1"/>
  <c r="AY48" i="1" s="1"/>
  <c r="AL48" i="1"/>
  <c r="AD48" i="1"/>
  <c r="AC48" i="1"/>
  <c r="AW48" i="1" s="1"/>
  <c r="Y48" i="1"/>
  <c r="W48" i="1"/>
  <c r="V48" i="1"/>
  <c r="U48" i="1" s="1"/>
  <c r="S48" i="1"/>
  <c r="R48" i="1"/>
  <c r="Q48" i="1"/>
  <c r="L48" i="1"/>
  <c r="K48" i="1"/>
  <c r="I48" i="1"/>
  <c r="AJ48" i="1" s="1"/>
  <c r="BF47" i="1"/>
  <c r="AZ47" i="1"/>
  <c r="AZ132" i="1" s="1"/>
  <c r="AY132" i="1" s="1"/>
  <c r="AL47" i="1"/>
  <c r="AL132" i="1" s="1"/>
  <c r="AK47" i="1"/>
  <c r="AJ47" i="1"/>
  <c r="Y47" i="1"/>
  <c r="W47" i="1"/>
  <c r="V47" i="1"/>
  <c r="U47" i="1" s="1"/>
  <c r="S47" i="1"/>
  <c r="R47" i="1"/>
  <c r="Q47" i="1"/>
  <c r="AW47" i="1" s="1"/>
  <c r="AW132" i="1" s="1"/>
  <c r="L47" i="1"/>
  <c r="K47" i="1"/>
  <c r="AD47" i="1" s="1"/>
  <c r="I47" i="1"/>
  <c r="AI47" i="1" s="1"/>
  <c r="AS47" i="1" s="1"/>
  <c r="BF46" i="1"/>
  <c r="BA46" i="1"/>
  <c r="BA131" i="1" s="1"/>
  <c r="AZ46" i="1"/>
  <c r="AV46" i="1"/>
  <c r="AV131" i="1" s="1"/>
  <c r="AU46" i="1"/>
  <c r="AU131" i="1" s="1"/>
  <c r="AL46" i="1"/>
  <c r="AL131" i="1" s="1"/>
  <c r="AK46" i="1"/>
  <c r="AJ46" i="1"/>
  <c r="AA46" i="1"/>
  <c r="Y46" i="1"/>
  <c r="W46" i="1"/>
  <c r="V46" i="1"/>
  <c r="U46" i="1"/>
  <c r="S46" i="1"/>
  <c r="R46" i="1"/>
  <c r="Q46" i="1"/>
  <c r="AW46" i="1" s="1"/>
  <c r="AW131" i="1" s="1"/>
  <c r="P46" i="1"/>
  <c r="L46" i="1"/>
  <c r="K46" i="1"/>
  <c r="AD46" i="1" s="1"/>
  <c r="I46" i="1"/>
  <c r="AI46" i="1" s="1"/>
  <c r="AS46" i="1" s="1"/>
  <c r="AS131" i="1" s="1"/>
  <c r="BF45" i="1"/>
  <c r="AZ45" i="1"/>
  <c r="AV45" i="1"/>
  <c r="AL45" i="1"/>
  <c r="AK45" i="1" s="1"/>
  <c r="AH45" i="1"/>
  <c r="AD45" i="1"/>
  <c r="Y45" i="1"/>
  <c r="W45" i="1"/>
  <c r="V45" i="1"/>
  <c r="U45" i="1" s="1"/>
  <c r="S45" i="1"/>
  <c r="R45" i="1"/>
  <c r="Q45" i="1"/>
  <c r="AA45" i="1" s="1"/>
  <c r="L45" i="1"/>
  <c r="K45" i="1"/>
  <c r="I45" i="1"/>
  <c r="AJ45" i="1" s="1"/>
  <c r="BF44" i="1"/>
  <c r="AZ44" i="1"/>
  <c r="AY44" i="1"/>
  <c r="AL44" i="1"/>
  <c r="AK44" i="1" s="1"/>
  <c r="AH44" i="1" s="1"/>
  <c r="Y44" i="1"/>
  <c r="W44" i="1"/>
  <c r="V44" i="1"/>
  <c r="U44" i="1" s="1"/>
  <c r="S44" i="1"/>
  <c r="R44" i="1"/>
  <c r="Q44" i="1"/>
  <c r="L44" i="1"/>
  <c r="K44" i="1"/>
  <c r="AD44" i="1" s="1"/>
  <c r="I44" i="1"/>
  <c r="BA44" i="1" s="1"/>
  <c r="BF43" i="1"/>
  <c r="AZ43" i="1"/>
  <c r="AY43" i="1"/>
  <c r="AL43" i="1"/>
  <c r="AK43" i="1"/>
  <c r="AH43" i="1" s="1"/>
  <c r="AJ43" i="1"/>
  <c r="Y43" i="1"/>
  <c r="W43" i="1"/>
  <c r="V43" i="1"/>
  <c r="U43" i="1" s="1"/>
  <c r="S43" i="1"/>
  <c r="R43" i="1"/>
  <c r="Q43" i="1"/>
  <c r="AW43" i="1" s="1"/>
  <c r="AG43" i="1" s="1"/>
  <c r="L43" i="1"/>
  <c r="K43" i="1"/>
  <c r="AD43" i="1" s="1"/>
  <c r="I43" i="1"/>
  <c r="AI43" i="1" s="1"/>
  <c r="AS43" i="1" s="1"/>
  <c r="AU43" i="1" s="1"/>
  <c r="BF42" i="1"/>
  <c r="BA42" i="1"/>
  <c r="AZ42" i="1"/>
  <c r="AY42" i="1" s="1"/>
  <c r="AV42" i="1"/>
  <c r="AU42" i="1"/>
  <c r="AL42" i="1"/>
  <c r="AK42" i="1" s="1"/>
  <c r="AJ42" i="1"/>
  <c r="AA42" i="1"/>
  <c r="Y42" i="1"/>
  <c r="W42" i="1"/>
  <c r="V42" i="1"/>
  <c r="U42" i="1"/>
  <c r="S42" i="1"/>
  <c r="R42" i="1"/>
  <c r="Q42" i="1"/>
  <c r="AW42" i="1" s="1"/>
  <c r="P42" i="1"/>
  <c r="L42" i="1"/>
  <c r="K42" i="1"/>
  <c r="AD42" i="1" s="1"/>
  <c r="I42" i="1"/>
  <c r="AI42" i="1" s="1"/>
  <c r="AS42" i="1" s="1"/>
  <c r="BF41" i="1"/>
  <c r="AZ41" i="1"/>
  <c r="AL41" i="1"/>
  <c r="AK41" i="1" s="1"/>
  <c r="AH41" i="1" s="1"/>
  <c r="AD41" i="1"/>
  <c r="Y41" i="1"/>
  <c r="W41" i="1"/>
  <c r="V41" i="1"/>
  <c r="U41" i="1" s="1"/>
  <c r="S41" i="1"/>
  <c r="R41" i="1"/>
  <c r="Q41" i="1"/>
  <c r="L41" i="1"/>
  <c r="K41" i="1"/>
  <c r="I41" i="1"/>
  <c r="AJ41" i="1" s="1"/>
  <c r="BF40" i="1"/>
  <c r="AZ40" i="1"/>
  <c r="AL40" i="1"/>
  <c r="AK40" i="1" s="1"/>
  <c r="Y40" i="1"/>
  <c r="W40" i="1"/>
  <c r="V40" i="1"/>
  <c r="U40" i="1" s="1"/>
  <c r="S40" i="1"/>
  <c r="R40" i="1"/>
  <c r="Q40" i="1"/>
  <c r="L40" i="1"/>
  <c r="K40" i="1"/>
  <c r="AD40" i="1" s="1"/>
  <c r="I40" i="1"/>
  <c r="BA40" i="1" s="1"/>
  <c r="BF39" i="1"/>
  <c r="AZ39" i="1"/>
  <c r="AY39" i="1" s="1"/>
  <c r="AL39" i="1"/>
  <c r="AK39" i="1"/>
  <c r="AJ39" i="1"/>
  <c r="Y39" i="1"/>
  <c r="W39" i="1"/>
  <c r="V39" i="1"/>
  <c r="U39" i="1" s="1"/>
  <c r="S39" i="1"/>
  <c r="R39" i="1"/>
  <c r="Q39" i="1"/>
  <c r="L39" i="1"/>
  <c r="K39" i="1"/>
  <c r="AD39" i="1" s="1"/>
  <c r="I39" i="1"/>
  <c r="BF38" i="1"/>
  <c r="BA38" i="1"/>
  <c r="AZ38" i="1"/>
  <c r="AY38" i="1" s="1"/>
  <c r="AV38" i="1"/>
  <c r="AL38" i="1"/>
  <c r="AK38" i="1"/>
  <c r="AH38" i="1" s="1"/>
  <c r="AJ38" i="1"/>
  <c r="AA38" i="1"/>
  <c r="Y38" i="1"/>
  <c r="W38" i="1"/>
  <c r="V38" i="1"/>
  <c r="U38" i="1"/>
  <c r="S38" i="1"/>
  <c r="R38" i="1"/>
  <c r="Q38" i="1"/>
  <c r="AW38" i="1" s="1"/>
  <c r="P38" i="1"/>
  <c r="L38" i="1"/>
  <c r="K38" i="1"/>
  <c r="AD38" i="1" s="1"/>
  <c r="I38" i="1"/>
  <c r="AI38" i="1" s="1"/>
  <c r="AS38" i="1" s="1"/>
  <c r="AU38" i="1" s="1"/>
  <c r="BF37" i="1"/>
  <c r="AZ37" i="1"/>
  <c r="AL37" i="1"/>
  <c r="AL129" i="1" s="1"/>
  <c r="AD37" i="1"/>
  <c r="Y37" i="1"/>
  <c r="W37" i="1"/>
  <c r="V37" i="1"/>
  <c r="U37" i="1" s="1"/>
  <c r="S37" i="1"/>
  <c r="R37" i="1"/>
  <c r="Q37" i="1"/>
  <c r="AA37" i="1" s="1"/>
  <c r="L37" i="1"/>
  <c r="K37" i="1"/>
  <c r="K65" i="1" s="1"/>
  <c r="K63" i="1" s="1"/>
  <c r="I37" i="1"/>
  <c r="BA37" i="1" s="1"/>
  <c r="H36" i="1"/>
  <c r="K35" i="1"/>
  <c r="J35" i="1"/>
  <c r="L35" i="1" s="1"/>
  <c r="I35" i="1"/>
  <c r="AJ35" i="1" s="1"/>
  <c r="H35" i="1"/>
  <c r="BB34" i="1"/>
  <c r="AX34" i="1"/>
  <c r="AT34" i="1"/>
  <c r="AZ34" i="1" s="1"/>
  <c r="AQ34" i="1"/>
  <c r="AP34" i="1"/>
  <c r="AO34" i="1"/>
  <c r="AN34" i="1"/>
  <c r="AM34" i="1"/>
  <c r="AE34" i="1"/>
  <c r="H34" i="1"/>
  <c r="BF33" i="1"/>
  <c r="AZ33" i="1"/>
  <c r="AY33" i="1"/>
  <c r="AL33" i="1"/>
  <c r="AK33" i="1" s="1"/>
  <c r="AI33" i="1"/>
  <c r="AR33" i="1" s="1"/>
  <c r="AH33" i="1"/>
  <c r="AA33" i="1"/>
  <c r="Y33" i="1"/>
  <c r="W33" i="1"/>
  <c r="V33" i="1"/>
  <c r="U33" i="1"/>
  <c r="S33" i="1"/>
  <c r="R33" i="1"/>
  <c r="Q33" i="1"/>
  <c r="P33" i="1"/>
  <c r="L33" i="1"/>
  <c r="K33" i="1"/>
  <c r="I33" i="1"/>
  <c r="BA33" i="1" s="1"/>
  <c r="BF32" i="1"/>
  <c r="AZ32" i="1"/>
  <c r="AY32" i="1" s="1"/>
  <c r="AL32" i="1"/>
  <c r="AK32" i="1"/>
  <c r="AH32" i="1" s="1"/>
  <c r="AJ32" i="1"/>
  <c r="Y32" i="1"/>
  <c r="W32" i="1"/>
  <c r="V32" i="1"/>
  <c r="U32" i="1" s="1"/>
  <c r="S32" i="1"/>
  <c r="R32" i="1"/>
  <c r="Q32" i="1"/>
  <c r="L32" i="1"/>
  <c r="K32" i="1"/>
  <c r="AD32" i="1" s="1"/>
  <c r="I32" i="1"/>
  <c r="BA32" i="1" s="1"/>
  <c r="BF31" i="1"/>
  <c r="BA31" i="1"/>
  <c r="AZ31" i="1"/>
  <c r="AZ128" i="1" s="1"/>
  <c r="AY128" i="1" s="1"/>
  <c r="AU31" i="1"/>
  <c r="AS31" i="1"/>
  <c r="AL31" i="1"/>
  <c r="AL128" i="1" s="1"/>
  <c r="AJ31" i="1"/>
  <c r="AV31" i="1" s="1"/>
  <c r="AA31" i="1"/>
  <c r="Y31" i="1"/>
  <c r="W31" i="1"/>
  <c r="V31" i="1"/>
  <c r="U31" i="1"/>
  <c r="S31" i="1"/>
  <c r="R31" i="1"/>
  <c r="Q31" i="1"/>
  <c r="P31" i="1"/>
  <c r="L31" i="1"/>
  <c r="K31" i="1"/>
  <c r="AD31" i="1" s="1"/>
  <c r="I31" i="1"/>
  <c r="AI31" i="1" s="1"/>
  <c r="BF30" i="1"/>
  <c r="AZ30" i="1"/>
  <c r="AV30" i="1"/>
  <c r="AL30" i="1"/>
  <c r="AK30" i="1"/>
  <c r="AH30" i="1" s="1"/>
  <c r="AB30" i="1"/>
  <c r="Y30" i="1"/>
  <c r="W30" i="1"/>
  <c r="V30" i="1"/>
  <c r="U30" i="1" s="1"/>
  <c r="S30" i="1"/>
  <c r="R30" i="1"/>
  <c r="Q30" i="1"/>
  <c r="L30" i="1"/>
  <c r="K30" i="1"/>
  <c r="AD30" i="1" s="1"/>
  <c r="I30" i="1"/>
  <c r="AJ30" i="1" s="1"/>
  <c r="BF29" i="1"/>
  <c r="AZ29" i="1"/>
  <c r="AZ127" i="1" s="1"/>
  <c r="AL29" i="1"/>
  <c r="AL127" i="1" s="1"/>
  <c r="AK29" i="1"/>
  <c r="Y29" i="1"/>
  <c r="W29" i="1"/>
  <c r="V29" i="1"/>
  <c r="U29" i="1" s="1"/>
  <c r="S29" i="1"/>
  <c r="R29" i="1"/>
  <c r="Q29" i="1"/>
  <c r="L29" i="1"/>
  <c r="K29" i="1"/>
  <c r="AD29" i="1" s="1"/>
  <c r="I29" i="1"/>
  <c r="BA29" i="1" s="1"/>
  <c r="BA127" i="1" s="1"/>
  <c r="BF28" i="1"/>
  <c r="BA28" i="1"/>
  <c r="AZ28" i="1"/>
  <c r="AY28" i="1"/>
  <c r="AV28" i="1"/>
  <c r="AL28" i="1"/>
  <c r="AK28" i="1" s="1"/>
  <c r="AJ28" i="1"/>
  <c r="AA28" i="1"/>
  <c r="Y28" i="1"/>
  <c r="W28" i="1"/>
  <c r="V28" i="1"/>
  <c r="U28" i="1"/>
  <c r="S28" i="1"/>
  <c r="R28" i="1"/>
  <c r="Q28" i="1"/>
  <c r="AW28" i="1" s="1"/>
  <c r="P28" i="1"/>
  <c r="L28" i="1"/>
  <c r="K28" i="1"/>
  <c r="AD28" i="1" s="1"/>
  <c r="I28" i="1"/>
  <c r="AI28" i="1" s="1"/>
  <c r="AS28" i="1" s="1"/>
  <c r="AU28" i="1" s="1"/>
  <c r="BF27" i="1"/>
  <c r="AZ27" i="1"/>
  <c r="AY27" i="1" s="1"/>
  <c r="AW27" i="1"/>
  <c r="AL27" i="1"/>
  <c r="AK27" i="1" s="1"/>
  <c r="AD27" i="1"/>
  <c r="Y27" i="1"/>
  <c r="W27" i="1"/>
  <c r="V27" i="1"/>
  <c r="U27" i="1" s="1"/>
  <c r="S27" i="1"/>
  <c r="R27" i="1"/>
  <c r="Q27" i="1"/>
  <c r="AA27" i="1" s="1"/>
  <c r="L27" i="1"/>
  <c r="K27" i="1"/>
  <c r="I27" i="1"/>
  <c r="AJ27" i="1" s="1"/>
  <c r="BF26" i="1"/>
  <c r="AZ26" i="1"/>
  <c r="AL26" i="1"/>
  <c r="AK26" i="1" s="1"/>
  <c r="AD26" i="1"/>
  <c r="Y26" i="1"/>
  <c r="W26" i="1"/>
  <c r="V26" i="1"/>
  <c r="U26" i="1" s="1"/>
  <c r="S26" i="1"/>
  <c r="R26" i="1"/>
  <c r="Q26" i="1"/>
  <c r="L26" i="1"/>
  <c r="K26" i="1"/>
  <c r="I26" i="1"/>
  <c r="AI26" i="1" s="1"/>
  <c r="BF25" i="1"/>
  <c r="AZ25" i="1"/>
  <c r="AZ126" i="1" s="1"/>
  <c r="AY126" i="1" s="1"/>
  <c r="AW25" i="1"/>
  <c r="AL25" i="1"/>
  <c r="AK25" i="1"/>
  <c r="AJ25" i="1"/>
  <c r="AH25" i="1"/>
  <c r="AA25" i="1"/>
  <c r="Y25" i="1"/>
  <c r="W25" i="1"/>
  <c r="V25" i="1"/>
  <c r="U25" i="1"/>
  <c r="S25" i="1"/>
  <c r="R25" i="1"/>
  <c r="Q25" i="1"/>
  <c r="P25" i="1"/>
  <c r="L25" i="1"/>
  <c r="K25" i="1"/>
  <c r="I25" i="1"/>
  <c r="BA25" i="1" s="1"/>
  <c r="BF24" i="1"/>
  <c r="AZ24" i="1"/>
  <c r="AZ125" i="1" s="1"/>
  <c r="AY125" i="1" s="1"/>
  <c r="AL24" i="1"/>
  <c r="AL125" i="1" s="1"/>
  <c r="AK24" i="1"/>
  <c r="AK125" i="1" s="1"/>
  <c r="AH125" i="1" s="1"/>
  <c r="AH24" i="1"/>
  <c r="AD24" i="1"/>
  <c r="AA24" i="1"/>
  <c r="Y24" i="1"/>
  <c r="W24" i="1"/>
  <c r="V24" i="1"/>
  <c r="U24" i="1"/>
  <c r="S24" i="1"/>
  <c r="R24" i="1"/>
  <c r="Q24" i="1"/>
  <c r="P24" i="1"/>
  <c r="L24" i="1"/>
  <c r="K24" i="1"/>
  <c r="I24" i="1"/>
  <c r="BA24" i="1" s="1"/>
  <c r="BA125" i="1" s="1"/>
  <c r="BF23" i="1"/>
  <c r="AZ23" i="1"/>
  <c r="AY23" i="1"/>
  <c r="AL23" i="1"/>
  <c r="AK23" i="1" s="1"/>
  <c r="AH23" i="1" s="1"/>
  <c r="AJ23" i="1"/>
  <c r="AI23" i="1"/>
  <c r="Y23" i="1"/>
  <c r="W23" i="1"/>
  <c r="V23" i="1"/>
  <c r="U23" i="1" s="1"/>
  <c r="S23" i="1"/>
  <c r="R23" i="1"/>
  <c r="Q23" i="1"/>
  <c r="AV23" i="1" s="1"/>
  <c r="J23" i="1"/>
  <c r="J123" i="1" s="1"/>
  <c r="I23" i="1"/>
  <c r="BA23" i="1" s="1"/>
  <c r="BF22" i="1"/>
  <c r="AZ22" i="1"/>
  <c r="AZ124" i="1" s="1"/>
  <c r="AY124" i="1" s="1"/>
  <c r="AL22" i="1"/>
  <c r="AL124" i="1" s="1"/>
  <c r="AK22" i="1"/>
  <c r="AH22" i="1" s="1"/>
  <c r="Y22" i="1"/>
  <c r="W22" i="1"/>
  <c r="S22" i="1"/>
  <c r="R22" i="1"/>
  <c r="Q22" i="1"/>
  <c r="L22" i="1"/>
  <c r="K22" i="1"/>
  <c r="AD22" i="1" s="1"/>
  <c r="I22" i="1"/>
  <c r="AJ22" i="1" s="1"/>
  <c r="BF21" i="1"/>
  <c r="AZ21" i="1"/>
  <c r="AY21" i="1"/>
  <c r="AL21" i="1"/>
  <c r="AK21" i="1"/>
  <c r="AH21" i="1" s="1"/>
  <c r="AJ21" i="1"/>
  <c r="Y21" i="1"/>
  <c r="W21" i="1"/>
  <c r="V21" i="1"/>
  <c r="U21" i="1" s="1"/>
  <c r="S21" i="1"/>
  <c r="R21" i="1"/>
  <c r="Q21" i="1"/>
  <c r="AW21" i="1" s="1"/>
  <c r="L21" i="1"/>
  <c r="K21" i="1"/>
  <c r="AD21" i="1" s="1"/>
  <c r="I21" i="1"/>
  <c r="AI21" i="1" s="1"/>
  <c r="AS21" i="1" s="1"/>
  <c r="AU21" i="1" s="1"/>
  <c r="BF20" i="1"/>
  <c r="BA20" i="1"/>
  <c r="AZ20" i="1"/>
  <c r="AY20" i="1" s="1"/>
  <c r="AV20" i="1"/>
  <c r="AL20" i="1"/>
  <c r="AK20" i="1"/>
  <c r="AJ20" i="1"/>
  <c r="AA20" i="1"/>
  <c r="Y20" i="1"/>
  <c r="W20" i="1"/>
  <c r="V20" i="1"/>
  <c r="U20" i="1"/>
  <c r="S20" i="1"/>
  <c r="R20" i="1"/>
  <c r="Q20" i="1"/>
  <c r="AW20" i="1" s="1"/>
  <c r="P20" i="1"/>
  <c r="L20" i="1"/>
  <c r="K20" i="1"/>
  <c r="AD20" i="1" s="1"/>
  <c r="I20" i="1"/>
  <c r="AI20" i="1" s="1"/>
  <c r="AS20" i="1" s="1"/>
  <c r="AU20" i="1" s="1"/>
  <c r="BF19" i="1"/>
  <c r="BA19" i="1"/>
  <c r="AZ19" i="1"/>
  <c r="AY19" i="1" s="1"/>
  <c r="AL19" i="1"/>
  <c r="AK19" i="1" s="1"/>
  <c r="AH19" i="1" s="1"/>
  <c r="AD19" i="1"/>
  <c r="AA19" i="1"/>
  <c r="Y19" i="1"/>
  <c r="W19" i="1"/>
  <c r="V19" i="1"/>
  <c r="U19" i="1"/>
  <c r="S19" i="1"/>
  <c r="R19" i="1"/>
  <c r="Q19" i="1"/>
  <c r="P19" i="1"/>
  <c r="L19" i="1"/>
  <c r="K19" i="1"/>
  <c r="I19" i="1"/>
  <c r="AJ19" i="1" s="1"/>
  <c r="AV19" i="1" s="1"/>
  <c r="BF18" i="1"/>
  <c r="AZ18" i="1"/>
  <c r="AL18" i="1"/>
  <c r="AK18" i="1" s="1"/>
  <c r="AH18" i="1" s="1"/>
  <c r="AD18" i="1"/>
  <c r="Y18" i="1"/>
  <c r="W18" i="1"/>
  <c r="V18" i="1"/>
  <c r="U18" i="1" s="1"/>
  <c r="S18" i="1"/>
  <c r="R18" i="1"/>
  <c r="Q18" i="1"/>
  <c r="L18" i="1"/>
  <c r="K18" i="1"/>
  <c r="I18" i="1"/>
  <c r="BA18" i="1" s="1"/>
  <c r="BF17" i="1"/>
  <c r="AZ17" i="1"/>
  <c r="AY17" i="1"/>
  <c r="AL17" i="1"/>
  <c r="AK17" i="1"/>
  <c r="AH17" i="1" s="1"/>
  <c r="AJ17" i="1"/>
  <c r="Y17" i="1"/>
  <c r="W17" i="1"/>
  <c r="V17" i="1"/>
  <c r="U17" i="1" s="1"/>
  <c r="S17" i="1"/>
  <c r="R17" i="1"/>
  <c r="Q17" i="1"/>
  <c r="AW17" i="1" s="1"/>
  <c r="L17" i="1"/>
  <c r="K17" i="1"/>
  <c r="AD17" i="1" s="1"/>
  <c r="I17" i="1"/>
  <c r="AI17" i="1" s="1"/>
  <c r="AS17" i="1" s="1"/>
  <c r="AU17" i="1" s="1"/>
  <c r="BF16" i="1"/>
  <c r="BA16" i="1"/>
  <c r="AZ16" i="1"/>
  <c r="AZ123" i="1" s="1"/>
  <c r="AY123" i="1" s="1"/>
  <c r="AV16" i="1"/>
  <c r="AL16" i="1"/>
  <c r="AL123" i="1" s="1"/>
  <c r="AK16" i="1"/>
  <c r="AJ16" i="1"/>
  <c r="AA16" i="1"/>
  <c r="Y16" i="1"/>
  <c r="W16" i="1"/>
  <c r="V16" i="1"/>
  <c r="U16" i="1"/>
  <c r="S16" i="1"/>
  <c r="R16" i="1"/>
  <c r="Q16" i="1"/>
  <c r="AW16" i="1" s="1"/>
  <c r="P16" i="1"/>
  <c r="L16" i="1"/>
  <c r="K16" i="1"/>
  <c r="AD16" i="1" s="1"/>
  <c r="I16" i="1"/>
  <c r="AI16" i="1" s="1"/>
  <c r="AS16" i="1" s="1"/>
  <c r="BF15" i="1"/>
  <c r="BA15" i="1"/>
  <c r="AZ15" i="1"/>
  <c r="AY15" i="1" s="1"/>
  <c r="AL15" i="1"/>
  <c r="AK15" i="1" s="1"/>
  <c r="AH15" i="1" s="1"/>
  <c r="AD15" i="1"/>
  <c r="AA15" i="1"/>
  <c r="Y15" i="1"/>
  <c r="W15" i="1"/>
  <c r="V15" i="1"/>
  <c r="U15" i="1"/>
  <c r="S15" i="1"/>
  <c r="R15" i="1"/>
  <c r="Q15" i="1"/>
  <c r="P15" i="1"/>
  <c r="L15" i="1"/>
  <c r="K15" i="1"/>
  <c r="I15" i="1"/>
  <c r="AI15" i="1" s="1"/>
  <c r="BF14" i="1"/>
  <c r="AZ14" i="1"/>
  <c r="AL14" i="1"/>
  <c r="AK14" i="1" s="1"/>
  <c r="AH14" i="1" s="1"/>
  <c r="AD14" i="1"/>
  <c r="Y14" i="1"/>
  <c r="W14" i="1"/>
  <c r="V14" i="1"/>
  <c r="U14" i="1" s="1"/>
  <c r="S14" i="1"/>
  <c r="R14" i="1"/>
  <c r="Q14" i="1"/>
  <c r="L14" i="1"/>
  <c r="K14" i="1"/>
  <c r="I14" i="1"/>
  <c r="BA14" i="1" s="1"/>
  <c r="BF13" i="1"/>
  <c r="AZ13" i="1"/>
  <c r="AZ122" i="1" s="1"/>
  <c r="AY13" i="1"/>
  <c r="AL13" i="1"/>
  <c r="AK13" i="1"/>
  <c r="AJ13" i="1"/>
  <c r="Y13" i="1"/>
  <c r="W13" i="1"/>
  <c r="V13" i="1"/>
  <c r="U13" i="1" s="1"/>
  <c r="S13" i="1"/>
  <c r="R13" i="1"/>
  <c r="Q13" i="1"/>
  <c r="AW13" i="1" s="1"/>
  <c r="L13" i="1"/>
  <c r="K13" i="1"/>
  <c r="I13" i="1"/>
  <c r="BA13" i="1" s="1"/>
  <c r="AG16" i="1" l="1"/>
  <c r="AG20" i="1"/>
  <c r="AH28" i="1"/>
  <c r="AG28" i="1"/>
  <c r="AH42" i="1"/>
  <c r="AG17" i="1"/>
  <c r="AG21" i="1"/>
  <c r="AG38" i="1"/>
  <c r="AS132" i="1"/>
  <c r="AU47" i="1"/>
  <c r="AU132" i="1" s="1"/>
  <c r="AW136" i="1"/>
  <c r="AH56" i="1"/>
  <c r="AH61" i="1"/>
  <c r="AU16" i="1"/>
  <c r="AS26" i="1"/>
  <c r="AU26" i="1" s="1"/>
  <c r="AH27" i="1"/>
  <c r="AG42" i="1"/>
  <c r="AW137" i="1"/>
  <c r="AI14" i="1"/>
  <c r="AR14" i="1" s="1"/>
  <c r="AK123" i="1"/>
  <c r="AH123" i="1" s="1"/>
  <c r="M123" i="1"/>
  <c r="K123" i="1"/>
  <c r="AR23" i="1"/>
  <c r="AJ18" i="1"/>
  <c r="AV18" i="1" s="1"/>
  <c r="AI19" i="1"/>
  <c r="AR19" i="1" s="1"/>
  <c r="AF19" i="1" s="1"/>
  <c r="AW19" i="1"/>
  <c r="AA22" i="1"/>
  <c r="AV22" i="1"/>
  <c r="AI24" i="1"/>
  <c r="AR24" i="1" s="1"/>
  <c r="AJ26" i="1"/>
  <c r="AV26" i="1" s="1"/>
  <c r="BA26" i="1"/>
  <c r="AJ40" i="1"/>
  <c r="AW40" i="1"/>
  <c r="BA41" i="1"/>
  <c r="AK131" i="1"/>
  <c r="AH131" i="1" s="1"/>
  <c r="AZ131" i="1"/>
  <c r="AY131" i="1" s="1"/>
  <c r="AY46" i="1"/>
  <c r="AL137" i="1"/>
  <c r="AK62" i="1"/>
  <c r="AD63" i="1"/>
  <c r="AT108" i="1"/>
  <c r="J63" i="1"/>
  <c r="L63" i="1" s="1"/>
  <c r="L65" i="1"/>
  <c r="AK138" i="1"/>
  <c r="AH138" i="1" s="1"/>
  <c r="AH66" i="1"/>
  <c r="AA67" i="1"/>
  <c r="P67" i="1"/>
  <c r="AS67" i="1"/>
  <c r="AG71" i="1"/>
  <c r="AW152" i="1"/>
  <c r="AW23" i="1"/>
  <c r="AK122" i="1"/>
  <c r="BA22" i="1"/>
  <c r="K23" i="1"/>
  <c r="AD23" i="1" s="1"/>
  <c r="AS23" i="1"/>
  <c r="AU23" i="1" s="1"/>
  <c r="AI29" i="1"/>
  <c r="AR29" i="1" s="1"/>
  <c r="AY29" i="1"/>
  <c r="AS33" i="1"/>
  <c r="AU33" i="1" s="1"/>
  <c r="J36" i="1"/>
  <c r="AW39" i="1"/>
  <c r="AV39" i="1"/>
  <c r="AA39" i="1"/>
  <c r="P39" i="1"/>
  <c r="P13" i="1"/>
  <c r="AA13" i="1"/>
  <c r="AH13" i="1"/>
  <c r="AL122" i="1"/>
  <c r="AV13" i="1"/>
  <c r="AJ15" i="1"/>
  <c r="AV15" i="1" s="1"/>
  <c r="AS15" i="1"/>
  <c r="AU15" i="1" s="1"/>
  <c r="AR16" i="1"/>
  <c r="P17" i="1"/>
  <c r="AA17" i="1"/>
  <c r="AV17" i="1"/>
  <c r="BA17" i="1"/>
  <c r="BA123" i="1" s="1"/>
  <c r="AS19" i="1"/>
  <c r="AU19" i="1" s="1"/>
  <c r="AR20" i="1"/>
  <c r="AF20" i="1" s="1"/>
  <c r="P21" i="1"/>
  <c r="AA21" i="1"/>
  <c r="AV21" i="1"/>
  <c r="BA21" i="1"/>
  <c r="BA122" i="1" s="1"/>
  <c r="AI22" i="1"/>
  <c r="AR22" i="1" s="1"/>
  <c r="AW22" i="1"/>
  <c r="L23" i="1"/>
  <c r="AJ24" i="1"/>
  <c r="AV24" i="1" s="1"/>
  <c r="AV125" i="1" s="1"/>
  <c r="AS24" i="1"/>
  <c r="AY24" i="1"/>
  <c r="AV25" i="1"/>
  <c r="AV126" i="1" s="1"/>
  <c r="AD25" i="1"/>
  <c r="AI25" i="1"/>
  <c r="AS25" i="1" s="1"/>
  <c r="AR25" i="1"/>
  <c r="AF25" i="1" s="1"/>
  <c r="AY25" i="1"/>
  <c r="AW26" i="1"/>
  <c r="AG26" i="1" s="1"/>
  <c r="P27" i="1"/>
  <c r="AI27" i="1"/>
  <c r="AR27" i="1" s="1"/>
  <c r="BA27" i="1"/>
  <c r="AJ29" i="1"/>
  <c r="AS29" i="1"/>
  <c r="AW30" i="1"/>
  <c r="AW31" i="1"/>
  <c r="AK31" i="1"/>
  <c r="AV32" i="1"/>
  <c r="AA32" i="1"/>
  <c r="P32" i="1"/>
  <c r="AW32" i="1"/>
  <c r="AD33" i="1"/>
  <c r="AJ33" i="1"/>
  <c r="AW33" i="1" s="1"/>
  <c r="AG33" i="1" s="1"/>
  <c r="AZ129" i="1"/>
  <c r="AY129" i="1" s="1"/>
  <c r="AZ63" i="1"/>
  <c r="AY37" i="1"/>
  <c r="AI39" i="1"/>
  <c r="AR39" i="1" s="1"/>
  <c r="AF39" i="1" s="1"/>
  <c r="BA39" i="1"/>
  <c r="BA63" i="1" s="1"/>
  <c r="AH39" i="1"/>
  <c r="AK130" i="1"/>
  <c r="AH130" i="1" s="1"/>
  <c r="AH40" i="1"/>
  <c r="AY40" i="1"/>
  <c r="AV41" i="1"/>
  <c r="AI45" i="1"/>
  <c r="AW45" i="1"/>
  <c r="AG46" i="1"/>
  <c r="AG47" i="1"/>
  <c r="AA48" i="1"/>
  <c r="P48" i="1"/>
  <c r="AV48" i="1"/>
  <c r="AA50" i="1"/>
  <c r="P50" i="1"/>
  <c r="AI50" i="1"/>
  <c r="AR50" i="1" s="1"/>
  <c r="P51" i="1"/>
  <c r="AY51" i="1"/>
  <c r="AU52" i="1"/>
  <c r="AU135" i="1" s="1"/>
  <c r="AV55" i="1"/>
  <c r="AV136" i="1" s="1"/>
  <c r="AI59" i="1"/>
  <c r="AS60" i="1"/>
  <c r="AU60" i="1" s="1"/>
  <c r="AX108" i="1"/>
  <c r="BA138" i="1"/>
  <c r="BA67" i="1"/>
  <c r="BA105" i="1" s="1"/>
  <c r="AJ67" i="1"/>
  <c r="AV67" i="1" s="1"/>
  <c r="AV139" i="1" s="1"/>
  <c r="AR67" i="1"/>
  <c r="AS140" i="1"/>
  <c r="AU68" i="1"/>
  <c r="AU140" i="1" s="1"/>
  <c r="AW140" i="1"/>
  <c r="AU69" i="1"/>
  <c r="J141" i="1"/>
  <c r="J107" i="1"/>
  <c r="L70" i="1"/>
  <c r="K70" i="1"/>
  <c r="AD70" i="1" s="1"/>
  <c r="AH71" i="1"/>
  <c r="AG72" i="1"/>
  <c r="AI18" i="1"/>
  <c r="AR18" i="1" s="1"/>
  <c r="AF18" i="1" s="1"/>
  <c r="AW18" i="1"/>
  <c r="AK124" i="1"/>
  <c r="AH124" i="1" s="1"/>
  <c r="AJ14" i="1"/>
  <c r="AV14" i="1" s="1"/>
  <c r="AS14" i="1"/>
  <c r="AU14" i="1" s="1"/>
  <c r="AY14" i="1"/>
  <c r="AR15" i="1"/>
  <c r="AF15" i="1" s="1"/>
  <c r="AH16" i="1"/>
  <c r="AS18" i="1"/>
  <c r="AU18" i="1" s="1"/>
  <c r="AY18" i="1"/>
  <c r="AH20" i="1"/>
  <c r="AD13" i="1"/>
  <c r="AI13" i="1"/>
  <c r="AS13" i="1" s="1"/>
  <c r="AG13" i="1" s="1"/>
  <c r="P14" i="1"/>
  <c r="AA14" i="1"/>
  <c r="AF16" i="1"/>
  <c r="AY16" i="1"/>
  <c r="AR17" i="1"/>
  <c r="AF17" i="1" s="1"/>
  <c r="P18" i="1"/>
  <c r="AA18" i="1"/>
  <c r="AR21" i="1"/>
  <c r="AF21" i="1" s="1"/>
  <c r="P22" i="1"/>
  <c r="AY22" i="1"/>
  <c r="P23" i="1"/>
  <c r="AA23" i="1"/>
  <c r="AH26" i="1"/>
  <c r="AR26" i="1"/>
  <c r="AF26" i="1" s="1"/>
  <c r="AY26" i="1"/>
  <c r="AS27" i="1"/>
  <c r="AU27" i="1" s="1"/>
  <c r="AV27" i="1"/>
  <c r="AF27" i="1" s="1"/>
  <c r="AK127" i="1"/>
  <c r="AH29" i="1"/>
  <c r="P30" i="1"/>
  <c r="AA30" i="1"/>
  <c r="AY30" i="1"/>
  <c r="AY31" i="1"/>
  <c r="AI32" i="1"/>
  <c r="AS32" i="1" s="1"/>
  <c r="AU32" i="1" s="1"/>
  <c r="AU128" i="1" s="1"/>
  <c r="AR32" i="1"/>
  <c r="AF32" i="1" s="1"/>
  <c r="AK34" i="1"/>
  <c r="P37" i="1"/>
  <c r="AI37" i="1"/>
  <c r="AR37" i="1" s="1"/>
  <c r="AI41" i="1"/>
  <c r="AR41" i="1" s="1"/>
  <c r="AF41" i="1" s="1"/>
  <c r="AW41" i="1"/>
  <c r="AV44" i="1"/>
  <c r="AA44" i="1"/>
  <c r="P44" i="1"/>
  <c r="AI44" i="1"/>
  <c r="AR44" i="1" s="1"/>
  <c r="AF44" i="1" s="1"/>
  <c r="AS44" i="1"/>
  <c r="AU44" i="1" s="1"/>
  <c r="P45" i="1"/>
  <c r="AY45" i="1"/>
  <c r="AH46" i="1"/>
  <c r="AI48" i="1"/>
  <c r="AR48" i="1" s="1"/>
  <c r="BA134" i="1"/>
  <c r="AJ50" i="1"/>
  <c r="AV50" i="1" s="1"/>
  <c r="AV134" i="1" s="1"/>
  <c r="AS51" i="1"/>
  <c r="AU51" i="1" s="1"/>
  <c r="AR51" i="1"/>
  <c r="AF51" i="1" s="1"/>
  <c r="BA51" i="1"/>
  <c r="AH54" i="1"/>
  <c r="AS136" i="1"/>
  <c r="AU55" i="1"/>
  <c r="AU136" i="1" s="1"/>
  <c r="AG57" i="1"/>
  <c r="AV58" i="1"/>
  <c r="AF58" i="1" s="1"/>
  <c r="AA58" i="1"/>
  <c r="P58" i="1"/>
  <c r="AS58" i="1"/>
  <c r="AU58" i="1" s="1"/>
  <c r="AG60" i="1"/>
  <c r="AV62" i="1"/>
  <c r="AV137" i="1" s="1"/>
  <c r="AL63" i="1"/>
  <c r="AP108" i="1"/>
  <c r="K109" i="1"/>
  <c r="AD66" i="1"/>
  <c r="AW67" i="1"/>
  <c r="AZ141" i="1"/>
  <c r="AY141" i="1" s="1"/>
  <c r="AY69" i="1"/>
  <c r="AA70" i="1"/>
  <c r="P70" i="1"/>
  <c r="AS70" i="1"/>
  <c r="AU70" i="1" s="1"/>
  <c r="AR70" i="1"/>
  <c r="AH73" i="1"/>
  <c r="AS148" i="1"/>
  <c r="AU88" i="1"/>
  <c r="AU148" i="1" s="1"/>
  <c r="AG25" i="1"/>
  <c r="AK126" i="1"/>
  <c r="AH126" i="1" s="1"/>
  <c r="P26" i="1"/>
  <c r="AA26" i="1"/>
  <c r="AV29" i="1"/>
  <c r="AV127" i="1" s="1"/>
  <c r="AA29" i="1"/>
  <c r="P29" i="1"/>
  <c r="AW29" i="1"/>
  <c r="AI30" i="1"/>
  <c r="AS30" i="1" s="1"/>
  <c r="AU30" i="1" s="1"/>
  <c r="BA30" i="1"/>
  <c r="BA126" i="1" s="1"/>
  <c r="AL34" i="1"/>
  <c r="I36" i="1"/>
  <c r="I65" i="1"/>
  <c r="I63" i="1" s="1"/>
  <c r="AJ63" i="1" s="1"/>
  <c r="AJ37" i="1"/>
  <c r="AW37" i="1" s="1"/>
  <c r="AS37" i="1"/>
  <c r="AK37" i="1"/>
  <c r="AV37" i="1"/>
  <c r="AS39" i="1"/>
  <c r="AU39" i="1" s="1"/>
  <c r="AV40" i="1"/>
  <c r="AA40" i="1"/>
  <c r="P40" i="1"/>
  <c r="AI40" i="1"/>
  <c r="AS40" i="1" s="1"/>
  <c r="P41" i="1"/>
  <c r="AA41" i="1"/>
  <c r="AY41" i="1"/>
  <c r="AJ44" i="1"/>
  <c r="AW44" i="1" s="1"/>
  <c r="AG44" i="1" s="1"/>
  <c r="AS45" i="1"/>
  <c r="AU45" i="1" s="1"/>
  <c r="AF45" i="1"/>
  <c r="AR45" i="1"/>
  <c r="BA45" i="1"/>
  <c r="BA130" i="1" s="1"/>
  <c r="AK132" i="1"/>
  <c r="AH132" i="1" s="1"/>
  <c r="AH47" i="1"/>
  <c r="AY47" i="1"/>
  <c r="AL133" i="1"/>
  <c r="AK48" i="1"/>
  <c r="AK134" i="1"/>
  <c r="AH134" i="1" s="1"/>
  <c r="AH50" i="1"/>
  <c r="AK52" i="1"/>
  <c r="AZ135" i="1"/>
  <c r="AY135" i="1" s="1"/>
  <c r="AY52" i="1"/>
  <c r="AL136" i="1"/>
  <c r="AK55" i="1"/>
  <c r="AJ58" i="1"/>
  <c r="AW58" i="1"/>
  <c r="AG58" i="1" s="1"/>
  <c r="AS59" i="1"/>
  <c r="AU59" i="1" s="1"/>
  <c r="AF59" i="1"/>
  <c r="AR59" i="1"/>
  <c r="BA59" i="1"/>
  <c r="AS137" i="1"/>
  <c r="AU62" i="1"/>
  <c r="AU137" i="1" s="1"/>
  <c r="AL140" i="1"/>
  <c r="AK68" i="1"/>
  <c r="AG68" i="1" s="1"/>
  <c r="AK141" i="1"/>
  <c r="AH141" i="1" s="1"/>
  <c r="AH69" i="1"/>
  <c r="AG73" i="1"/>
  <c r="AS143" i="1"/>
  <c r="AU75" i="1"/>
  <c r="AU143" i="1" s="1"/>
  <c r="AW143" i="1"/>
  <c r="AS154" i="1"/>
  <c r="AU78" i="1"/>
  <c r="AU154" i="1" s="1"/>
  <c r="AW154" i="1"/>
  <c r="AI74" i="1"/>
  <c r="AR74" i="1" s="1"/>
  <c r="AR142" i="1" s="1"/>
  <c r="AW74" i="1"/>
  <c r="AI77" i="1"/>
  <c r="AR77" i="1" s="1"/>
  <c r="AR153" i="1" s="1"/>
  <c r="AA82" i="1"/>
  <c r="P82" i="1"/>
  <c r="AJ85" i="1"/>
  <c r="BA85" i="1"/>
  <c r="AI85" i="1"/>
  <c r="AV85" i="1"/>
  <c r="AL149" i="1"/>
  <c r="AK89" i="1"/>
  <c r="AG90" i="1"/>
  <c r="AA91" i="1"/>
  <c r="P91" i="1"/>
  <c r="AY92" i="1"/>
  <c r="AI92" i="1"/>
  <c r="AS160" i="1"/>
  <c r="AU93" i="1"/>
  <c r="AU160" i="1" s="1"/>
  <c r="AH97" i="1"/>
  <c r="AG97" i="1"/>
  <c r="AH101" i="1"/>
  <c r="AS158" i="1"/>
  <c r="AU104" i="1"/>
  <c r="AU158" i="1" s="1"/>
  <c r="AL126" i="1"/>
  <c r="AR28" i="1"/>
  <c r="AF28" i="1" s="1"/>
  <c r="AR31" i="1"/>
  <c r="AR38" i="1"/>
  <c r="AF38" i="1" s="1"/>
  <c r="AZ130" i="1"/>
  <c r="AY130" i="1" s="1"/>
  <c r="AR42" i="1"/>
  <c r="AF42" i="1" s="1"/>
  <c r="P43" i="1"/>
  <c r="AA43" i="1"/>
  <c r="AV43" i="1"/>
  <c r="BA43" i="1"/>
  <c r="AR46" i="1"/>
  <c r="AR131" i="1" s="1"/>
  <c r="P47" i="1"/>
  <c r="AA47" i="1"/>
  <c r="AV47" i="1"/>
  <c r="AV132" i="1" s="1"/>
  <c r="BA47" i="1"/>
  <c r="BA132" i="1" s="1"/>
  <c r="AZ134" i="1"/>
  <c r="AY134" i="1" s="1"/>
  <c r="AR52" i="1"/>
  <c r="AR135" i="1" s="1"/>
  <c r="P53" i="1"/>
  <c r="AF53" i="1"/>
  <c r="AR54" i="1"/>
  <c r="AF54" i="1" s="1"/>
  <c r="P55" i="1"/>
  <c r="AF55" i="1"/>
  <c r="AY55" i="1"/>
  <c r="AR56" i="1"/>
  <c r="AF56" i="1" s="1"/>
  <c r="P57" i="1"/>
  <c r="AA57" i="1"/>
  <c r="AV57" i="1"/>
  <c r="BA57" i="1"/>
  <c r="BA129" i="1" s="1"/>
  <c r="AF60" i="1"/>
  <c r="AR61" i="1"/>
  <c r="AF61" i="1" s="1"/>
  <c r="P62" i="1"/>
  <c r="AF62" i="1"/>
  <c r="AY62" i="1"/>
  <c r="AY67" i="1"/>
  <c r="AR68" i="1"/>
  <c r="AR140" i="1" s="1"/>
  <c r="P69" i="1"/>
  <c r="AA69" i="1"/>
  <c r="AL141" i="1"/>
  <c r="AV69" i="1"/>
  <c r="BA69" i="1"/>
  <c r="BA141" i="1" s="1"/>
  <c r="AJ70" i="1"/>
  <c r="AW70" i="1" s="1"/>
  <c r="AR71" i="1"/>
  <c r="AF71" i="1" s="1"/>
  <c r="P72" i="1"/>
  <c r="AA72" i="1"/>
  <c r="AH72" i="1"/>
  <c r="AV72" i="1"/>
  <c r="AV123" i="1" s="1"/>
  <c r="BA72" i="1"/>
  <c r="AJ74" i="1"/>
  <c r="AV74" i="1" s="1"/>
  <c r="AV142" i="1" s="1"/>
  <c r="AS74" i="1"/>
  <c r="AY74" i="1"/>
  <c r="AR75" i="1"/>
  <c r="AR143" i="1" s="1"/>
  <c r="P76" i="1"/>
  <c r="AA76" i="1"/>
  <c r="AK76" i="1"/>
  <c r="AU76" i="1"/>
  <c r="AU152" i="1" s="1"/>
  <c r="AJ77" i="1"/>
  <c r="AV77" i="1" s="1"/>
  <c r="AV153" i="1" s="1"/>
  <c r="AS77" i="1"/>
  <c r="AY77" i="1"/>
  <c r="AR78" i="1"/>
  <c r="AR154" i="1" s="1"/>
  <c r="AJ79" i="1"/>
  <c r="AU79" i="1"/>
  <c r="AU155" i="1" s="1"/>
  <c r="BA79" i="1"/>
  <c r="BA155" i="1" s="1"/>
  <c r="AK156" i="1"/>
  <c r="AH156" i="1" s="1"/>
  <c r="AH80" i="1"/>
  <c r="BA82" i="1"/>
  <c r="BA145" i="1" s="1"/>
  <c r="AJ82" i="1"/>
  <c r="AW82" i="1" s="1"/>
  <c r="AV83" i="1"/>
  <c r="AV146" i="1" s="1"/>
  <c r="AZ160" i="1"/>
  <c r="AY93" i="1"/>
  <c r="AZ108" i="1"/>
  <c r="AL130" i="1"/>
  <c r="AR43" i="1"/>
  <c r="AF43" i="1" s="1"/>
  <c r="AR47" i="1"/>
  <c r="AR132" i="1" s="1"/>
  <c r="AZ133" i="1"/>
  <c r="AY133" i="1" s="1"/>
  <c r="AL134" i="1"/>
  <c r="AR57" i="1"/>
  <c r="AF57" i="1" s="1"/>
  <c r="AN108" i="1"/>
  <c r="P66" i="1"/>
  <c r="AA66" i="1"/>
  <c r="AL138" i="1"/>
  <c r="AL105" i="1"/>
  <c r="AL108" i="1" s="1"/>
  <c r="AV66" i="1"/>
  <c r="AK67" i="1"/>
  <c r="AK105" i="1" s="1"/>
  <c r="AY68" i="1"/>
  <c r="AR69" i="1"/>
  <c r="AR141" i="1" s="1"/>
  <c r="AR72" i="1"/>
  <c r="AF72" i="1" s="1"/>
  <c r="P73" i="1"/>
  <c r="AA73" i="1"/>
  <c r="AV73" i="1"/>
  <c r="BA73" i="1"/>
  <c r="AK74" i="1"/>
  <c r="AY75" i="1"/>
  <c r="AK77" i="1"/>
  <c r="AY78" i="1"/>
  <c r="AW79" i="1"/>
  <c r="AK79" i="1"/>
  <c r="AV79" i="1"/>
  <c r="AV155" i="1" s="1"/>
  <c r="AV80" i="1"/>
  <c r="AV156" i="1" s="1"/>
  <c r="AA80" i="1"/>
  <c r="P80" i="1"/>
  <c r="AW80" i="1"/>
  <c r="BA81" i="1"/>
  <c r="BA159" i="1" s="1"/>
  <c r="AI81" i="1"/>
  <c r="AS81" i="1" s="1"/>
  <c r="AV81" i="1"/>
  <c r="AV159" i="1" s="1"/>
  <c r="AA81" i="1"/>
  <c r="AW81" i="1"/>
  <c r="AR81" i="1"/>
  <c r="AR159" i="1" s="1"/>
  <c r="AK159" i="1"/>
  <c r="AH159" i="1" s="1"/>
  <c r="AH81" i="1"/>
  <c r="AY81" i="1"/>
  <c r="AF83" i="1"/>
  <c r="AS146" i="1"/>
  <c r="AU83" i="1"/>
  <c r="AU146" i="1" s="1"/>
  <c r="AS144" i="1"/>
  <c r="AU84" i="1"/>
  <c r="AU144" i="1" s="1"/>
  <c r="AH85" i="1"/>
  <c r="AJ92" i="1"/>
  <c r="AV92" i="1" s="1"/>
  <c r="BA92" i="1"/>
  <c r="I107" i="1"/>
  <c r="AI66" i="1"/>
  <c r="AS66" i="1" s="1"/>
  <c r="AG66" i="1" s="1"/>
  <c r="AR66" i="1"/>
  <c r="AF66" i="1" s="1"/>
  <c r="AR73" i="1"/>
  <c r="AF73" i="1" s="1"/>
  <c r="P74" i="1"/>
  <c r="AA74" i="1"/>
  <c r="AK75" i="1"/>
  <c r="P77" i="1"/>
  <c r="AA77" i="1"/>
  <c r="AK78" i="1"/>
  <c r="AY79" i="1"/>
  <c r="AI80" i="1"/>
  <c r="AS80" i="1" s="1"/>
  <c r="AR80" i="1"/>
  <c r="AR156" i="1" s="1"/>
  <c r="AY80" i="1"/>
  <c r="AF81" i="1"/>
  <c r="AI82" i="1"/>
  <c r="AS82" i="1" s="1"/>
  <c r="AW146" i="1"/>
  <c r="AG83" i="1"/>
  <c r="AZ146" i="1"/>
  <c r="AY146" i="1" s="1"/>
  <c r="AY83" i="1"/>
  <c r="AS85" i="1"/>
  <c r="AU85" i="1" s="1"/>
  <c r="AR85" i="1"/>
  <c r="AF85" i="1" s="1"/>
  <c r="AW85" i="1"/>
  <c r="AA85" i="1"/>
  <c r="P85" i="1"/>
  <c r="AU86" i="1"/>
  <c r="AU147" i="1" s="1"/>
  <c r="AR92" i="1"/>
  <c r="AF92" i="1" s="1"/>
  <c r="AW92" i="1"/>
  <c r="AG92" i="1" s="1"/>
  <c r="AS92" i="1"/>
  <c r="AU92" i="1" s="1"/>
  <c r="AA92" i="1"/>
  <c r="P92" i="1"/>
  <c r="AH92" i="1"/>
  <c r="AL150" i="1"/>
  <c r="AK94" i="1"/>
  <c r="AG95" i="1"/>
  <c r="AL144" i="1"/>
  <c r="AK84" i="1"/>
  <c r="AR88" i="1"/>
  <c r="AR148" i="1" s="1"/>
  <c r="AY88" i="1"/>
  <c r="AV89" i="1"/>
  <c r="AV149" i="1" s="1"/>
  <c r="AH91" i="1"/>
  <c r="AV94" i="1"/>
  <c r="AA98" i="1"/>
  <c r="P98" i="1"/>
  <c r="AD99" i="1"/>
  <c r="AJ99" i="1"/>
  <c r="AW99" i="1" s="1"/>
  <c r="AG99" i="1" s="1"/>
  <c r="AV99" i="1"/>
  <c r="AF99" i="1" s="1"/>
  <c r="BA99" i="1"/>
  <c r="AY100" i="1"/>
  <c r="I151" i="1"/>
  <c r="P102" i="1"/>
  <c r="AS103" i="1"/>
  <c r="AV103" i="1"/>
  <c r="AV157" i="1" s="1"/>
  <c r="AA103" i="1"/>
  <c r="P103" i="1"/>
  <c r="AW104" i="1"/>
  <c r="AM108" i="1"/>
  <c r="AQ108" i="1"/>
  <c r="H109" i="1"/>
  <c r="AZ114" i="1"/>
  <c r="I122" i="1"/>
  <c r="AJ122" i="1" s="1"/>
  <c r="AT161" i="1"/>
  <c r="AI122" i="1"/>
  <c r="P96" i="1"/>
  <c r="AI98" i="1"/>
  <c r="AR98" i="1"/>
  <c r="AY98" i="1"/>
  <c r="BA102" i="1"/>
  <c r="BA151" i="1" s="1"/>
  <c r="AJ102" i="1"/>
  <c r="AV102" i="1"/>
  <c r="AV151" i="1" s="1"/>
  <c r="AS102" i="1"/>
  <c r="AH151" i="1"/>
  <c r="AW102" i="1"/>
  <c r="AJ103" i="1"/>
  <c r="BA103" i="1"/>
  <c r="BA157" i="1" s="1"/>
  <c r="AK157" i="1"/>
  <c r="AH157" i="1" s="1"/>
  <c r="AH103" i="1"/>
  <c r="AW103" i="1"/>
  <c r="AE108" i="1"/>
  <c r="J109" i="1"/>
  <c r="I116" i="1"/>
  <c r="J116" i="1" s="1"/>
  <c r="K122" i="1"/>
  <c r="M122" i="1"/>
  <c r="AI123" i="1"/>
  <c r="AJ124" i="1"/>
  <c r="AI124" i="1"/>
  <c r="AI125" i="1"/>
  <c r="AJ126" i="1"/>
  <c r="AI126" i="1"/>
  <c r="AJ128" i="1"/>
  <c r="AI128" i="1"/>
  <c r="AZ145" i="1"/>
  <c r="AY145" i="1" s="1"/>
  <c r="AY82" i="1"/>
  <c r="AK146" i="1"/>
  <c r="AH146" i="1" s="1"/>
  <c r="AH83" i="1"/>
  <c r="AW86" i="1"/>
  <c r="AV87" i="1"/>
  <c r="AA87" i="1"/>
  <c r="P87" i="1"/>
  <c r="AW87" i="1"/>
  <c r="AJ88" i="1"/>
  <c r="AV88" i="1" s="1"/>
  <c r="AV148" i="1" s="1"/>
  <c r="AZ149" i="1"/>
  <c r="AY149" i="1" s="1"/>
  <c r="AY89" i="1"/>
  <c r="AI91" i="1"/>
  <c r="AS91" i="1" s="1"/>
  <c r="AU91" i="1" s="1"/>
  <c r="AY91" i="1"/>
  <c r="AK160" i="1"/>
  <c r="AH93" i="1"/>
  <c r="AZ150" i="1"/>
  <c r="AY94" i="1"/>
  <c r="AA96" i="1"/>
  <c r="AI96" i="1"/>
  <c r="AR96" i="1" s="1"/>
  <c r="AF96" i="1" s="1"/>
  <c r="BA96" i="1"/>
  <c r="AJ98" i="1"/>
  <c r="AW98" i="1" s="1"/>
  <c r="AS98" i="1"/>
  <c r="AU98" i="1" s="1"/>
  <c r="AS100" i="1"/>
  <c r="AU100" i="1" s="1"/>
  <c r="AF100" i="1"/>
  <c r="AV100" i="1"/>
  <c r="J151" i="1"/>
  <c r="K102" i="1"/>
  <c r="AD102" i="1" s="1"/>
  <c r="AZ151" i="1"/>
  <c r="AY151" i="1" s="1"/>
  <c r="AY102" i="1"/>
  <c r="AZ157" i="1"/>
  <c r="AY157" i="1" s="1"/>
  <c r="AY103" i="1"/>
  <c r="AO108" i="1"/>
  <c r="AJ123" i="1"/>
  <c r="AJ125" i="1"/>
  <c r="AR79" i="1"/>
  <c r="AR155" i="1" s="1"/>
  <c r="AK82" i="1"/>
  <c r="AJ84" i="1"/>
  <c r="AW84" i="1" s="1"/>
  <c r="AY85" i="1"/>
  <c r="AY86" i="1"/>
  <c r="AI87" i="1"/>
  <c r="AS87" i="1" s="1"/>
  <c r="AU87" i="1" s="1"/>
  <c r="AR87" i="1"/>
  <c r="AF87" i="1" s="1"/>
  <c r="AL148" i="1"/>
  <c r="AK88" i="1"/>
  <c r="AF88" i="1" s="1"/>
  <c r="P89" i="1"/>
  <c r="AA89" i="1"/>
  <c r="AI89" i="1"/>
  <c r="AR89" i="1" s="1"/>
  <c r="AR149" i="1" s="1"/>
  <c r="BA89" i="1"/>
  <c r="BA149" i="1" s="1"/>
  <c r="AJ91" i="1"/>
  <c r="AW91" i="1" s="1"/>
  <c r="AG91" i="1" s="1"/>
  <c r="I106" i="1"/>
  <c r="I109" i="1" s="1"/>
  <c r="I160" i="1" s="1"/>
  <c r="BA93" i="1"/>
  <c r="BA160" i="1" s="1"/>
  <c r="AV93" i="1"/>
  <c r="AV160" i="1" s="1"/>
  <c r="AW93" i="1"/>
  <c r="AW160" i="1" s="1"/>
  <c r="H150" i="1"/>
  <c r="H107" i="1"/>
  <c r="P94" i="1"/>
  <c r="AA94" i="1"/>
  <c r="AI94" i="1"/>
  <c r="AR94" i="1" s="1"/>
  <c r="BA94" i="1"/>
  <c r="BA150" i="1" s="1"/>
  <c r="AV96" i="1"/>
  <c r="AH98" i="1"/>
  <c r="P99" i="1"/>
  <c r="AA99" i="1"/>
  <c r="AW100" i="1"/>
  <c r="AG100" i="1" s="1"/>
  <c r="AW101" i="1"/>
  <c r="AG101" i="1" s="1"/>
  <c r="L102" i="1"/>
  <c r="S102" i="1"/>
  <c r="S108" i="1" s="1"/>
  <c r="K6" i="1" s="1"/>
  <c r="AH102" i="1"/>
  <c r="AR102" i="1"/>
  <c r="AR151" i="1" s="1"/>
  <c r="BB151" i="1"/>
  <c r="BB161" i="1" s="1"/>
  <c r="BB105" i="1"/>
  <c r="BB108" i="1" s="1"/>
  <c r="BB109" i="1" s="1"/>
  <c r="AR103" i="1"/>
  <c r="AR157" i="1" s="1"/>
  <c r="AL158" i="1"/>
  <c r="AK104" i="1"/>
  <c r="L106" i="1"/>
  <c r="M128" i="1"/>
  <c r="M129" i="1"/>
  <c r="AI129" i="1"/>
  <c r="M130" i="1"/>
  <c r="AI131" i="1"/>
  <c r="AI135" i="1"/>
  <c r="AA83" i="1"/>
  <c r="AR86" i="1"/>
  <c r="AR90" i="1"/>
  <c r="AF90" i="1" s="1"/>
  <c r="AR95" i="1"/>
  <c r="AF95" i="1" s="1"/>
  <c r="AR97" i="1"/>
  <c r="AF97" i="1" s="1"/>
  <c r="AR101" i="1"/>
  <c r="AF101" i="1" s="1"/>
  <c r="AM161" i="1"/>
  <c r="AQ161" i="1"/>
  <c r="M124" i="1"/>
  <c r="K125" i="1"/>
  <c r="M126" i="1"/>
  <c r="K129" i="1"/>
  <c r="AI130" i="1"/>
  <c r="AJ131" i="1"/>
  <c r="AJ133" i="1"/>
  <c r="AI133" i="1"/>
  <c r="AJ137" i="1"/>
  <c r="AI137" i="1"/>
  <c r="AR104" i="1"/>
  <c r="AR158" i="1" s="1"/>
  <c r="I127" i="1"/>
  <c r="AY127" i="1" s="1"/>
  <c r="AI132" i="1"/>
  <c r="K133" i="1"/>
  <c r="AI134" i="1"/>
  <c r="AJ138" i="1"/>
  <c r="AJ140" i="1"/>
  <c r="AI140" i="1"/>
  <c r="AI142" i="1"/>
  <c r="AJ143" i="1"/>
  <c r="M140" i="1"/>
  <c r="K140" i="1"/>
  <c r="M142" i="1"/>
  <c r="AJ142" i="1"/>
  <c r="K143" i="1"/>
  <c r="M143" i="1"/>
  <c r="AI144" i="1"/>
  <c r="AJ145" i="1"/>
  <c r="AI145" i="1"/>
  <c r="AI146" i="1"/>
  <c r="AJ147" i="1"/>
  <c r="AI147" i="1"/>
  <c r="AI148" i="1"/>
  <c r="AI149" i="1"/>
  <c r="M150" i="1"/>
  <c r="M136" i="1"/>
  <c r="AI136" i="1"/>
  <c r="M137" i="1"/>
  <c r="M138" i="1"/>
  <c r="AI138" i="1"/>
  <c r="AI139" i="1"/>
  <c r="AJ141" i="1"/>
  <c r="AI141" i="1"/>
  <c r="AJ144" i="1"/>
  <c r="AJ146" i="1"/>
  <c r="AJ148" i="1"/>
  <c r="AJ149" i="1"/>
  <c r="AI151" i="1"/>
  <c r="K136" i="1"/>
  <c r="K138" i="1"/>
  <c r="K139" i="1"/>
  <c r="M139" i="1"/>
  <c r="AI152" i="1"/>
  <c r="M153" i="1"/>
  <c r="K142" i="1"/>
  <c r="K144" i="1"/>
  <c r="M145" i="1"/>
  <c r="K146" i="1"/>
  <c r="M147" i="1"/>
  <c r="K148" i="1"/>
  <c r="M149" i="1"/>
  <c r="K150" i="1"/>
  <c r="M152" i="1"/>
  <c r="I153" i="1"/>
  <c r="AY153" i="1" s="1"/>
  <c r="AJ152" i="1"/>
  <c r="AJ154" i="1"/>
  <c r="AI154" i="1"/>
  <c r="AJ156" i="1"/>
  <c r="AI156" i="1"/>
  <c r="AI157" i="1"/>
  <c r="AJ158" i="1"/>
  <c r="AI158" i="1"/>
  <c r="AI159" i="1"/>
  <c r="AJ157" i="1"/>
  <c r="AJ159" i="1"/>
  <c r="R187" i="1"/>
  <c r="S187" i="1" s="1"/>
  <c r="N198" i="1"/>
  <c r="T204" i="1"/>
  <c r="U204" i="1" s="1"/>
  <c r="K154" i="1"/>
  <c r="I155" i="1"/>
  <c r="AJ155" i="1" s="1"/>
  <c r="K156" i="1"/>
  <c r="M157" i="1"/>
  <c r="K158" i="1"/>
  <c r="M159" i="1"/>
  <c r="AT168" i="1"/>
  <c r="AT170" i="1" s="1"/>
  <c r="P185" i="1"/>
  <c r="P187" i="1" s="1"/>
  <c r="Q187" i="1" s="1"/>
  <c r="P186" i="1"/>
  <c r="M190" i="1"/>
  <c r="M191" i="1"/>
  <c r="M192" i="1"/>
  <c r="M193" i="1"/>
  <c r="N197" i="1"/>
  <c r="N199" i="1" s="1"/>
  <c r="AO169" i="1"/>
  <c r="AO170" i="1" s="1"/>
  <c r="AT176" i="1"/>
  <c r="N190" i="1"/>
  <c r="N191" i="1"/>
  <c r="N192" i="1"/>
  <c r="N193" i="1"/>
  <c r="M198" i="1"/>
  <c r="M199" i="1" s="1"/>
  <c r="S203" i="1"/>
  <c r="O190" i="1"/>
  <c r="O191" i="1"/>
  <c r="O192" i="1"/>
  <c r="AF37" i="1" l="1"/>
  <c r="AG98" i="1"/>
  <c r="AW133" i="1"/>
  <c r="AR127" i="1"/>
  <c r="AF29" i="1"/>
  <c r="AU40" i="1"/>
  <c r="AF14" i="1"/>
  <c r="AS145" i="1"/>
  <c r="AU82" i="1"/>
  <c r="AU145" i="1" s="1"/>
  <c r="AW145" i="1"/>
  <c r="AG82" i="1"/>
  <c r="AG70" i="1"/>
  <c r="AW141" i="1"/>
  <c r="AR124" i="1"/>
  <c r="AF22" i="1"/>
  <c r="AR125" i="1"/>
  <c r="AF24" i="1"/>
  <c r="AR150" i="1"/>
  <c r="I150" i="1"/>
  <c r="K151" i="1"/>
  <c r="M151" i="1"/>
  <c r="AH160" i="1"/>
  <c r="J161" i="1"/>
  <c r="AS96" i="1"/>
  <c r="AW158" i="1"/>
  <c r="AG104" i="1"/>
  <c r="AF103" i="1"/>
  <c r="AJ151" i="1"/>
  <c r="AS94" i="1"/>
  <c r="AS89" i="1"/>
  <c r="AW88" i="1"/>
  <c r="AG85" i="1"/>
  <c r="AS156" i="1"/>
  <c r="AU80" i="1"/>
  <c r="AU156" i="1" s="1"/>
  <c r="AW156" i="1"/>
  <c r="AG80" i="1"/>
  <c r="AV138" i="1"/>
  <c r="AV84" i="1"/>
  <c r="AV144" i="1" s="1"/>
  <c r="AS153" i="1"/>
  <c r="AU77" i="1"/>
  <c r="AU153" i="1" s="1"/>
  <c r="AK152" i="1"/>
  <c r="AH152" i="1" s="1"/>
  <c r="AH76" i="1"/>
  <c r="AF76" i="1"/>
  <c r="AR128" i="1"/>
  <c r="AK149" i="1"/>
  <c r="AH149" i="1" s="1"/>
  <c r="AH89" i="1"/>
  <c r="AG89" i="1"/>
  <c r="AV82" i="1"/>
  <c r="AV145" i="1" s="1"/>
  <c r="AW77" i="1"/>
  <c r="AW105" i="1" s="1"/>
  <c r="AF69" i="1"/>
  <c r="AK133" i="1"/>
  <c r="AH133" i="1" s="1"/>
  <c r="AH48" i="1"/>
  <c r="AV129" i="1"/>
  <c r="AV63" i="1"/>
  <c r="AW129" i="1"/>
  <c r="AG37" i="1"/>
  <c r="AV70" i="1"/>
  <c r="AF70" i="1" s="1"/>
  <c r="AW50" i="1"/>
  <c r="AW63" i="1" s="1"/>
  <c r="AU141" i="1"/>
  <c r="AS50" i="1"/>
  <c r="AG45" i="1"/>
  <c r="AY63" i="1"/>
  <c r="AW128" i="1"/>
  <c r="AG31" i="1"/>
  <c r="AS126" i="1"/>
  <c r="AU25" i="1"/>
  <c r="AU126" i="1" s="1"/>
  <c r="AL161" i="1"/>
  <c r="AG39" i="1"/>
  <c r="AG23" i="1"/>
  <c r="AF67" i="1"/>
  <c r="AK137" i="1"/>
  <c r="AH137" i="1" s="1"/>
  <c r="AH62" i="1"/>
  <c r="AG51" i="1"/>
  <c r="AF46" i="1"/>
  <c r="AG19" i="1"/>
  <c r="AG27" i="1"/>
  <c r="AS123" i="1"/>
  <c r="AR30" i="1"/>
  <c r="AF30" i="1" s="1"/>
  <c r="BA34" i="1"/>
  <c r="BA108" i="1" s="1"/>
  <c r="BA109" i="1" s="1"/>
  <c r="AS22" i="1"/>
  <c r="N194" i="1"/>
  <c r="AJ153" i="1"/>
  <c r="AI153" i="1"/>
  <c r="AI160" i="1"/>
  <c r="AJ160" i="1"/>
  <c r="AF102" i="1"/>
  <c r="H160" i="1"/>
  <c r="AS157" i="1"/>
  <c r="AU103" i="1"/>
  <c r="AU157" i="1" s="1"/>
  <c r="AV98" i="1"/>
  <c r="AF98" i="1" s="1"/>
  <c r="AK143" i="1"/>
  <c r="AH143" i="1" s="1"/>
  <c r="AF75" i="1"/>
  <c r="AH75" i="1"/>
  <c r="AR138" i="1"/>
  <c r="AK155" i="1"/>
  <c r="AH155" i="1" s="1"/>
  <c r="AF79" i="1"/>
  <c r="AH79" i="1"/>
  <c r="AK153" i="1"/>
  <c r="AH153" i="1" s="1"/>
  <c r="AH77" i="1"/>
  <c r="AL162" i="1"/>
  <c r="AS142" i="1"/>
  <c r="AU74" i="1"/>
  <c r="AU142" i="1" s="1"/>
  <c r="AK136" i="1"/>
  <c r="AH136" i="1" s="1"/>
  <c r="AH55" i="1"/>
  <c r="AK135" i="1"/>
  <c r="AH135" i="1" s="1"/>
  <c r="AF52" i="1"/>
  <c r="AH52" i="1"/>
  <c r="AK129" i="1"/>
  <c r="AH129" i="1" s="1"/>
  <c r="AK63" i="1"/>
  <c r="AH63" i="1" s="1"/>
  <c r="AH37" i="1"/>
  <c r="AS128" i="1"/>
  <c r="AG18" i="1"/>
  <c r="AR139" i="1"/>
  <c r="AR134" i="1"/>
  <c r="AF50" i="1"/>
  <c r="AV133" i="1"/>
  <c r="AG30" i="1"/>
  <c r="AS125" i="1"/>
  <c r="AU24" i="1"/>
  <c r="AU125" i="1" s="1"/>
  <c r="AW124" i="1"/>
  <c r="AG22" i="1"/>
  <c r="L36" i="1"/>
  <c r="J34" i="1"/>
  <c r="L34" i="1" s="1"/>
  <c r="BA124" i="1"/>
  <c r="BA161" i="1" s="1"/>
  <c r="AW14" i="1"/>
  <c r="AS139" i="1"/>
  <c r="AU67" i="1"/>
  <c r="AU139" i="1" s="1"/>
  <c r="AI63" i="1"/>
  <c r="AF47" i="1"/>
  <c r="AS41" i="1"/>
  <c r="AU41" i="1" s="1"/>
  <c r="AW126" i="1"/>
  <c r="AF23" i="1"/>
  <c r="AG55" i="1"/>
  <c r="AR40" i="1"/>
  <c r="M194" i="1"/>
  <c r="M195" i="1" s="1"/>
  <c r="AI155" i="1"/>
  <c r="AR147" i="1"/>
  <c r="AF86" i="1"/>
  <c r="AF93" i="1"/>
  <c r="AW144" i="1"/>
  <c r="AG84" i="1"/>
  <c r="AJ127" i="1"/>
  <c r="AY150" i="1"/>
  <c r="AI127" i="1"/>
  <c r="J160" i="1"/>
  <c r="M160" i="1" s="1"/>
  <c r="L109" i="1"/>
  <c r="AW157" i="1"/>
  <c r="AG103" i="1"/>
  <c r="AS151" i="1"/>
  <c r="AU102" i="1"/>
  <c r="AU151" i="1" s="1"/>
  <c r="I161" i="1"/>
  <c r="Q160" i="1" s="1"/>
  <c r="AV150" i="1"/>
  <c r="AK154" i="1"/>
  <c r="AH154" i="1" s="1"/>
  <c r="AF78" i="1"/>
  <c r="AH78" i="1"/>
  <c r="AS138" i="1"/>
  <c r="AS105" i="1"/>
  <c r="AU66" i="1"/>
  <c r="AS159" i="1"/>
  <c r="AU81" i="1"/>
  <c r="AU159" i="1" s="1"/>
  <c r="AW155" i="1"/>
  <c r="AG79" i="1"/>
  <c r="AY160" i="1"/>
  <c r="AR82" i="1"/>
  <c r="AR145" i="1" s="1"/>
  <c r="AF77" i="1"/>
  <c r="AR91" i="1"/>
  <c r="AF91" i="1" s="1"/>
  <c r="AV91" i="1"/>
  <c r="AG78" i="1"/>
  <c r="AG75" i="1"/>
  <c r="AV130" i="1"/>
  <c r="I34" i="1"/>
  <c r="AJ36" i="1"/>
  <c r="AW127" i="1"/>
  <c r="AG29" i="1"/>
  <c r="K107" i="1"/>
  <c r="AH34" i="1"/>
  <c r="AH127" i="1"/>
  <c r="AR13" i="1"/>
  <c r="AY122" i="1"/>
  <c r="J110" i="1"/>
  <c r="L110" i="1" s="1"/>
  <c r="L107" i="1"/>
  <c r="J105" i="1"/>
  <c r="AF48" i="1"/>
  <c r="AH122" i="1"/>
  <c r="AF80" i="1"/>
  <c r="AW138" i="1"/>
  <c r="AT117" i="1"/>
  <c r="AW130" i="1"/>
  <c r="AG40" i="1"/>
  <c r="AW24" i="1"/>
  <c r="AV124" i="1"/>
  <c r="K36" i="1"/>
  <c r="K34" i="1" s="1"/>
  <c r="AD34" i="1" s="1"/>
  <c r="AV33" i="1"/>
  <c r="AF33" i="1" s="1"/>
  <c r="AK158" i="1"/>
  <c r="AH158" i="1" s="1"/>
  <c r="AH104" i="1"/>
  <c r="AF104" i="1"/>
  <c r="H110" i="1"/>
  <c r="I5" i="1" s="1"/>
  <c r="H105" i="1"/>
  <c r="H108" i="1" s="1"/>
  <c r="AK148" i="1"/>
  <c r="AH148" i="1" s="1"/>
  <c r="AH88" i="1"/>
  <c r="AK145" i="1"/>
  <c r="AH145" i="1" s="1"/>
  <c r="AH82" i="1"/>
  <c r="AG87" i="1"/>
  <c r="AW147" i="1"/>
  <c r="AG86" i="1"/>
  <c r="AW151" i="1"/>
  <c r="AG102" i="1"/>
  <c r="H161" i="1"/>
  <c r="AF94" i="1"/>
  <c r="AF89" i="1"/>
  <c r="AK144" i="1"/>
  <c r="AH144" i="1" s="1"/>
  <c r="AF84" i="1"/>
  <c r="AH84" i="1"/>
  <c r="AK150" i="1"/>
  <c r="AH150" i="1" s="1"/>
  <c r="AH94" i="1"/>
  <c r="AG94" i="1"/>
  <c r="I105" i="1"/>
  <c r="I110" i="1"/>
  <c r="AW159" i="1"/>
  <c r="AG81" i="1"/>
  <c r="AK142" i="1"/>
  <c r="AH142" i="1" s="1"/>
  <c r="AH74" i="1"/>
  <c r="AK139" i="1"/>
  <c r="AH139" i="1" s="1"/>
  <c r="AH67" i="1"/>
  <c r="AF74" i="1"/>
  <c r="AW150" i="1"/>
  <c r="AY155" i="1"/>
  <c r="AW142" i="1"/>
  <c r="AG74" i="1"/>
  <c r="AK140" i="1"/>
  <c r="AH140" i="1" s="1"/>
  <c r="AF68" i="1"/>
  <c r="AH68" i="1"/>
  <c r="AS129" i="1"/>
  <c r="AS63" i="1"/>
  <c r="AU37" i="1"/>
  <c r="AW139" i="1"/>
  <c r="AG67" i="1"/>
  <c r="K160" i="1"/>
  <c r="AD109" i="1"/>
  <c r="AR133" i="1"/>
  <c r="AS122" i="1"/>
  <c r="AS34" i="1"/>
  <c r="AU13" i="1"/>
  <c r="AZ161" i="1"/>
  <c r="AY161" i="1" s="1"/>
  <c r="K141" i="1"/>
  <c r="K161" i="1" s="1"/>
  <c r="M141" i="1"/>
  <c r="BA139" i="1"/>
  <c r="AS48" i="1"/>
  <c r="AG48" i="1" s="1"/>
  <c r="AG32" i="1"/>
  <c r="AK128" i="1"/>
  <c r="AH128" i="1" s="1"/>
  <c r="AH31" i="1"/>
  <c r="AF31" i="1"/>
  <c r="AS127" i="1"/>
  <c r="AU29" i="1"/>
  <c r="AU127" i="1" s="1"/>
  <c r="AR126" i="1"/>
  <c r="AR123" i="1"/>
  <c r="AV122" i="1"/>
  <c r="AV34" i="1"/>
  <c r="BA128" i="1"/>
  <c r="AG76" i="1"/>
  <c r="AS141" i="1"/>
  <c r="AG52" i="1"/>
  <c r="AG62" i="1"/>
  <c r="AU123" i="1"/>
  <c r="AW15" i="1"/>
  <c r="AG15" i="1" s="1"/>
  <c r="AG59" i="1"/>
  <c r="AW123" i="1"/>
  <c r="AW125" i="1" l="1"/>
  <c r="AG24" i="1"/>
  <c r="AK161" i="1"/>
  <c r="Q155" i="1"/>
  <c r="AR130" i="1"/>
  <c r="AF40" i="1"/>
  <c r="AS130" i="1"/>
  <c r="L161" i="1"/>
  <c r="L137" i="1"/>
  <c r="L141" i="1"/>
  <c r="L139" i="1"/>
  <c r="L136" i="1"/>
  <c r="L130" i="1"/>
  <c r="L128" i="1"/>
  <c r="L129" i="1"/>
  <c r="L122" i="1"/>
  <c r="L151" i="1"/>
  <c r="L126" i="1"/>
  <c r="L127" i="1"/>
  <c r="L131" i="1"/>
  <c r="L135" i="1"/>
  <c r="L147" i="1"/>
  <c r="L146" i="1"/>
  <c r="L132" i="1"/>
  <c r="L140" i="1"/>
  <c r="L149" i="1"/>
  <c r="L148" i="1"/>
  <c r="L155" i="1"/>
  <c r="L123" i="1"/>
  <c r="L134" i="1"/>
  <c r="L133" i="1"/>
  <c r="L142" i="1"/>
  <c r="L153" i="1"/>
  <c r="L143" i="1"/>
  <c r="L157" i="1"/>
  <c r="L154" i="1"/>
  <c r="L144" i="1"/>
  <c r="L152" i="1"/>
  <c r="L159" i="1"/>
  <c r="L156" i="1"/>
  <c r="L158" i="1"/>
  <c r="L124" i="1"/>
  <c r="L125" i="1"/>
  <c r="L138" i="1"/>
  <c r="L145" i="1"/>
  <c r="R130" i="1"/>
  <c r="R125" i="1"/>
  <c r="Q126" i="1"/>
  <c r="R128" i="1"/>
  <c r="R123" i="1"/>
  <c r="Q133" i="1"/>
  <c r="Q137" i="1"/>
  <c r="Q143" i="1"/>
  <c r="R145" i="1"/>
  <c r="Q148" i="1"/>
  <c r="Q132" i="1"/>
  <c r="Q138" i="1"/>
  <c r="R142" i="1"/>
  <c r="S154" i="1"/>
  <c r="S157" i="1"/>
  <c r="Q125" i="1"/>
  <c r="R129" i="1"/>
  <c r="R132" i="1"/>
  <c r="R138" i="1"/>
  <c r="R134" i="1"/>
  <c r="Q140" i="1"/>
  <c r="Q142" i="1"/>
  <c r="R144" i="1"/>
  <c r="Q145" i="1"/>
  <c r="R147" i="1"/>
  <c r="R149" i="1"/>
  <c r="Q134" i="1"/>
  <c r="Q152" i="1"/>
  <c r="Q154" i="1"/>
  <c r="S156" i="1"/>
  <c r="S159" i="1"/>
  <c r="R141" i="1"/>
  <c r="R124" i="1"/>
  <c r="Q128" i="1"/>
  <c r="Q131" i="1"/>
  <c r="R135" i="1"/>
  <c r="Q130" i="1"/>
  <c r="R136" i="1"/>
  <c r="R131" i="1"/>
  <c r="R140" i="1"/>
  <c r="R143" i="1"/>
  <c r="Q144" i="1"/>
  <c r="R146" i="1"/>
  <c r="Q147" i="1"/>
  <c r="Q139" i="1"/>
  <c r="Q141" i="1"/>
  <c r="S152" i="1"/>
  <c r="Q156" i="1"/>
  <c r="Q157" i="1"/>
  <c r="S158" i="1"/>
  <c r="Q146" i="1"/>
  <c r="R148" i="1"/>
  <c r="Q149" i="1"/>
  <c r="Q136" i="1"/>
  <c r="R139" i="1"/>
  <c r="Q158" i="1"/>
  <c r="Q159" i="1"/>
  <c r="Q124" i="1"/>
  <c r="R126" i="1"/>
  <c r="Q123" i="1"/>
  <c r="Q129" i="1"/>
  <c r="Q135" i="1"/>
  <c r="R133" i="1"/>
  <c r="R137" i="1"/>
  <c r="Q153" i="1"/>
  <c r="AW153" i="1"/>
  <c r="AG77" i="1"/>
  <c r="R151" i="1"/>
  <c r="M161" i="1"/>
  <c r="L150" i="1"/>
  <c r="AU122" i="1"/>
  <c r="AU129" i="1"/>
  <c r="G5" i="1"/>
  <c r="Q127" i="1"/>
  <c r="K105" i="1"/>
  <c r="AD107" i="1"/>
  <c r="K110" i="1"/>
  <c r="AD110" i="1" s="1"/>
  <c r="AY34" i="1"/>
  <c r="AJ34" i="1"/>
  <c r="AI34" i="1"/>
  <c r="R122" i="1"/>
  <c r="S155" i="1"/>
  <c r="AG41" i="1"/>
  <c r="AW148" i="1"/>
  <c r="AG88" i="1"/>
  <c r="R150" i="1"/>
  <c r="Q150" i="1"/>
  <c r="AJ150" i="1"/>
  <c r="AI150" i="1"/>
  <c r="AV128" i="1"/>
  <c r="AV161" i="1" s="1"/>
  <c r="AF82" i="1"/>
  <c r="AH105" i="1"/>
  <c r="R127" i="1"/>
  <c r="J108" i="1"/>
  <c r="L108" i="1" s="1"/>
  <c r="L105" i="1"/>
  <c r="AR122" i="1"/>
  <c r="AR34" i="1"/>
  <c r="AF13" i="1"/>
  <c r="AU138" i="1"/>
  <c r="AR105" i="1"/>
  <c r="AR108" i="1" s="1"/>
  <c r="S153" i="1"/>
  <c r="AW134" i="1"/>
  <c r="AG50" i="1"/>
  <c r="AV141" i="1"/>
  <c r="AV105" i="1"/>
  <c r="AV108" i="1" s="1"/>
  <c r="AS149" i="1"/>
  <c r="AU89" i="1"/>
  <c r="AU149" i="1" s="1"/>
  <c r="AK108" i="1"/>
  <c r="AR63" i="1"/>
  <c r="AS133" i="1"/>
  <c r="AU48" i="1"/>
  <c r="AU133" i="1" s="1"/>
  <c r="I108" i="1"/>
  <c r="P153" i="1" s="1"/>
  <c r="AI105" i="1"/>
  <c r="AJ105" i="1"/>
  <c r="AY105" i="1"/>
  <c r="AS108" i="1"/>
  <c r="Q122" i="1"/>
  <c r="AG14" i="1"/>
  <c r="AW34" i="1"/>
  <c r="AW108" i="1" s="1"/>
  <c r="AW122" i="1"/>
  <c r="L160" i="1"/>
  <c r="AS124" i="1"/>
  <c r="AS161" i="1" s="1"/>
  <c r="AU22" i="1"/>
  <c r="AU124" i="1" s="1"/>
  <c r="AS134" i="1"/>
  <c r="AU50" i="1"/>
  <c r="AU134" i="1" s="1"/>
  <c r="AS150" i="1"/>
  <c r="AU94" i="1"/>
  <c r="AU150" i="1" s="1"/>
  <c r="Q151" i="1"/>
  <c r="AU96" i="1"/>
  <c r="AG96" i="1"/>
  <c r="AU130" i="1"/>
  <c r="AR129" i="1"/>
  <c r="P150" i="1" l="1"/>
  <c r="P151" i="1"/>
  <c r="P140" i="1"/>
  <c r="P130" i="1"/>
  <c r="P154" i="1"/>
  <c r="P133" i="1"/>
  <c r="P158" i="1"/>
  <c r="P137" i="1"/>
  <c r="P143" i="1"/>
  <c r="P147" i="1"/>
  <c r="AU34" i="1"/>
  <c r="P127" i="1"/>
  <c r="AY108" i="1"/>
  <c r="AI108" i="1"/>
  <c r="AJ108" i="1"/>
  <c r="AU105" i="1"/>
  <c r="AR161" i="1"/>
  <c r="R161" i="1"/>
  <c r="P145" i="1"/>
  <c r="P129" i="1"/>
  <c r="P138" i="1"/>
  <c r="P126" i="1"/>
  <c r="P148" i="1"/>
  <c r="P131" i="1"/>
  <c r="P159" i="1"/>
  <c r="P146" i="1"/>
  <c r="AU161" i="1"/>
  <c r="P155" i="1"/>
  <c r="P157" i="1"/>
  <c r="P144" i="1"/>
  <c r="P123" i="1"/>
  <c r="P142" i="1"/>
  <c r="P125" i="1"/>
  <c r="P136" i="1"/>
  <c r="P128" i="1"/>
  <c r="P156" i="1"/>
  <c r="P135" i="1"/>
  <c r="AU63" i="1"/>
  <c r="S161" i="1"/>
  <c r="P122" i="1"/>
  <c r="AG108" i="1"/>
  <c r="AG147" i="1" s="1"/>
  <c r="AW161" i="1"/>
  <c r="Q161" i="1"/>
  <c r="AK162" i="1"/>
  <c r="AH108" i="1"/>
  <c r="P160" i="1"/>
  <c r="AF108" i="1"/>
  <c r="AF127" i="1" s="1"/>
  <c r="AF156" i="1"/>
  <c r="AF133" i="1"/>
  <c r="P152" i="1"/>
  <c r="P134" i="1"/>
  <c r="P141" i="1"/>
  <c r="P139" i="1"/>
  <c r="P132" i="1"/>
  <c r="P124" i="1"/>
  <c r="P149" i="1"/>
  <c r="K108" i="1"/>
  <c r="AD108" i="1" s="1"/>
  <c r="AD105" i="1"/>
  <c r="AF140" i="1" l="1"/>
  <c r="AF158" i="1"/>
  <c r="AF142" i="1"/>
  <c r="AF131" i="1"/>
  <c r="AF152" i="1"/>
  <c r="AF132" i="1"/>
  <c r="AG150" i="1"/>
  <c r="AG135" i="1"/>
  <c r="AG136" i="1"/>
  <c r="AG124" i="1"/>
  <c r="AG138" i="1"/>
  <c r="AG127" i="1"/>
  <c r="AG152" i="1"/>
  <c r="AG125" i="1"/>
  <c r="AG130" i="1"/>
  <c r="AF154" i="1"/>
  <c r="AF134" i="1"/>
  <c r="AF138" i="1"/>
  <c r="AF146" i="1"/>
  <c r="AF122" i="1"/>
  <c r="AF139" i="1"/>
  <c r="AF159" i="1"/>
  <c r="AF124" i="1"/>
  <c r="AF128" i="1"/>
  <c r="AF145" i="1"/>
  <c r="AG132" i="1"/>
  <c r="AG145" i="1"/>
  <c r="AG158" i="1"/>
  <c r="AG128" i="1"/>
  <c r="AG144" i="1"/>
  <c r="AG137" i="1"/>
  <c r="AG122" i="1"/>
  <c r="AG154" i="1"/>
  <c r="AF143" i="1"/>
  <c r="AF136" i="1"/>
  <c r="AF144" i="1"/>
  <c r="AF123" i="1"/>
  <c r="AF129" i="1"/>
  <c r="AF148" i="1"/>
  <c r="AF135" i="1"/>
  <c r="AF149" i="1"/>
  <c r="AF126" i="1"/>
  <c r="AF157" i="1"/>
  <c r="G6" i="1"/>
  <c r="AF151" i="1"/>
  <c r="AF141" i="1"/>
  <c r="AF160" i="1"/>
  <c r="AG142" i="1"/>
  <c r="AG159" i="1"/>
  <c r="AG140" i="1"/>
  <c r="AG131" i="1"/>
  <c r="I6" i="1"/>
  <c r="AG151" i="1"/>
  <c r="AG156" i="1"/>
  <c r="AG153" i="1"/>
  <c r="AG146" i="1"/>
  <c r="AG133" i="1"/>
  <c r="AG155" i="1"/>
  <c r="AF125" i="1"/>
  <c r="AF150" i="1"/>
  <c r="AF130" i="1"/>
  <c r="AF137" i="1"/>
  <c r="AF155" i="1"/>
  <c r="AF147" i="1"/>
  <c r="AF153" i="1"/>
  <c r="AG141" i="1"/>
  <c r="AG148" i="1"/>
  <c r="AG134" i="1"/>
  <c r="AG139" i="1"/>
  <c r="AG149" i="1"/>
  <c r="AG129" i="1"/>
  <c r="AG143" i="1"/>
  <c r="AG126" i="1"/>
  <c r="AG123" i="1"/>
  <c r="AG157" i="1"/>
  <c r="AU108" i="1"/>
  <c r="AG160" i="1"/>
</calcChain>
</file>

<file path=xl/sharedStrings.xml><?xml version="1.0" encoding="utf-8"?>
<sst xmlns="http://schemas.openxmlformats.org/spreadsheetml/2006/main" count="981" uniqueCount="449">
  <si>
    <t>2-1) Centre Point West_Rent Roll</t>
    <phoneticPr fontId="3" type="noConversion"/>
  </si>
  <si>
    <t>기준일자</t>
    <phoneticPr fontId="3" type="noConversion"/>
  </si>
  <si>
    <t>규 모</t>
    <phoneticPr fontId="3" type="noConversion"/>
  </si>
  <si>
    <t>B7F ~ 40F</t>
    <phoneticPr fontId="3" type="noConversion"/>
  </si>
  <si>
    <t>건물 연면적</t>
    <phoneticPr fontId="3" type="noConversion"/>
  </si>
  <si>
    <t>월 유료주차비</t>
    <phoneticPr fontId="3" type="noConversion"/>
  </si>
  <si>
    <t>Summary</t>
    <phoneticPr fontId="3" type="noConversion"/>
  </si>
  <si>
    <t>임대율</t>
    <phoneticPr fontId="3" type="noConversion"/>
  </si>
  <si>
    <t>공실률</t>
    <phoneticPr fontId="3" type="noConversion"/>
  </si>
  <si>
    <t>보증금 운용이율</t>
    <phoneticPr fontId="3" type="noConversion"/>
  </si>
  <si>
    <t>Average .NOC</t>
    <phoneticPr fontId="3" type="noConversion"/>
  </si>
  <si>
    <t>Average .Eff. NOC</t>
    <phoneticPr fontId="3" type="noConversion"/>
  </si>
  <si>
    <t>Average .WALE</t>
    <phoneticPr fontId="3" type="noConversion"/>
  </si>
  <si>
    <t>상세내용(숨기기)</t>
    <phoneticPr fontId="3" type="noConversion"/>
  </si>
  <si>
    <t>Item</t>
    <phoneticPr fontId="3" type="noConversion"/>
  </si>
  <si>
    <t>Floor</t>
    <phoneticPr fontId="3" type="noConversion"/>
  </si>
  <si>
    <t>Room</t>
    <phoneticPr fontId="3" type="noConversion"/>
  </si>
  <si>
    <t>용도</t>
    <phoneticPr fontId="3" type="noConversion"/>
  </si>
  <si>
    <t>Tenant</t>
    <phoneticPr fontId="3" type="noConversion"/>
  </si>
  <si>
    <t>임대면적</t>
    <phoneticPr fontId="3" type="noConversion"/>
  </si>
  <si>
    <t>전용면적</t>
    <phoneticPr fontId="3" type="noConversion"/>
  </si>
  <si>
    <t>전용률</t>
    <phoneticPr fontId="3" type="noConversion"/>
  </si>
  <si>
    <t>임대차 기간</t>
    <phoneticPr fontId="3" type="noConversion"/>
  </si>
  <si>
    <t>의무 임대차기간</t>
    <phoneticPr fontId="3" type="noConversion"/>
  </si>
  <si>
    <t>계약기간 만기통지</t>
    <phoneticPr fontId="3" type="noConversion"/>
  </si>
  <si>
    <t>Rent-Free</t>
    <phoneticPr fontId="3" type="noConversion"/>
  </si>
  <si>
    <t>Fit-Out(period)</t>
    <phoneticPr fontId="3" type="noConversion"/>
  </si>
  <si>
    <t>Tenant Improvement(T.I)</t>
    <phoneticPr fontId="3" type="noConversion"/>
  </si>
  <si>
    <t>Net Occupancy Cost(NOC)</t>
    <phoneticPr fontId="3" type="noConversion"/>
  </si>
  <si>
    <t>보증금</t>
    <phoneticPr fontId="3" type="noConversion"/>
  </si>
  <si>
    <t>임대료</t>
    <phoneticPr fontId="3" type="noConversion"/>
  </si>
  <si>
    <t>관리비</t>
    <phoneticPr fontId="3" type="noConversion"/>
  </si>
  <si>
    <t>보증금</t>
    <phoneticPr fontId="3" type="noConversion"/>
  </si>
  <si>
    <t>임대료</t>
    <phoneticPr fontId="3" type="noConversion"/>
  </si>
  <si>
    <t>관리비</t>
    <phoneticPr fontId="3" type="noConversion"/>
  </si>
  <si>
    <t>월 납입액</t>
    <phoneticPr fontId="3" type="noConversion"/>
  </si>
  <si>
    <t>무료주차</t>
    <phoneticPr fontId="3" type="noConversion"/>
  </si>
  <si>
    <t>인상조건</t>
    <phoneticPr fontId="3" type="noConversion"/>
  </si>
  <si>
    <t>조정일</t>
    <phoneticPr fontId="3" type="noConversion"/>
  </si>
  <si>
    <t>특약조항</t>
    <phoneticPr fontId="3" type="noConversion"/>
  </si>
  <si>
    <t>입금일</t>
    <phoneticPr fontId="3" type="noConversion"/>
  </si>
  <si>
    <t>기타사항</t>
    <phoneticPr fontId="3" type="noConversion"/>
  </si>
  <si>
    <t>제소전화해</t>
    <phoneticPr fontId="3" type="noConversion"/>
  </si>
  <si>
    <t>㎡</t>
    <phoneticPr fontId="3" type="noConversion"/>
  </si>
  <si>
    <t>3.3㎡</t>
    <phoneticPr fontId="3" type="noConversion"/>
  </si>
  <si>
    <t>3.3㎡</t>
    <phoneticPr fontId="3" type="noConversion"/>
  </si>
  <si>
    <t>%</t>
    <phoneticPr fontId="3" type="noConversion"/>
  </si>
  <si>
    <t>최초 계약기간</t>
    <phoneticPr fontId="3" type="noConversion"/>
  </si>
  <si>
    <t>시작</t>
    <phoneticPr fontId="3" type="noConversion"/>
  </si>
  <si>
    <t>종료</t>
    <phoneticPr fontId="3" type="noConversion"/>
  </si>
  <si>
    <t>년</t>
    <phoneticPr fontId="3" type="noConversion"/>
  </si>
  <si>
    <t>개월</t>
    <phoneticPr fontId="3" type="noConversion"/>
  </si>
  <si>
    <t>잔여개월
(금일기준)</t>
    <phoneticPr fontId="3" type="noConversion"/>
  </si>
  <si>
    <t>WALE</t>
    <phoneticPr fontId="3" type="noConversion"/>
  </si>
  <si>
    <t>종료</t>
    <phoneticPr fontId="3" type="noConversion"/>
  </si>
  <si>
    <t>년</t>
    <phoneticPr fontId="3" type="noConversion"/>
  </si>
  <si>
    <t>개월</t>
    <phoneticPr fontId="3" type="noConversion"/>
  </si>
  <si>
    <t>잔여개월</t>
    <phoneticPr fontId="3" type="noConversion"/>
  </si>
  <si>
    <t>일</t>
    <phoneticPr fontId="3" type="noConversion"/>
  </si>
  <si>
    <t>/년</t>
    <phoneticPr fontId="3" type="noConversion"/>
  </si>
  <si>
    <t>임대료면제</t>
    <phoneticPr fontId="3" type="noConversion"/>
  </si>
  <si>
    <t>관리비면제</t>
    <phoneticPr fontId="3" type="noConversion"/>
  </si>
  <si>
    <t>전용 3.3㎡</t>
    <phoneticPr fontId="3" type="noConversion"/>
  </si>
  <si>
    <t>원</t>
    <phoneticPr fontId="3" type="noConversion"/>
  </si>
  <si>
    <t>Basic</t>
    <phoneticPr fontId="3" type="noConversion"/>
  </si>
  <si>
    <t>Effective
(RF,FO,TI 포함)</t>
    <phoneticPr fontId="3" type="noConversion"/>
  </si>
  <si>
    <t>총 액</t>
    <phoneticPr fontId="3" type="noConversion"/>
  </si>
  <si>
    <t>보험/보증</t>
    <phoneticPr fontId="3" type="noConversion"/>
  </si>
  <si>
    <t>반환부채</t>
    <phoneticPr fontId="3" type="noConversion"/>
  </si>
  <si>
    <t>총 기간</t>
    <phoneticPr fontId="3" type="noConversion"/>
  </si>
  <si>
    <t>명목
임대료
(Face Rent)</t>
    <phoneticPr fontId="3" type="noConversion"/>
  </si>
  <si>
    <t>실질
임대료
(Effective Rent)</t>
    <phoneticPr fontId="3" type="noConversion"/>
  </si>
  <si>
    <t>면적당 
배정대수</t>
    <phoneticPr fontId="3" type="noConversion"/>
  </si>
  <si>
    <t>계약 
배정대수</t>
    <phoneticPr fontId="3" type="noConversion"/>
  </si>
  <si>
    <t>보증금, 임대료, 관리비 조정조건</t>
    <phoneticPr fontId="3" type="noConversion"/>
  </si>
  <si>
    <t>보증금</t>
    <phoneticPr fontId="3" type="noConversion"/>
  </si>
  <si>
    <t>임대료</t>
    <phoneticPr fontId="3" type="noConversion"/>
  </si>
  <si>
    <t>관리비</t>
    <phoneticPr fontId="3" type="noConversion"/>
  </si>
  <si>
    <t>중도해지</t>
    <phoneticPr fontId="3" type="noConversion"/>
  </si>
  <si>
    <t>위약금 및 손해배상금액</t>
    <phoneticPr fontId="3" type="noConversion"/>
  </si>
  <si>
    <t>연체이율</t>
    <phoneticPr fontId="3" type="noConversion"/>
  </si>
  <si>
    <t>Rent Free</t>
    <phoneticPr fontId="3" type="noConversion"/>
  </si>
  <si>
    <t>내용</t>
    <phoneticPr fontId="3" type="noConversion"/>
  </si>
  <si>
    <t>비고</t>
    <phoneticPr fontId="3" type="noConversion"/>
  </si>
  <si>
    <t>현 금</t>
    <phoneticPr fontId="3" type="noConversion"/>
  </si>
  <si>
    <t>현금 외</t>
    <phoneticPr fontId="3" type="noConversion"/>
  </si>
  <si>
    <t>RF.FO</t>
    <phoneticPr fontId="3" type="noConversion"/>
  </si>
  <si>
    <t>대체액</t>
    <phoneticPr fontId="3" type="noConversion"/>
  </si>
  <si>
    <t>정기예금
질권운용액</t>
    <phoneticPr fontId="3" type="noConversion"/>
  </si>
  <si>
    <t>보증금계좌
운용액</t>
    <phoneticPr fontId="3" type="noConversion"/>
  </si>
  <si>
    <t>자산취득시
인수보증금</t>
    <phoneticPr fontId="3" type="noConversion"/>
  </si>
  <si>
    <t>보증보험</t>
    <phoneticPr fontId="3" type="noConversion"/>
  </si>
  <si>
    <t>CP</t>
    <phoneticPr fontId="3" type="noConversion"/>
  </si>
  <si>
    <t>고층부</t>
    <phoneticPr fontId="3" type="noConversion"/>
  </si>
  <si>
    <t>Office</t>
    <phoneticPr fontId="3" type="noConversion"/>
  </si>
  <si>
    <t>삼성카드고객서비스 주식회사</t>
    <phoneticPr fontId="3" type="noConversion"/>
  </si>
  <si>
    <t>보증금 동결, 
매년 임관리비 1.9% 인상</t>
    <phoneticPr fontId="3" type="noConversion"/>
  </si>
  <si>
    <t>동결</t>
    <phoneticPr fontId="3" type="noConversion"/>
  </si>
  <si>
    <t>의무임대차 기간 중도해지 불가, 중도해지 경과 후 3개월의 사전 서면 통지 후 중도해지 가능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</si>
  <si>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</t>
    <phoneticPr fontId="3" type="noConversion"/>
  </si>
  <si>
    <t>2020년 6,7,8월
2021년 6,7,8월
2022년 6,7,8월
2023년 6,7,8월
2024년 7,8월</t>
    <phoneticPr fontId="3" type="noConversion"/>
  </si>
  <si>
    <t>청소서비스, 지하 7층 창고사용, UPS 임차인 관리</t>
    <phoneticPr fontId="3" type="noConversion"/>
  </si>
  <si>
    <t>X</t>
    <phoneticPr fontId="3" type="noConversion"/>
  </si>
  <si>
    <t>Office</t>
    <phoneticPr fontId="3" type="noConversion"/>
  </si>
  <si>
    <t>보증금 동결, 
매년 임관리비 1.9% 인상</t>
    <phoneticPr fontId="3" type="noConversion"/>
  </si>
  <si>
    <t>의무임대차 기간 중도해지 불가, 중도해지 경과 후 3개월의 사전 서면 통지 후 중도해지 가능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</si>
  <si>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</t>
    <phoneticPr fontId="3" type="noConversion"/>
  </si>
  <si>
    <t>청소서비스, 지하 7층 창고사용, UPS 임차인 관리</t>
    <phoneticPr fontId="3" type="noConversion"/>
  </si>
  <si>
    <t>동결</t>
    <phoneticPr fontId="3" type="noConversion"/>
  </si>
  <si>
    <t>Office</t>
    <phoneticPr fontId="3" type="noConversion"/>
  </si>
  <si>
    <t>삼성카드㈜</t>
    <phoneticPr fontId="3" type="noConversion"/>
  </si>
  <si>
    <t>보증금 동결, 
매년 임,관리비 1.9% 인상</t>
    <phoneticPr fontId="3" type="noConversion"/>
  </si>
  <si>
    <t>2020년 10,11,12월
2021년 10,11,12월
2022년 10,11,12월
2023년 10,11,12월
2024년 11,12월</t>
    <phoneticPr fontId="3" type="noConversion"/>
  </si>
  <si>
    <t>33층 이하 일부에 대해서는 6개월 전 서면통지 중도해지 가능
임대인 서비스 제공 임차인 의무 사항</t>
    <phoneticPr fontId="3" type="noConversion"/>
  </si>
  <si>
    <t>375,756,000 원 전세권 설정</t>
    <phoneticPr fontId="3" type="noConversion"/>
  </si>
  <si>
    <t>X</t>
    <phoneticPr fontId="3" type="noConversion"/>
  </si>
  <si>
    <t>보증금 동결, 
매년 임,관리비 1.9% 인상</t>
    <phoneticPr fontId="3" type="noConversion"/>
  </si>
  <si>
    <t>33층 이하 일부에 대해서는 6개월 전 서면통지 중도해지 가능
임대인 서비스 제공 임차인 의무 사항</t>
    <phoneticPr fontId="3" type="noConversion"/>
  </si>
  <si>
    <t>X</t>
    <phoneticPr fontId="3" type="noConversion"/>
  </si>
  <si>
    <t>삼성카드고객서비스 주식회사</t>
    <phoneticPr fontId="3" type="noConversion"/>
  </si>
  <si>
    <t>청소서비스, 지하 7층 창고사용, UPS 임차인 관리</t>
    <phoneticPr fontId="3" type="noConversion"/>
  </si>
  <si>
    <t>동결</t>
    <phoneticPr fontId="3" type="noConversion"/>
  </si>
  <si>
    <t>X</t>
    <phoneticPr fontId="3" type="noConversion"/>
  </si>
  <si>
    <t>375,756,000 원 전세권 설정</t>
    <phoneticPr fontId="3" type="noConversion"/>
  </si>
  <si>
    <t>보증금 동결, 
매년 임관리비 1.9% 인상</t>
    <phoneticPr fontId="3" type="noConversion"/>
  </si>
  <si>
    <t>한화손해보험㈜</t>
    <phoneticPr fontId="3" type="noConversion"/>
  </si>
  <si>
    <t>중도해지 불가</t>
    <phoneticPr fontId="3" type="noConversion"/>
  </si>
  <si>
    <t>2024년 10,11월</t>
    <phoneticPr fontId="3" type="noConversion"/>
  </si>
  <si>
    <t>10일</t>
    <phoneticPr fontId="3" type="noConversion"/>
  </si>
  <si>
    <t>삼성카드㈜</t>
    <phoneticPr fontId="3" type="noConversion"/>
  </si>
  <si>
    <t>의무임대차 기간 중도해지 불가, 중도해지 경과 후 3개월의 사전 서면 통지 후 중도해지 가능</t>
    <phoneticPr fontId="3" type="noConversion"/>
  </si>
  <si>
    <t>웨스크레이크코리아㈜</t>
    <phoneticPr fontId="3" type="noConversion"/>
  </si>
  <si>
    <t>보증금 동결, 
매년 임,관리비 3.5% 인상</t>
    <phoneticPr fontId="3" type="noConversion"/>
  </si>
  <si>
    <t>의무임대차 기간 중도해지 불가, 중도해지시 3개월 임관리비 위약벌, 의무임대차기간 만료 6개월 전 통보시 가능</t>
    <phoneticPr fontId="3" type="noConversion"/>
  </si>
  <si>
    <t>2023년 12월 2024,1,2월
2024년 12월 2024,1,2월
2025년 12월 2024,1,2월
2026년 12월 2024,1,2월
2027년 12월 2024,1,2월</t>
    <phoneticPr fontId="3" type="noConversion"/>
  </si>
  <si>
    <t>한화생명금융서비스㈜</t>
    <phoneticPr fontId="3" type="noConversion"/>
  </si>
  <si>
    <t>보증금 동결, 
매년 임관리비 2% 인상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</si>
  <si>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</t>
    <phoneticPr fontId="3" type="noConversion"/>
  </si>
  <si>
    <t>2022년 5,6,7월
2023년 5,6,7월
2024년 5,6,7월</t>
    <phoneticPr fontId="3" type="noConversion"/>
  </si>
  <si>
    <t>의무임대차 기간 중도해지 불가, 중도해지 경과 후 3개월의 사전 서면 통지 후 중도해지 가능</t>
    <phoneticPr fontId="3" type="noConversion"/>
  </si>
  <si>
    <t>2020년 6,7,8월
2021년 6,7,8월
2022년 6,7,8월
2023년 6,7,8월
2024년 7,8월</t>
    <phoneticPr fontId="3" type="noConversion"/>
  </si>
  <si>
    <t>한화생명금융서비스㈜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</si>
  <si>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</t>
    <phoneticPr fontId="3" type="noConversion"/>
  </si>
  <si>
    <t>2022년 5,6,7월
2023년 5,6,7월
2024년 5,6,7월</t>
    <phoneticPr fontId="3" type="noConversion"/>
  </si>
  <si>
    <t>롯데카드 주식회사</t>
    <phoneticPr fontId="3" type="noConversion"/>
  </si>
  <si>
    <t>보증금 동결, 
매년 임관리비 3% 인상</t>
    <phoneticPr fontId="3" type="noConversion"/>
  </si>
  <si>
    <t>2024년 9월
2025년 1,9월
2026년 1,9월
2027년 1월</t>
    <phoneticPr fontId="3" type="noConversion"/>
  </si>
  <si>
    <t>Office</t>
  </si>
  <si>
    <t>2024년 8월</t>
    <phoneticPr fontId="3" type="noConversion"/>
  </si>
  <si>
    <t>㈜우리카드</t>
    <phoneticPr fontId="3" type="noConversion"/>
  </si>
  <si>
    <t>보증금 동결,
매년 임관리비 2% 인상</t>
    <phoneticPr fontId="3" type="noConversion"/>
  </si>
  <si>
    <t>2022년 3,4,5월
2023년 3,4,5월
2024년 2,3,4,5월
2025년 3,4,5월
2026년 2,3,4,5월</t>
    <phoneticPr fontId="3" type="noConversion"/>
  </si>
  <si>
    <t>㈜우리카드</t>
    <phoneticPr fontId="3" type="noConversion"/>
  </si>
  <si>
    <t>보증금 동결,
매년 임관리비 2% 인상</t>
    <phoneticPr fontId="3" type="noConversion"/>
  </si>
  <si>
    <t>2022년 3,4,5월
2023년 3,4,5월
2024년 2,3,4,5월
2025년 3,4,5월
2026년 2,3,4,5월</t>
    <phoneticPr fontId="3" type="noConversion"/>
  </si>
  <si>
    <t>㈜우리카드</t>
    <phoneticPr fontId="3" type="noConversion"/>
  </si>
  <si>
    <t>임대면적</t>
    <phoneticPr fontId="3" type="noConversion"/>
  </si>
  <si>
    <t>소 계</t>
    <phoneticPr fontId="3" type="noConversion"/>
  </si>
  <si>
    <t>공실</t>
    <phoneticPr fontId="3" type="noConversion"/>
  </si>
  <si>
    <t>고층부 전체면적</t>
    <phoneticPr fontId="3" type="noConversion"/>
  </si>
  <si>
    <t>중층부</t>
    <phoneticPr fontId="3" type="noConversion"/>
  </si>
  <si>
    <t>주식회사 케이비손해보험</t>
    <phoneticPr fontId="3" type="noConversion"/>
  </si>
  <si>
    <t>2022년 2,5,8,11월
2023년 2,5,8,11월
2024년 2,5,8,11월
2025년 2,5,8,11월
2026년 2,5,8,11월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</si>
  <si>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</t>
    <phoneticPr fontId="3" type="noConversion"/>
  </si>
  <si>
    <t>2022년 3월
2023년 3,4,5월
2024년 2,3,4,5월
2025년 3,4,5월
2026년 2,3,4,5월</t>
    <phoneticPr fontId="3" type="noConversion"/>
  </si>
  <si>
    <t>교보생명보험㈜</t>
    <phoneticPr fontId="3" type="noConversion"/>
  </si>
  <si>
    <t>보증금 동결,
매년 임관리비 2.5% 인상</t>
    <phoneticPr fontId="3" type="noConversion"/>
  </si>
  <si>
    <t>임차인의 영업악화 등의 사유로 임대면적의 최대 20%(1,170.48㎡) 까지 감평하고자 하는 날부터 3개월전 서면통지로 감평가능
단 25층에 한에서만 감평 가능하며 위약벌은 없음</t>
    <phoneticPr fontId="3" type="noConversion"/>
  </si>
  <si>
    <t>2024년 10,11월
2025년 10,11월
2026년 10,11월</t>
    <phoneticPr fontId="3" type="noConversion"/>
  </si>
  <si>
    <t>보증금 동결,
매년 임관리비 2.5% 인상</t>
    <phoneticPr fontId="3" type="noConversion"/>
  </si>
  <si>
    <t>임차인의 영업악화 등의 사유로 임대면적의 최대 20%(1,170.48㎡) 까지 감평하고자 하는 날부터 3개월전 서면통지로 감평가능
단 25층에 한에서만 감평 가능하며 위약벌은 없음</t>
    <phoneticPr fontId="3" type="noConversion"/>
  </si>
  <si>
    <t>2024년 10,11월
2025년 10,11월
2026년 10,11월</t>
    <phoneticPr fontId="3" type="noConversion"/>
  </si>
  <si>
    <t>교보생명보험㈜</t>
    <phoneticPr fontId="3" type="noConversion"/>
  </si>
  <si>
    <t>한화라이프랩㈜</t>
    <phoneticPr fontId="3" type="noConversion"/>
  </si>
  <si>
    <t>보증금 동결, 
매년 임대료 1.5%, 관리비 3% 인상</t>
    <phoneticPr fontId="3" type="noConversion"/>
  </si>
  <si>
    <t>2021년 2,3,4,5월
2022년 2,3,4,5월</t>
    <phoneticPr fontId="3" type="noConversion"/>
  </si>
  <si>
    <t>㈜한국쯔바키모토</t>
    <phoneticPr fontId="3" type="noConversion"/>
  </si>
  <si>
    <t>보증금 동결,
매년 임관리비 3% 인상</t>
    <phoneticPr fontId="3" type="noConversion"/>
  </si>
  <si>
    <t>한국어 계약서 우선 적용</t>
    <phoneticPr fontId="3" type="noConversion"/>
  </si>
  <si>
    <t>콘센트릭스서비스코리아 유한회사</t>
    <phoneticPr fontId="3" type="noConversion"/>
  </si>
  <si>
    <t>보증금 동결, 
임대료 4년차부터 임관리비 2% 인상</t>
    <phoneticPr fontId="3" type="noConversion"/>
  </si>
  <si>
    <t>2021년 6,9,12월, 2022년 3월
2022년 6,9,12월, 2023년 3월
2023년 6,9,12월, 2024년 3월
2024년 6,9,12월, 2025년 3월
2025년 6,9,12월, 2026년 3월</t>
    <phoneticPr fontId="3" type="noConversion"/>
  </si>
  <si>
    <t>특약 제7조 서면동의 득한 뒤 특수관계에 있어 전대가 가능함 단 모든 책임은 임차인</t>
    <phoneticPr fontId="3" type="noConversion"/>
  </si>
  <si>
    <t>콘센트릭스서비스코리아 유한회사</t>
    <phoneticPr fontId="3" type="noConversion"/>
  </si>
  <si>
    <t>2021년 12월, 2022년 3,6,9월
2022년 12월, 2023년 3,6,9월
2023년 12월, 2024년 3,6,9월
2024년 12월, 2025년 3,6,9월
2025년 12월, 2026년 3,6,9월</t>
    <phoneticPr fontId="3" type="noConversion"/>
  </si>
  <si>
    <t>KIS정보통신㈜</t>
    <phoneticPr fontId="3" type="noConversion"/>
  </si>
  <si>
    <t>2024년 5,6월
2025년 5,6월
2026년 5,6월</t>
    <phoneticPr fontId="3" type="noConversion"/>
  </si>
  <si>
    <t>KIS정보통신㈜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</si>
  <si>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
보증금 반환 10일애니 반환하지 않는 경우 반환하지 않는 날까지 연 19% 연체이자 포함하여 납부</t>
    <phoneticPr fontId="3" type="noConversion"/>
  </si>
  <si>
    <t>2024년 5,6월
2025년 5,6월
2026년 5,6월</t>
    <phoneticPr fontId="3" type="noConversion"/>
  </si>
  <si>
    <t>미래에셋생명보험㈜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</si>
  <si>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
보증금 반환 10일애니 반환하지 않는 경우 반환하지 않는 날까지 연 19% 연체이자 포함하여 납부</t>
    <phoneticPr fontId="3" type="noConversion"/>
  </si>
  <si>
    <t>2021년 3,4,5,6,7월
2022년 4,5,6,7월
2023년 4,5,6,7월
2024년 4,5,6,7월
2025년 3,4,5,6,7월</t>
    <phoneticPr fontId="3" type="noConversion"/>
  </si>
  <si>
    <t>한화손해보험㈜</t>
  </si>
  <si>
    <t>2024년 5,6,10월</t>
    <phoneticPr fontId="3" type="noConversion"/>
  </si>
  <si>
    <t>한화생명보험㈜</t>
    <phoneticPr fontId="3" type="noConversion"/>
  </si>
  <si>
    <t>보증금 동결, 
매년 임관리비 2% 인상</t>
    <phoneticPr fontId="3" type="noConversion"/>
  </si>
  <si>
    <t>주식회사 케이비손해보험</t>
    <phoneticPr fontId="3" type="noConversion"/>
  </si>
  <si>
    <t>2022년 2,5,8,11월
2023년 2,5,8,11월
2024년 2,5,8,11월
2025년 2,5,8,11월
2026년 2,5,8,11월</t>
    <phoneticPr fontId="3" type="noConversion"/>
  </si>
  <si>
    <t>2022년 2,5,8,11월
2023년 2,5,8,11월
2024년 2,5,8,11월
2025년 2,5,8,11월
2026년 2,5,8,11월</t>
    <phoneticPr fontId="3" type="noConversion"/>
  </si>
  <si>
    <t>한화손해보험㈜</t>
    <phoneticPr fontId="3" type="noConversion"/>
  </si>
  <si>
    <t>보증금 동결, 
매년 임관리비 3% 인상</t>
    <phoneticPr fontId="3" type="noConversion"/>
  </si>
  <si>
    <t>의무임대차 기간 중도해지 불가</t>
    <phoneticPr fontId="3" type="noConversion"/>
  </si>
  <si>
    <t>2024년 5,6,7월
2025년 5,6,7월
2026년 5,6,7월</t>
    <phoneticPr fontId="3" type="noConversion"/>
  </si>
  <si>
    <t>2024년 2,3,4월
2025년 2,3,4월
2026년 2,3,4월</t>
    <phoneticPr fontId="3" type="noConversion"/>
  </si>
  <si>
    <t>메리츠화재해상보험㈜</t>
    <phoneticPr fontId="3" type="noConversion"/>
  </si>
  <si>
    <t>보증금 동결,
매년 임대료 2.5% 관리비 3% 인상</t>
    <phoneticPr fontId="3" type="noConversion"/>
  </si>
  <si>
    <t>2023년 9월 16일~ 10월 31일
2024년 9월 16일~ 10월 31일
2025년 9월 16일~ 10월 31일</t>
    <phoneticPr fontId="3" type="noConversion"/>
  </si>
  <si>
    <t>임대면적</t>
    <phoneticPr fontId="3" type="noConversion"/>
  </si>
  <si>
    <t>소 계</t>
    <phoneticPr fontId="3" type="noConversion"/>
  </si>
  <si>
    <t>공실</t>
    <phoneticPr fontId="3" type="noConversion"/>
  </si>
  <si>
    <t>중층부 전체면적</t>
    <phoneticPr fontId="3" type="noConversion"/>
  </si>
  <si>
    <t>저층부</t>
    <phoneticPr fontId="3" type="noConversion"/>
  </si>
  <si>
    <t>Office</t>
    <phoneticPr fontId="3" type="noConversion"/>
  </si>
  <si>
    <t>엘비휴넷 주식회사</t>
    <phoneticPr fontId="3" type="noConversion"/>
  </si>
  <si>
    <t>보증금 동결, 
매년 임관리비 3.5% 인상</t>
    <phoneticPr fontId="3" type="noConversion"/>
  </si>
  <si>
    <t>동결</t>
    <phoneticPr fontId="3" type="noConversion"/>
  </si>
  <si>
    <t>의무임대차 기간 중도해지 불가, 중도해지 경과 후 3개월의 사전 서면 통지 후 중도해지 가능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</si>
  <si>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</si>
  <si>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2023년 5, 6월 2024년 1, 2월
2024년 5,</t>
    </r>
    <r>
      <rPr>
        <sz val="11"/>
        <color theme="1"/>
        <rFont val="KB금융 본문체 Light"/>
        <family val="3"/>
        <charset val="129"/>
      </rPr>
      <t xml:space="preserve"> 6월 2025년 1, 2월
2025년 5, 6월 2026년 1, 2월</t>
    </r>
    <phoneticPr fontId="3" type="noConversion"/>
  </si>
  <si>
    <t>특약 8조 추가관리비(7~9,12~2월) 면제</t>
    <phoneticPr fontId="3" type="noConversion"/>
  </si>
  <si>
    <t>관리비 계좌에서 보증금 일부 반환</t>
    <phoneticPr fontId="3" type="noConversion"/>
  </si>
  <si>
    <t>삼성화재해상보험㈜</t>
    <phoneticPr fontId="3" type="noConversion"/>
  </si>
  <si>
    <t>보증금 동결, 
매년 임관리비 2.5% 인상</t>
    <phoneticPr fontId="3" type="noConversion"/>
  </si>
  <si>
    <t>2022년 4,6,8,10월
2023년 4,6,8,10월
2024년 4,6,8,10월
2025년 4,6,8,10월
2026년 4,6,8,10월</t>
    <phoneticPr fontId="3" type="noConversion"/>
  </si>
  <si>
    <t>㈜카리스</t>
    <phoneticPr fontId="3" type="noConversion"/>
  </si>
  <si>
    <t>보증금 동결, 
 매년 임관리비 2% 인상</t>
    <phoneticPr fontId="3" type="noConversion"/>
  </si>
  <si>
    <t>2020년 5,6,7,8월
2021년 5,6,7,8월
2022년 5,6,7,8월
2023년 5,6,7,8월
2024년 5,6,7,8월</t>
    <phoneticPr fontId="3" type="noConversion"/>
  </si>
  <si>
    <t>현대해상화재보험㈜</t>
    <phoneticPr fontId="3" type="noConversion"/>
  </si>
  <si>
    <t>보증금 동결, 
매년 임대료 3%, 관리비 3.5% 인상</t>
    <phoneticPr fontId="3" type="noConversion"/>
  </si>
  <si>
    <t>2023년 9월, 2024년 1,2,3월
2024년 9월, 2025년 1,2,3월
2025년 9월, 2026년 1,2,3월
2026년 9월, 2027년 1,2,3월
2027년 9월, 2028년 1,2,3월</t>
    <phoneticPr fontId="3" type="noConversion"/>
  </si>
  <si>
    <t>현대해상화재보험㈜</t>
    <phoneticPr fontId="3" type="noConversion"/>
  </si>
  <si>
    <t>보증금 동결, 
매년 임대료 3%, 관리비 3.5% 인상</t>
    <phoneticPr fontId="3" type="noConversion"/>
  </si>
  <si>
    <t>X</t>
    <phoneticPr fontId="3" type="noConversion"/>
  </si>
  <si>
    <t>Office</t>
    <phoneticPr fontId="3" type="noConversion"/>
  </si>
  <si>
    <t>보증금 동결,
매년 임관리비 2% 인상</t>
    <phoneticPr fontId="3" type="noConversion"/>
  </si>
  <si>
    <t>동결</t>
    <phoneticPr fontId="3" type="noConversion"/>
  </si>
  <si>
    <t>2022년 3,4,5월
2023년 3,4,5월
2024년 2,3,4,5월
2025년 3,4,5월
2026년 2,3,4,5월</t>
    <phoneticPr fontId="3" type="noConversion"/>
  </si>
  <si>
    <t>삼성카드㈜</t>
    <phoneticPr fontId="3" type="noConversion"/>
  </si>
  <si>
    <t>보증금 동결, 
매년 임,관리비 1.9% 인상</t>
    <phoneticPr fontId="3" type="noConversion"/>
  </si>
  <si>
    <t>의무임대차 기간 중도해지 불가, 중도해지 경과 후 3개월의 사전 서면 통지 후 중도해지 가능</t>
    <phoneticPr fontId="3" type="noConversion"/>
  </si>
  <si>
    <t xml:space="preserve">2020년 10,11,12월
2021년 10,11,12월
2022년 10,11,12월
2023년 10,11,12월
2024년 11,12월
</t>
    <phoneticPr fontId="3" type="noConversion"/>
  </si>
  <si>
    <t>33층 이하 일부에 대해서는 6개월 전 서면통지 중도해지 가능
임대인 서비스 제공 임차인 의무 사항</t>
    <phoneticPr fontId="3" type="noConversion"/>
  </si>
  <si>
    <t>375,756,000 원 전세권 설정</t>
    <phoneticPr fontId="3" type="noConversion"/>
  </si>
  <si>
    <t>동결</t>
    <phoneticPr fontId="3" type="noConversion"/>
  </si>
  <si>
    <t xml:space="preserve">2020년 10,11,12월
2021년 10,11,12월
2022년 10,11,12월
2023년 10,11,12월
2024년 11,12월
</t>
    <phoneticPr fontId="3" type="noConversion"/>
  </si>
  <si>
    <t>375,756,000 원 전세권 설정</t>
    <phoneticPr fontId="3" type="noConversion"/>
  </si>
  <si>
    <t>롯데손해보험㈜</t>
    <phoneticPr fontId="3" type="noConversion"/>
  </si>
  <si>
    <t>보증금 동결, 
매년 임,관리비 3% 인상</t>
    <phoneticPr fontId="3" type="noConversion"/>
  </si>
  <si>
    <t>2024년 8,10월
2025년 8,10월</t>
    <phoneticPr fontId="3" type="noConversion"/>
  </si>
  <si>
    <t>신한금융플러스㈜</t>
    <phoneticPr fontId="3" type="noConversion"/>
  </si>
  <si>
    <t>보증금 동결, 
매년 임,관리비 3% 인상</t>
    <phoneticPr fontId="3" type="noConversion"/>
  </si>
  <si>
    <t>2022년 1,2,3,4월
2023년 1,2,3,4월
2024년 1,2,3,4월
2025년 1,2,3,4월
2026년 1,2,3,4월</t>
    <phoneticPr fontId="3" type="noConversion"/>
  </si>
  <si>
    <t>승계합의서 작성</t>
    <phoneticPr fontId="3" type="noConversion"/>
  </si>
  <si>
    <t>Retail</t>
    <phoneticPr fontId="3" type="noConversion"/>
  </si>
  <si>
    <t>라온약국</t>
    <phoneticPr fontId="3" type="noConversion"/>
  </si>
  <si>
    <t>보증금 동결, 
매년 임대료 2%, 관리비 3% 인상</t>
    <phoneticPr fontId="3" type="noConversion"/>
  </si>
  <si>
    <t>승계합의서 작성</t>
    <phoneticPr fontId="3" type="noConversion"/>
  </si>
  <si>
    <t>유니앤미헤어살롱</t>
    <phoneticPr fontId="3" type="noConversion"/>
  </si>
  <si>
    <t>보증금 동결, 
매년 임대료 1.5%, 관리비 3% 인상</t>
    <phoneticPr fontId="3" type="noConversion"/>
  </si>
  <si>
    <t>2020년 7,8월
2022년 6,7월
2023년 6,7월
2024년 6,7월
2025년 6,7월</t>
    <phoneticPr fontId="3" type="noConversion"/>
  </si>
  <si>
    <t>삼성드림안과(박상훈)</t>
    <phoneticPr fontId="3" type="noConversion"/>
  </si>
  <si>
    <t>매년 7월</t>
    <phoneticPr fontId="3" type="noConversion"/>
  </si>
  <si>
    <t>9월 30일 퇴거 예정</t>
    <phoneticPr fontId="3" type="noConversion"/>
  </si>
  <si>
    <t>Retail</t>
    <phoneticPr fontId="3" type="noConversion"/>
  </si>
  <si>
    <t>아임플치과의원</t>
    <phoneticPr fontId="3" type="noConversion"/>
  </si>
  <si>
    <t>보증금 동결, 
매년 임,관리비 2.5% 인상</t>
    <phoneticPr fontId="3" type="noConversion"/>
  </si>
  <si>
    <t>2022년 2,5,9,11월
2023년 2,5,9,11월
2024년 2,5,9,11월</t>
    <phoneticPr fontId="3" type="noConversion"/>
  </si>
  <si>
    <t>과거 승계 내용 확인</t>
    <phoneticPr fontId="3" type="noConversion"/>
  </si>
  <si>
    <t>해온한의원</t>
    <phoneticPr fontId="3" type="noConversion"/>
  </si>
  <si>
    <t>보증금 동결, 
매년 임대료 2.5%, 관리비 3% 인상</t>
    <phoneticPr fontId="3" type="noConversion"/>
  </si>
  <si>
    <t>특약 5조 B6F 창고 사용</t>
    <phoneticPr fontId="3" type="noConversion"/>
  </si>
  <si>
    <t>17.04㎡</t>
    <phoneticPr fontId="3" type="noConversion"/>
  </si>
  <si>
    <t>Retail</t>
  </si>
  <si>
    <t>PM Office</t>
    <phoneticPr fontId="3" type="noConversion"/>
  </si>
  <si>
    <t>주식회사 제니엘맥</t>
    <phoneticPr fontId="3" type="noConversion"/>
  </si>
  <si>
    <t>2024년 6,7월</t>
    <phoneticPr fontId="3" type="noConversion"/>
  </si>
  <si>
    <t>주식회사 제니엘맥(회의실)</t>
    <phoneticPr fontId="3" type="noConversion"/>
  </si>
  <si>
    <t>제니엘맥 무상 회의실 사용 중</t>
    <phoneticPr fontId="3" type="noConversion"/>
  </si>
  <si>
    <t>(사)생명보험협회</t>
    <phoneticPr fontId="3" type="noConversion"/>
  </si>
  <si>
    <t xml:space="preserve">매년 1월 </t>
    <phoneticPr fontId="3" type="noConversion"/>
  </si>
  <si>
    <t>10일</t>
    <phoneticPr fontId="3" type="noConversion"/>
  </si>
  <si>
    <t>삼성화재해상보험㈜</t>
    <phoneticPr fontId="3" type="noConversion"/>
  </si>
  <si>
    <t>2023년 7,10,11월
2024년 7,10,11월
2025년 7,10,11월</t>
    <phoneticPr fontId="3" type="noConversion"/>
  </si>
  <si>
    <t>주식회사 케이티</t>
    <phoneticPr fontId="3" type="noConversion"/>
  </si>
  <si>
    <t>2025년 1,2월</t>
    <phoneticPr fontId="3" type="noConversion"/>
  </si>
  <si>
    <t>2024년 1,4,7월
2025년 1,4,7월
2026년 1,4,7월
2027년 1,4,7월
2028년 1,4,7월</t>
    <phoneticPr fontId="3" type="noConversion"/>
  </si>
  <si>
    <t>엘지유플러스</t>
    <phoneticPr fontId="3" type="noConversion"/>
  </si>
  <si>
    <t>2023년 12월
2024년 12월</t>
    <phoneticPr fontId="3" type="noConversion"/>
  </si>
  <si>
    <t>내츄럴헬스케어 주식회사</t>
    <phoneticPr fontId="3" type="noConversion"/>
  </si>
  <si>
    <t>2022년 10월</t>
    <phoneticPr fontId="3" type="noConversion"/>
  </si>
  <si>
    <t>특약 7조 회의실 무상사용</t>
    <phoneticPr fontId="3" type="noConversion"/>
  </si>
  <si>
    <t>18.86㎡ 면적</t>
    <phoneticPr fontId="3" type="noConversion"/>
  </si>
  <si>
    <t>한화손해보험㈜</t>
    <phoneticPr fontId="3" type="noConversion"/>
  </si>
  <si>
    <t>보증금 동결, 
매년 임,관리비 3% 인상</t>
    <phoneticPr fontId="3" type="noConversion"/>
  </si>
  <si>
    <t>2024년 5,6,10월
2025년 5,6,10월
2026년 5,6,10월</t>
    <phoneticPr fontId="3" type="noConversion"/>
  </si>
  <si>
    <t>의무임대차 기간 중도해지 불가, 중도해지 경과 후 4개월의 사전 서면 통지 후 중도해지 가능</t>
    <phoneticPr fontId="3" type="noConversion"/>
  </si>
  <si>
    <t>2024년 6,10월, 2025년 2월
2025년 6,10월, 2026년 2월
2026년 6,10월, 2027년 2월
2027년 6,10월, 2028년 2월</t>
    <phoneticPr fontId="3" type="noConversion"/>
  </si>
  <si>
    <t>2023년 7월 임대차 승계합의 진행
KB손해사정 -&gt; KB손해보험</t>
    <phoneticPr fontId="3" type="noConversion"/>
  </si>
  <si>
    <t>보증금 동결, 
매년 임대료 3%, 관리비 3% 인상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</si>
  <si>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2023년 10월 2024년 1,2월
2024년 6월</t>
    </r>
    <r>
      <rPr>
        <sz val="11"/>
        <color theme="1"/>
        <rFont val="KB금융 본문체 Light"/>
        <family val="3"/>
        <charset val="129"/>
      </rPr>
      <t xml:space="preserve"> 2025년 1,2월
2025년 6월 2026년 1,2월
2026년 6월 2027년 1,2월
2027년 6월 2028년 1,2월</t>
    </r>
    <phoneticPr fontId="3" type="noConversion"/>
  </si>
  <si>
    <t>DB손해보험㈜</t>
    <phoneticPr fontId="3" type="noConversion"/>
  </si>
  <si>
    <t>의무임대차 기간 중도해지 불가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</si>
  <si>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2024년 2,3월</t>
    </r>
    <r>
      <rPr>
        <sz val="11"/>
        <color theme="1"/>
        <rFont val="KB금융 본문체 Light"/>
        <family val="3"/>
        <charset val="129"/>
      </rPr>
      <t xml:space="preserve">
2025년 2,3월
2026년 2,3월
2027년 2,3월
2028년 2,3월</t>
    </r>
    <phoneticPr fontId="3" type="noConversion"/>
  </si>
  <si>
    <t>DB손해보험㈜</t>
    <phoneticPr fontId="3" type="noConversion"/>
  </si>
  <si>
    <t>보증금 동결, 
 매년 임관리비 3% 인상</t>
    <phoneticPr fontId="3" type="noConversion"/>
  </si>
  <si>
    <t>의무임대차 기간 중도해지 불가, 중도해지 경과 후 3개월의 사전 서면 통지 후 중도해지 가능</t>
    <phoneticPr fontId="3" type="noConversion"/>
  </si>
  <si>
    <t>2025년 2,3월
2026년 2,3월
2027년 2,3월
2028년 2,3월
2029년 2,3월</t>
    <phoneticPr fontId="3" type="noConversion"/>
  </si>
  <si>
    <t>2024년 5월분 임관리비 소급 적용하여 청구 및 납부</t>
    <phoneticPr fontId="3" type="noConversion"/>
  </si>
  <si>
    <t>의무임대차 기간 내 중도해지시 3개월 위약벌
제19조 1항과 같이 해지 시 보증금 2개월 기간동안 연 19% 비율 및 6개월 임관리비 위약벌 지급(보증금 공제 가능)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</si>
  <si>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2023년 7,8월</t>
    </r>
    <r>
      <rPr>
        <sz val="11"/>
        <color theme="1"/>
        <rFont val="KB금융 본문체 Light"/>
        <family val="3"/>
        <charset val="129"/>
      </rPr>
      <t xml:space="preserve">
2024년 7,8월
2025년 7,8월</t>
    </r>
    <phoneticPr fontId="3" type="noConversion"/>
  </si>
  <si>
    <t>Office</t>
    <phoneticPr fontId="3" type="noConversion"/>
  </si>
  <si>
    <t>보증금 동결, 
임대료 4년차부터 임관리비 2% 인상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</si>
  <si>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2020년 3월 1~12일, 6,7,8,9,10월
2021년 3월 1~12일, 6,7,8,9,10월
2022년 3월 1~12일, 6,7,8,9,10월
2023년 3월 1~12일, 6,7,8,9,10월
2024년 3월 1~12일, 6</t>
    </r>
    <r>
      <rPr>
        <sz val="11"/>
        <color theme="1"/>
        <rFont val="KB금융 본문체 Light"/>
        <family val="3"/>
        <charset val="129"/>
      </rPr>
      <t>,7,8,9,10월</t>
    </r>
    <phoneticPr fontId="3" type="noConversion"/>
  </si>
  <si>
    <t>관리비 면제사항</t>
    <phoneticPr fontId="3" type="noConversion"/>
  </si>
  <si>
    <t>보증금 동결, 
임대료 3년차부터 임관리비 2% 인상</t>
    <phoneticPr fontId="3" type="noConversion"/>
  </si>
  <si>
    <t>동결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</si>
  <si>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2021년 3,6,9,12월
2022년 3,6,9,12월
2023년 3,6,9,12월</t>
    </r>
    <r>
      <rPr>
        <sz val="11"/>
        <color theme="1"/>
        <rFont val="KB금융 본문체 Light"/>
        <family val="3"/>
        <charset val="129"/>
      </rPr>
      <t xml:space="preserve">
</t>
    </r>
    <r>
      <rPr>
        <strike/>
        <sz val="11"/>
        <color theme="1"/>
        <rFont val="KB금융 본문체 Light"/>
        <family val="3"/>
        <charset val="129"/>
      </rPr>
      <t>2024년 3,</t>
    </r>
    <r>
      <rPr>
        <sz val="11"/>
        <color theme="1"/>
        <rFont val="KB금융 본문체 Light"/>
        <family val="3"/>
        <charset val="129"/>
      </rPr>
      <t>6,9,12월</t>
    </r>
    <phoneticPr fontId="3" type="noConversion"/>
  </si>
  <si>
    <t>관리비 부과</t>
    <phoneticPr fontId="3" type="noConversion"/>
  </si>
  <si>
    <t>DB손해보험㈜</t>
    <phoneticPr fontId="3" type="noConversion"/>
  </si>
  <si>
    <t>보증금 동결, 
매년 임대료 3%, 관리비 3.5% 인상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</si>
  <si>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2024년 2,3월</t>
    </r>
    <r>
      <rPr>
        <sz val="11"/>
        <color theme="1"/>
        <rFont val="KB금융 본문체 Light"/>
        <family val="3"/>
        <charset val="129"/>
      </rPr>
      <t xml:space="preserve">
2025년 2,3월
2026년 2,3월
2027년 2,3월
2028년 2,3월</t>
    </r>
    <phoneticPr fontId="3" type="noConversion"/>
  </si>
  <si>
    <t>엘비휴넷 주식회사</t>
    <phoneticPr fontId="3" type="noConversion"/>
  </si>
  <si>
    <t>보증금 동결, 
매년 임관리비 3.5% 인상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</si>
  <si>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2023년 5, 6월 2024년 1, 2월
2024년 5,</t>
    </r>
    <r>
      <rPr>
        <sz val="11"/>
        <color theme="1"/>
        <rFont val="KB금융 본문체 Light"/>
        <family val="3"/>
        <charset val="129"/>
      </rPr>
      <t xml:space="preserve"> 6월 2025년 1, 2월
2025년 5, 6월 2026년 1, 2월</t>
    </r>
    <phoneticPr fontId="3" type="noConversion"/>
  </si>
  <si>
    <t>특약 8조 추가관리비(7~9,12~2월) 면제</t>
    <phoneticPr fontId="3" type="noConversion"/>
  </si>
  <si>
    <t>관리비 계좌에서 보증금 일부 반환</t>
    <phoneticPr fontId="3" type="noConversion"/>
  </si>
  <si>
    <t>엘비휴넷 주식회사</t>
    <phoneticPr fontId="3" type="noConversion"/>
  </si>
  <si>
    <t>보증금 동결, 
매년 임관리비 3.5% 인상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</si>
  <si>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2023년 5, 6월 2024년 1, 2월
2024년 5,</t>
    </r>
    <r>
      <rPr>
        <sz val="11"/>
        <color theme="1"/>
        <rFont val="KB금융 본문체 Light"/>
        <family val="3"/>
        <charset val="129"/>
      </rPr>
      <t xml:space="preserve"> 6월 2025년 1, 2월
2025년 5, 6월 2026년 1, 2월</t>
    </r>
    <phoneticPr fontId="3" type="noConversion"/>
  </si>
  <si>
    <t>관리비 계좌에서 보증금 일부 반환</t>
    <phoneticPr fontId="3" type="noConversion"/>
  </si>
  <si>
    <t>국민건강보험공단 서울강원지역본부</t>
    <phoneticPr fontId="3" type="noConversion"/>
  </si>
  <si>
    <t>보증금 동결, 
매년 임관리비 3% 인상</t>
    <phoneticPr fontId="3" type="noConversion"/>
  </si>
  <si>
    <t>의무임대차 기간 X</t>
    <phoneticPr fontId="3" type="noConversion"/>
  </si>
  <si>
    <t>제19조 1항과 같이 해지 시 보증금 2개월 기간동안 연 19% 비율 및 6개월 임관리비 위약벌 지급(보증금 공제 가능)</t>
    <phoneticPr fontId="3" type="noConversion"/>
  </si>
  <si>
    <t>-</t>
    <phoneticPr fontId="3" type="noConversion"/>
  </si>
  <si>
    <t>전용 면적 관리비 1,425,000 별도 청구</t>
    <phoneticPr fontId="3" type="noConversion"/>
  </si>
  <si>
    <t>B1</t>
    <phoneticPr fontId="3" type="noConversion"/>
  </si>
  <si>
    <t>Retail</t>
    <phoneticPr fontId="3" type="noConversion"/>
  </si>
  <si>
    <t>델리아띠</t>
    <phoneticPr fontId="3" type="noConversion"/>
  </si>
  <si>
    <t>제19조 1항과 같이 해지 시 보증금 2개월 기간동안 연 19% 비율 및 6개월 임관리비 위약벌 지급(보증금 공제 가능)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</si>
  <si>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2022년 9,10,11, 2023년 4월, 5월 1~15일
2023년 9,10,11, 2024년 4월, 5월 1~15일</t>
    </r>
    <r>
      <rPr>
        <sz val="11"/>
        <color theme="1"/>
        <rFont val="KB금융 본문체 Light"/>
        <family val="3"/>
        <charset val="129"/>
      </rPr>
      <t xml:space="preserve">
2024년 9,10,11, 2025년 4월, 5월 1~15일</t>
    </r>
    <phoneticPr fontId="3" type="noConversion"/>
  </si>
  <si>
    <t>X</t>
    <phoneticPr fontId="3" type="noConversion"/>
  </si>
  <si>
    <t>라인업의원</t>
    <phoneticPr fontId="3" type="noConversion"/>
  </si>
  <si>
    <r>
      <rPr>
        <strike/>
        <sz val="11"/>
        <color theme="1"/>
        <rFont val="KB금융 본문체 Light"/>
        <family val="3"/>
        <charset val="129"/>
      </rPr>
      <t>2020년 12월 / 2021년 2,4,6,8,10 월
2021년 12월 / 2022년 2,4,6,8,10 월
2022년 12월 / 2023년 2,4,6,8,10 월
2023년 12월 / 2024년 2,4</t>
    </r>
    <r>
      <rPr>
        <sz val="11"/>
        <color theme="1"/>
        <rFont val="KB금융 본문체 Light"/>
        <family val="3"/>
        <charset val="129"/>
      </rPr>
      <t>,6,8,10 월
2024년 12월 / 2025년 2,4,6,8,10 월</t>
    </r>
    <phoneticPr fontId="3" type="noConversion"/>
  </si>
  <si>
    <t>임대면적</t>
    <phoneticPr fontId="3" type="noConversion"/>
  </si>
  <si>
    <t>저층부 전체면적</t>
    <phoneticPr fontId="3" type="noConversion"/>
  </si>
  <si>
    <t>임대면적</t>
    <phoneticPr fontId="3" type="noConversion"/>
  </si>
  <si>
    <t>Total</t>
    <phoneticPr fontId="3" type="noConversion"/>
  </si>
  <si>
    <t>전체면적</t>
    <phoneticPr fontId="3" type="noConversion"/>
  </si>
  <si>
    <t>Other</t>
    <phoneticPr fontId="3" type="noConversion"/>
  </si>
  <si>
    <t>Media</t>
    <phoneticPr fontId="3" type="noConversion"/>
  </si>
  <si>
    <t>스페이스애드</t>
    <phoneticPr fontId="3" type="noConversion"/>
  </si>
  <si>
    <t>해당사항 없음</t>
    <phoneticPr fontId="3" type="noConversion"/>
  </si>
  <si>
    <t>etc</t>
    <phoneticPr fontId="3" type="noConversion"/>
  </si>
  <si>
    <t>제이더블유웨스턴</t>
    <phoneticPr fontId="3" type="noConversion"/>
  </si>
  <si>
    <t>티앤더블유코리아</t>
    <phoneticPr fontId="3" type="noConversion"/>
  </si>
  <si>
    <t># Tenant Sorting(계약기준)</t>
    <phoneticPr fontId="3" type="noConversion"/>
  </si>
  <si>
    <t>NO.</t>
    <phoneticPr fontId="3" type="noConversion"/>
  </si>
  <si>
    <t>구분</t>
    <phoneticPr fontId="3" type="noConversion"/>
  </si>
  <si>
    <t>Room</t>
    <phoneticPr fontId="3" type="noConversion"/>
  </si>
  <si>
    <t>입주사</t>
    <phoneticPr fontId="3" type="noConversion"/>
  </si>
  <si>
    <t>임대면적</t>
    <phoneticPr fontId="3" type="noConversion"/>
  </si>
  <si>
    <t>전용면적</t>
    <phoneticPr fontId="3" type="noConversion"/>
  </si>
  <si>
    <t>전체
 점유율</t>
    <phoneticPr fontId="3" type="noConversion"/>
  </si>
  <si>
    <t>층간 사용 
전용률</t>
    <phoneticPr fontId="3" type="noConversion"/>
  </si>
  <si>
    <t>보증금설정</t>
    <phoneticPr fontId="3" type="noConversion"/>
  </si>
  <si>
    <t>금액비
(전체)</t>
    <phoneticPr fontId="3" type="noConversion"/>
  </si>
  <si>
    <t>계약기간(월)
면적가중평균</t>
    <phoneticPr fontId="3" type="noConversion"/>
  </si>
  <si>
    <t>면적비
(전체)</t>
    <phoneticPr fontId="3" type="noConversion"/>
  </si>
  <si>
    <t>면적비
(오피스)</t>
    <phoneticPr fontId="3" type="noConversion"/>
  </si>
  <si>
    <t>면적비
(리테일)</t>
    <phoneticPr fontId="3" type="noConversion"/>
  </si>
  <si>
    <t>Net Occupancy Cost(NOC)</t>
    <phoneticPr fontId="3" type="noConversion"/>
  </si>
  <si>
    <t>평단</t>
    <phoneticPr fontId="3" type="noConversion"/>
  </si>
  <si>
    <t>보증금
(전체)</t>
    <phoneticPr fontId="3" type="noConversion"/>
  </si>
  <si>
    <t>임대료</t>
    <phoneticPr fontId="3" type="noConversion"/>
  </si>
  <si>
    <t>관리비</t>
    <phoneticPr fontId="3" type="noConversion"/>
  </si>
  <si>
    <t>월납입액</t>
    <phoneticPr fontId="3" type="noConversion"/>
  </si>
  <si>
    <t>무료주차</t>
    <phoneticPr fontId="3" type="noConversion"/>
  </si>
  <si>
    <t>㎡</t>
    <phoneticPr fontId="3" type="noConversion"/>
  </si>
  <si>
    <t>3.3㎡</t>
    <phoneticPr fontId="3" type="noConversion"/>
  </si>
  <si>
    <t>%</t>
    <phoneticPr fontId="3" type="noConversion"/>
  </si>
  <si>
    <t>Effective
(RF,FO,TI 포함)</t>
    <phoneticPr fontId="3" type="noConversion"/>
  </si>
  <si>
    <t>총액</t>
    <phoneticPr fontId="3" type="noConversion"/>
  </si>
  <si>
    <t>자산취득시
인수보증금</t>
    <phoneticPr fontId="3" type="noConversion"/>
  </si>
  <si>
    <t>보증보험</t>
    <phoneticPr fontId="3" type="noConversion"/>
  </si>
  <si>
    <t>CP</t>
    <phoneticPr fontId="3" type="noConversion"/>
  </si>
  <si>
    <t>Basic</t>
    <phoneticPr fontId="3" type="noConversion"/>
  </si>
  <si>
    <t>RF.FO</t>
    <phoneticPr fontId="3" type="noConversion"/>
  </si>
  <si>
    <t>실질
임대료
(Effective Rent)</t>
    <phoneticPr fontId="3" type="noConversion"/>
  </si>
  <si>
    <t>명목
관리비</t>
    <phoneticPr fontId="3" type="noConversion"/>
  </si>
  <si>
    <t>3.3㎡</t>
  </si>
  <si>
    <t>원</t>
  </si>
  <si>
    <t>계약 
배정대수</t>
    <phoneticPr fontId="3" type="noConversion"/>
  </si>
  <si>
    <t>추가제공</t>
    <phoneticPr fontId="3" type="noConversion"/>
  </si>
  <si>
    <t>추가제공</t>
    <phoneticPr fontId="3" type="noConversion"/>
  </si>
  <si>
    <t>질권</t>
    <phoneticPr fontId="3" type="noConversion"/>
  </si>
  <si>
    <t>Office</t>
    <phoneticPr fontId="3" type="noConversion"/>
  </si>
  <si>
    <t>삼성카드㈜</t>
    <phoneticPr fontId="3" type="noConversion"/>
  </si>
  <si>
    <t>질권, 전세권 일부</t>
    <phoneticPr fontId="3" type="noConversion"/>
  </si>
  <si>
    <t>Office</t>
    <phoneticPr fontId="3" type="noConversion"/>
  </si>
  <si>
    <t>한화손해보험㈜</t>
    <phoneticPr fontId="3" type="noConversion"/>
  </si>
  <si>
    <t>웨스크레이크코리아㈜</t>
    <phoneticPr fontId="3" type="noConversion"/>
  </si>
  <si>
    <t>한화생명금융서비스㈜</t>
    <phoneticPr fontId="3" type="noConversion"/>
  </si>
  <si>
    <t>롯데카드 주식회사</t>
    <phoneticPr fontId="3" type="noConversion"/>
  </si>
  <si>
    <t>㈜우리카드</t>
    <phoneticPr fontId="3" type="noConversion"/>
  </si>
  <si>
    <t>주식회사 케이비손해보험</t>
    <phoneticPr fontId="3" type="noConversion"/>
  </si>
  <si>
    <t>교보생명보험㈜</t>
    <phoneticPr fontId="3" type="noConversion"/>
  </si>
  <si>
    <t>한화라이프랩㈜</t>
    <phoneticPr fontId="3" type="noConversion"/>
  </si>
  <si>
    <t>㈜한국쯔바키모토</t>
    <phoneticPr fontId="3" type="noConversion"/>
  </si>
  <si>
    <t>콘센트릭스서비스코리아 유한회사</t>
    <phoneticPr fontId="3" type="noConversion"/>
  </si>
  <si>
    <t>KIS정보통신㈜</t>
    <phoneticPr fontId="3" type="noConversion"/>
  </si>
  <si>
    <t>Office</t>
    <phoneticPr fontId="3" type="noConversion"/>
  </si>
  <si>
    <t>미래에셋생명보험㈜</t>
    <phoneticPr fontId="3" type="noConversion"/>
  </si>
  <si>
    <t>한화생명보험㈜</t>
    <phoneticPr fontId="3" type="noConversion"/>
  </si>
  <si>
    <t>메리츠화재해상보험㈜</t>
    <phoneticPr fontId="3" type="noConversion"/>
  </si>
  <si>
    <t>엘비휴넷 주식회사</t>
    <phoneticPr fontId="3" type="noConversion"/>
  </si>
  <si>
    <t>삼성화재해상보험㈜</t>
    <phoneticPr fontId="3" type="noConversion"/>
  </si>
  <si>
    <t>㈜카리스</t>
    <phoneticPr fontId="3" type="noConversion"/>
  </si>
  <si>
    <t>현대해상화재보험㈜</t>
    <phoneticPr fontId="3" type="noConversion"/>
  </si>
  <si>
    <t>롯데손해보험㈜</t>
    <phoneticPr fontId="3" type="noConversion"/>
  </si>
  <si>
    <t>신한금융플러스㈜</t>
    <phoneticPr fontId="3" type="noConversion"/>
  </si>
  <si>
    <t>(사)생명보험협회</t>
    <phoneticPr fontId="3" type="noConversion"/>
  </si>
  <si>
    <t>주식회사 제니엘맥</t>
    <phoneticPr fontId="3" type="noConversion"/>
  </si>
  <si>
    <t>주식회사 제니엘맥(회의실)</t>
    <phoneticPr fontId="3" type="noConversion"/>
  </si>
  <si>
    <t>주식회사 케이티</t>
    <phoneticPr fontId="3" type="noConversion"/>
  </si>
  <si>
    <t>엘지유플러스</t>
    <phoneticPr fontId="3" type="noConversion"/>
  </si>
  <si>
    <t>내츄럴헬스케어 주식회사</t>
    <phoneticPr fontId="3" type="noConversion"/>
  </si>
  <si>
    <t>DB손해보험㈜</t>
    <phoneticPr fontId="3" type="noConversion"/>
  </si>
  <si>
    <t>국민건강보험공단 서울강원지역본부</t>
    <phoneticPr fontId="3" type="noConversion"/>
  </si>
  <si>
    <t>Retail</t>
    <phoneticPr fontId="3" type="noConversion"/>
  </si>
  <si>
    <t>라온약국</t>
    <phoneticPr fontId="3" type="noConversion"/>
  </si>
  <si>
    <t>유니앤미헤어살롱</t>
    <phoneticPr fontId="3" type="noConversion"/>
  </si>
  <si>
    <t>삼성드림안과(박상훈)</t>
    <phoneticPr fontId="3" type="noConversion"/>
  </si>
  <si>
    <t>아임플치과의원</t>
    <phoneticPr fontId="3" type="noConversion"/>
  </si>
  <si>
    <t>Retail</t>
    <phoneticPr fontId="3" type="noConversion"/>
  </si>
  <si>
    <t>해온한의원</t>
    <phoneticPr fontId="3" type="noConversion"/>
  </si>
  <si>
    <t>델리아띠</t>
    <phoneticPr fontId="3" type="noConversion"/>
  </si>
  <si>
    <t>Retail</t>
    <phoneticPr fontId="3" type="noConversion"/>
  </si>
  <si>
    <t>라인업의원</t>
    <phoneticPr fontId="3" type="noConversion"/>
  </si>
  <si>
    <t>PM Office</t>
    <phoneticPr fontId="3" type="noConversion"/>
  </si>
  <si>
    <t>공실</t>
    <phoneticPr fontId="3" type="noConversion"/>
  </si>
  <si>
    <t>공실</t>
    <phoneticPr fontId="3" type="noConversion"/>
  </si>
  <si>
    <t>Total</t>
    <phoneticPr fontId="3" type="noConversion"/>
  </si>
  <si>
    <t>임대차 계약별 분할 예정</t>
    <phoneticPr fontId="3" type="noConversion"/>
  </si>
  <si>
    <t>삼성카드 면적배분</t>
    <phoneticPr fontId="3" type="noConversion"/>
  </si>
  <si>
    <t>삼카고 면적배분</t>
    <phoneticPr fontId="3" type="noConversion"/>
  </si>
  <si>
    <t>교보</t>
    <phoneticPr fontId="3" type="noConversion"/>
  </si>
  <si>
    <t>한화생명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</si>
</sst>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1" formatCode="_-* #,##0_-;\-* #,##0_-;_-* &quot;-&quot;_-;_-@_-"/>
    <numFmt numFmtId="43" formatCode="_-* #,##0.00_-;\-* #,##0.00_-;_-* &quot;-&quot;??_-;_-@_-"/>
    <numFmt numFmtId="176" formatCode="#,##0.00\ &quot;㎡&quot;"/>
    <numFmt numFmtId="177" formatCode="0.00\ %"/>
    <numFmt numFmtId="178" formatCode="#0.00\ &quot;년&quot;"/>
    <numFmt numFmtId="179" formatCode="_-* #,##0.00_-;\-* #,##0.00_-;_-* &quot;-&quot;_-;_-@_-"/>
    <numFmt numFmtId="180" formatCode="0.0%"/>
    <numFmt numFmtId="181" formatCode="#.0&quot;년&quot;"/>
    <numFmt numFmtId="182" formatCode="#&quot;개월&quot;"/>
    <numFmt numFmtId="183" formatCode="#.0&quot;개월&quot;"/>
    <numFmt numFmtId="184" formatCode="#.0\ &quot;대&quot;"/>
    <numFmt numFmtId="185" formatCode="#\ &quot;대&quot;"/>
    <numFmt numFmtId="186" formatCode="#\ &quot;일&quot;"/>
    <numFmt numFmtId="187" formatCode="#0.00&quot;개월&quot;"/>
    <numFmt numFmtId="188" formatCode="#.00\ &quot;대&quot;"/>
    <numFmt numFmtId="189" formatCode="0#.0&quot;개월&quot;"/>
    <numFmt numFmtId="190" formatCode="#.00&quot;개월&quot;"/>
    <numFmt numFmtId="191" formatCode="_-* #,##0_-;\-* #,##0_-;_-* &quot;-&quot;??_-;_-@_-"/>
    <numFmt numFmtId="192" formatCode="0.00000000%"/>
  </numFmts>
  <fonts count="3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KB금융 본문체 Light"/>
      <family val="3"/>
      <charset val="129"/>
    </font>
    <font>
      <sz val="8"/>
      <name val="맑은 고딕"/>
      <family val="3"/>
      <charset val="129"/>
      <scheme val="minor"/>
    </font>
    <font>
      <sz val="11"/>
      <color theme="0" tint="-0.249977111117893"/>
      <name val="KB금융 본문체 Light"/>
      <family val="3"/>
      <charset val="129"/>
    </font>
    <font>
      <sz val="11"/>
      <color theme="0" tint="-0.14999847407452621"/>
      <name val="KB금융 본문체 Light"/>
      <family val="3"/>
      <charset val="129"/>
    </font>
    <font>
      <b/>
      <sz val="21"/>
      <name val="KB금융 제목체 Bold"/>
      <family val="3"/>
      <charset val="129"/>
    </font>
    <font>
      <b/>
      <sz val="16"/>
      <name val="KB금융 본문체 Light"/>
      <family val="3"/>
      <charset val="129"/>
    </font>
    <font>
      <sz val="11"/>
      <name val="KB금융 본문체 Light"/>
      <family val="3"/>
      <charset val="129"/>
    </font>
    <font>
      <b/>
      <sz val="11"/>
      <color theme="1"/>
      <name val="KB금융 본문체 Light"/>
      <family val="3"/>
      <charset val="129"/>
    </font>
    <font>
      <sz val="11"/>
      <color rgb="FF0000FF"/>
      <name val="KB금융 본문체 Light"/>
      <family val="3"/>
      <charset val="129"/>
    </font>
    <font>
      <b/>
      <sz val="11"/>
      <name val="KB금융 본문체 Light"/>
      <family val="3"/>
      <charset val="129"/>
    </font>
    <font>
      <b/>
      <sz val="14"/>
      <color theme="1"/>
      <name val="KB금융 본문체 Light"/>
      <family val="3"/>
      <charset val="129"/>
    </font>
    <font>
      <b/>
      <sz val="10"/>
      <name val="KB금융 본문체 Light"/>
      <family val="3"/>
      <charset val="129"/>
    </font>
    <font>
      <b/>
      <sz val="10"/>
      <color theme="1"/>
      <name val="KB금융 본문체 Light"/>
      <family val="3"/>
      <charset val="129"/>
    </font>
    <font>
      <b/>
      <sz val="12"/>
      <name val="KB금융 제목체 Bold"/>
      <family val="3"/>
      <charset val="129"/>
    </font>
    <font>
      <b/>
      <sz val="12"/>
      <name val="KB금융 본문체 Light"/>
      <family val="3"/>
      <charset val="129"/>
    </font>
    <font>
      <b/>
      <sz val="14"/>
      <color theme="1"/>
      <name val="KB금융 제목체 Bold"/>
      <family val="3"/>
      <charset val="129"/>
    </font>
    <font>
      <b/>
      <sz val="11"/>
      <color rgb="FF0000FF"/>
      <name val="KB금융 본문체 Light"/>
      <family val="3"/>
      <charset val="129"/>
    </font>
    <font>
      <strike/>
      <sz val="11"/>
      <color theme="1"/>
      <name val="KB금융 본문체 Light"/>
      <family val="3"/>
      <charset val="129"/>
    </font>
    <font>
      <b/>
      <sz val="14"/>
      <name val="KB금융 본문체 Light"/>
      <family val="3"/>
      <charset val="129"/>
    </font>
    <font>
      <b/>
      <sz val="11"/>
      <name val="KB금융 제목체 Bold"/>
      <family val="3"/>
      <charset val="129"/>
    </font>
    <font>
      <b/>
      <sz val="21"/>
      <color theme="1"/>
      <name val="KB금융 본문체 Light"/>
      <family val="3"/>
      <charset val="129"/>
    </font>
    <font>
      <sz val="9"/>
      <color theme="1"/>
      <name val="KB금융 본문체 Light"/>
      <family val="3"/>
      <charset val="129"/>
    </font>
    <font>
      <sz val="12"/>
      <color rgb="FF0000FF"/>
      <name val="KB금융 본문체 Light"/>
      <family val="3"/>
      <charset val="129"/>
    </font>
    <font>
      <b/>
      <sz val="12"/>
      <color theme="1"/>
      <name val="KB금융 본문체 Light"/>
      <family val="3"/>
      <charset val="129"/>
    </font>
    <font>
      <sz val="12"/>
      <color theme="1"/>
      <name val="KB금융 본문체 Light"/>
      <family val="3"/>
      <charset val="129"/>
    </font>
    <font>
      <sz val="12"/>
      <name val="KB금융 본문체 Light"/>
      <family val="3"/>
      <charset val="129"/>
    </font>
    <font>
      <b/>
      <sz val="12"/>
      <color rgb="FF0000FF"/>
      <name val="KB금융 본문체 Light"/>
      <family val="3"/>
      <charset val="129"/>
    </font>
    <font>
      <sz val="10"/>
      <color theme="1"/>
      <name val="KB금융 본문체 Light"/>
      <family val="3"/>
      <charset val="129"/>
    </font>
    <font>
      <sz val="10"/>
      <color rgb="FF0000FF"/>
      <name val="KB금융 본문체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E6A0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0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NumberFormat="1" applyFont="1" applyFill="1"/>
    <xf numFmtId="14" fontId="5" fillId="2" borderId="0" xfId="0" applyNumberFormat="1" applyFont="1" applyFill="1"/>
    <xf numFmtId="0" fontId="5" fillId="2" borderId="0" xfId="0" applyFont="1" applyFill="1" applyAlignment="1">
      <alignment horizontal="center" vertical="center"/>
    </xf>
    <xf numFmtId="41" fontId="2" fillId="2" borderId="0" xfId="1" applyFont="1" applyFill="1" applyAlignme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/>
    <xf numFmtId="41" fontId="8" fillId="3" borderId="0" xfId="1" applyFont="1" applyFill="1" applyAlignment="1"/>
    <xf numFmtId="41" fontId="2" fillId="2" borderId="0" xfId="0" applyNumberFormat="1" applyFont="1" applyFill="1"/>
    <xf numFmtId="0" fontId="2" fillId="4" borderId="1" xfId="0" applyFont="1" applyFill="1" applyBorder="1"/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9" fillId="5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center" vertical="center"/>
    </xf>
    <xf numFmtId="43" fontId="2" fillId="2" borderId="0" xfId="0" applyNumberFormat="1" applyFont="1" applyFill="1"/>
    <xf numFmtId="9" fontId="2" fillId="2" borderId="0" xfId="0" applyNumberFormat="1" applyFont="1" applyFill="1"/>
    <xf numFmtId="0" fontId="11" fillId="2" borderId="0" xfId="0" applyFont="1" applyFill="1" applyBorder="1" applyAlignment="1">
      <alignment horizontal="center"/>
    </xf>
    <xf numFmtId="41" fontId="10" fillId="2" borderId="0" xfId="1" applyFont="1" applyFill="1" applyAlignment="1"/>
    <xf numFmtId="0" fontId="11" fillId="5" borderId="4" xfId="0" applyFont="1" applyFill="1" applyBorder="1" applyAlignment="1">
      <alignment horizontal="center" vertical="center"/>
    </xf>
    <xf numFmtId="41" fontId="2" fillId="2" borderId="4" xfId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Continuous" vertical="center"/>
    </xf>
    <xf numFmtId="0" fontId="9" fillId="4" borderId="0" xfId="0" applyFont="1" applyFill="1" applyBorder="1" applyAlignment="1">
      <alignment horizontal="centerContinuous" vertical="center"/>
    </xf>
    <xf numFmtId="0" fontId="9" fillId="4" borderId="6" xfId="0" applyFont="1" applyFill="1" applyBorder="1" applyAlignment="1">
      <alignment horizontal="centerContinuous" vertical="center"/>
    </xf>
    <xf numFmtId="177" fontId="2" fillId="2" borderId="4" xfId="2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9" fontId="2" fillId="2" borderId="0" xfId="1" applyNumberFormat="1" applyFont="1" applyFill="1" applyAlignment="1"/>
    <xf numFmtId="0" fontId="11" fillId="2" borderId="0" xfId="0" applyFont="1" applyFill="1" applyBorder="1" applyAlignment="1">
      <alignment horizontal="center" vertical="center"/>
    </xf>
    <xf numFmtId="41" fontId="2" fillId="2" borderId="0" xfId="1" applyFont="1" applyFill="1" applyBorder="1" applyAlignment="1">
      <alignment horizontal="center" vertical="center"/>
    </xf>
    <xf numFmtId="0" fontId="2" fillId="4" borderId="7" xfId="0" applyFont="1" applyFill="1" applyBorder="1"/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41" fontId="2" fillId="2" borderId="4" xfId="2" applyNumberFormat="1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178" fontId="2" fillId="2" borderId="4" xfId="2" applyNumberFormat="1" applyFont="1" applyFill="1" applyBorder="1" applyAlignment="1">
      <alignment horizontal="center" vertical="center"/>
    </xf>
    <xf numFmtId="177" fontId="2" fillId="2" borderId="0" xfId="2" applyNumberFormat="1" applyFont="1" applyFill="1" applyBorder="1" applyAlignment="1">
      <alignment horizontal="center" vertical="center"/>
    </xf>
    <xf numFmtId="41" fontId="2" fillId="2" borderId="0" xfId="1" applyFont="1" applyFill="1" applyBorder="1" applyAlignment="1"/>
    <xf numFmtId="0" fontId="9" fillId="6" borderId="0" xfId="0" applyFont="1" applyFill="1" applyAlignment="1">
      <alignment horizontal="centerContinuous"/>
    </xf>
    <xf numFmtId="0" fontId="15" fillId="5" borderId="10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Continuous" vertical="center"/>
    </xf>
    <xf numFmtId="0" fontId="15" fillId="5" borderId="11" xfId="0" applyFont="1" applyFill="1" applyBorder="1" applyAlignment="1">
      <alignment horizontal="centerContinuous" vertical="center"/>
    </xf>
    <xf numFmtId="0" fontId="15" fillId="5" borderId="10" xfId="0" applyFont="1" applyFill="1" applyBorder="1" applyAlignment="1">
      <alignment horizontal="center" vertical="center" wrapText="1"/>
    </xf>
    <xf numFmtId="41" fontId="15" fillId="5" borderId="4" xfId="1" applyFont="1" applyFill="1" applyBorder="1" applyAlignment="1">
      <alignment horizontal="centerContinuous" vertical="center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Continuous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41" fontId="15" fillId="5" borderId="4" xfId="1" applyFont="1" applyFill="1" applyBorder="1" applyAlignment="1">
      <alignment horizontal="center" vertical="center" wrapText="1"/>
    </xf>
    <xf numFmtId="41" fontId="15" fillId="5" borderId="4" xfId="1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Continuous" vertical="center"/>
    </xf>
    <xf numFmtId="0" fontId="2" fillId="2" borderId="4" xfId="0" applyFont="1" applyFill="1" applyBorder="1" applyAlignment="1">
      <alignment horizontal="center" vertical="center" wrapText="1"/>
    </xf>
    <xf numFmtId="179" fontId="10" fillId="2" borderId="4" xfId="1" applyNumberFormat="1" applyFont="1" applyFill="1" applyBorder="1" applyAlignment="1">
      <alignment horizontal="right" vertical="center"/>
    </xf>
    <xf numFmtId="179" fontId="2" fillId="2" borderId="4" xfId="1" applyNumberFormat="1" applyFont="1" applyFill="1" applyBorder="1" applyAlignment="1">
      <alignment vertical="center"/>
    </xf>
    <xf numFmtId="179" fontId="10" fillId="2" borderId="4" xfId="1" applyNumberFormat="1" applyFont="1" applyFill="1" applyBorder="1" applyAlignment="1">
      <alignment vertical="center"/>
    </xf>
    <xf numFmtId="180" fontId="2" fillId="2" borderId="4" xfId="2" applyNumberFormat="1" applyFont="1" applyFill="1" applyBorder="1" applyAlignment="1">
      <alignment vertical="center"/>
    </xf>
    <xf numFmtId="181" fontId="2" fillId="2" borderId="4" xfId="0" applyNumberFormat="1" applyFont="1" applyFill="1" applyBorder="1" applyAlignment="1">
      <alignment vertical="center"/>
    </xf>
    <xf numFmtId="182" fontId="2" fillId="2" borderId="4" xfId="0" applyNumberFormat="1" applyFont="1" applyFill="1" applyBorder="1" applyAlignment="1">
      <alignment horizontal="center" vertical="center"/>
    </xf>
    <xf numFmtId="182" fontId="2" fillId="2" borderId="4" xfId="0" applyNumberFormat="1" applyFont="1" applyFill="1" applyBorder="1" applyAlignment="1">
      <alignment vertical="center"/>
    </xf>
    <xf numFmtId="178" fontId="2" fillId="2" borderId="4" xfId="1" applyNumberFormat="1" applyFont="1" applyFill="1" applyBorder="1" applyAlignment="1">
      <alignment vertical="center"/>
    </xf>
    <xf numFmtId="182" fontId="10" fillId="2" borderId="4" xfId="0" applyNumberFormat="1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83" fontId="10" fillId="2" borderId="4" xfId="1" applyNumberFormat="1" applyFont="1" applyFill="1" applyBorder="1" applyAlignment="1">
      <alignment vertical="center"/>
    </xf>
    <xf numFmtId="183" fontId="8" fillId="2" borderId="4" xfId="1" applyNumberFormat="1" applyFont="1" applyFill="1" applyBorder="1" applyAlignment="1">
      <alignment vertical="center"/>
    </xf>
    <xf numFmtId="182" fontId="10" fillId="2" borderId="4" xfId="1" applyNumberFormat="1" applyFont="1" applyFill="1" applyBorder="1" applyAlignment="1">
      <alignment vertical="center"/>
    </xf>
    <xf numFmtId="182" fontId="10" fillId="2" borderId="4" xfId="1" applyNumberFormat="1" applyFont="1" applyFill="1" applyBorder="1" applyAlignment="1">
      <alignment horizontal="center" vertical="center"/>
    </xf>
    <xf numFmtId="41" fontId="2" fillId="2" borderId="4" xfId="1" applyFont="1" applyFill="1" applyBorder="1" applyAlignment="1">
      <alignment vertical="center"/>
    </xf>
    <xf numFmtId="41" fontId="10" fillId="2" borderId="4" xfId="1" applyFont="1" applyFill="1" applyBorder="1" applyAlignment="1">
      <alignment vertical="center"/>
    </xf>
    <xf numFmtId="41" fontId="8" fillId="2" borderId="4" xfId="1" applyFont="1" applyFill="1" applyBorder="1" applyAlignment="1">
      <alignment vertical="center"/>
    </xf>
    <xf numFmtId="41" fontId="2" fillId="2" borderId="14" xfId="1" applyFont="1" applyFill="1" applyBorder="1" applyAlignment="1">
      <alignment vertical="center"/>
    </xf>
    <xf numFmtId="184" fontId="2" fillId="2" borderId="4" xfId="1" applyNumberFormat="1" applyFont="1" applyFill="1" applyBorder="1" applyAlignment="1">
      <alignment vertical="center"/>
    </xf>
    <xf numFmtId="185" fontId="10" fillId="2" borderId="4" xfId="1" applyNumberFormat="1" applyFont="1" applyFill="1" applyBorder="1" applyAlignment="1">
      <alignment vertical="center"/>
    </xf>
    <xf numFmtId="41" fontId="2" fillId="2" borderId="4" xfId="1" applyFont="1" applyFill="1" applyBorder="1" applyAlignment="1">
      <alignment horizontal="center" vertical="center" wrapText="1"/>
    </xf>
    <xf numFmtId="14" fontId="10" fillId="2" borderId="4" xfId="2" applyNumberFormat="1" applyFont="1" applyFill="1" applyBorder="1" applyAlignment="1">
      <alignment horizontal="center" vertical="center"/>
    </xf>
    <xf numFmtId="14" fontId="8" fillId="2" borderId="4" xfId="2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wrapText="1"/>
    </xf>
    <xf numFmtId="9" fontId="10" fillId="2" borderId="4" xfId="2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 wrapText="1"/>
    </xf>
    <xf numFmtId="186" fontId="10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/>
    <xf numFmtId="0" fontId="10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184" fontId="10" fillId="2" borderId="4" xfId="1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82" fontId="10" fillId="2" borderId="4" xfId="0" applyNumberFormat="1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41" fontId="10" fillId="2" borderId="0" xfId="1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Continuous" vertical="center"/>
    </xf>
    <xf numFmtId="179" fontId="8" fillId="2" borderId="4" xfId="1" applyNumberFormat="1" applyFont="1" applyFill="1" applyBorder="1" applyAlignment="1">
      <alignment vertical="center"/>
    </xf>
    <xf numFmtId="180" fontId="8" fillId="2" borderId="4" xfId="2" applyNumberFormat="1" applyFont="1" applyFill="1" applyBorder="1" applyAlignment="1">
      <alignment vertical="center"/>
    </xf>
    <xf numFmtId="181" fontId="8" fillId="2" borderId="4" xfId="0" applyNumberFormat="1" applyFont="1" applyFill="1" applyBorder="1" applyAlignment="1">
      <alignment vertical="center"/>
    </xf>
    <xf numFmtId="182" fontId="8" fillId="2" borderId="4" xfId="0" applyNumberFormat="1" applyFont="1" applyFill="1" applyBorder="1" applyAlignment="1">
      <alignment horizontal="center" vertical="center"/>
    </xf>
    <xf numFmtId="182" fontId="8" fillId="2" borderId="4" xfId="0" applyNumberFormat="1" applyFont="1" applyFill="1" applyBorder="1" applyAlignment="1">
      <alignment vertical="center"/>
    </xf>
    <xf numFmtId="14" fontId="8" fillId="2" borderId="4" xfId="0" applyNumberFormat="1" applyFont="1" applyFill="1" applyBorder="1" applyAlignment="1">
      <alignment horizontal="center" vertical="center"/>
    </xf>
    <xf numFmtId="187" fontId="10" fillId="2" borderId="4" xfId="1" applyNumberFormat="1" applyFont="1" applyFill="1" applyBorder="1" applyAlignment="1">
      <alignment vertical="center"/>
    </xf>
    <xf numFmtId="41" fontId="8" fillId="2" borderId="14" xfId="1" applyFont="1" applyFill="1" applyBorder="1" applyAlignment="1">
      <alignment vertical="center"/>
    </xf>
    <xf numFmtId="184" fontId="8" fillId="2" borderId="4" xfId="1" applyNumberFormat="1" applyFont="1" applyFill="1" applyBorder="1" applyAlignment="1">
      <alignment vertical="center"/>
    </xf>
    <xf numFmtId="0" fontId="8" fillId="2" borderId="4" xfId="0" applyFont="1" applyFill="1" applyBorder="1" applyAlignment="1">
      <alignment horizontal="left" vertical="center"/>
    </xf>
    <xf numFmtId="0" fontId="8" fillId="2" borderId="4" xfId="0" applyFont="1" applyFill="1" applyBorder="1"/>
    <xf numFmtId="0" fontId="9" fillId="5" borderId="1" xfId="0" applyFont="1" applyFill="1" applyBorder="1" applyAlignment="1">
      <alignment horizontal="centerContinuous" vertical="center"/>
    </xf>
    <xf numFmtId="0" fontId="9" fillId="5" borderId="2" xfId="0" applyFont="1" applyFill="1" applyBorder="1" applyAlignment="1">
      <alignment horizontal="centerContinuous" vertical="center"/>
    </xf>
    <xf numFmtId="0" fontId="9" fillId="5" borderId="3" xfId="0" applyFont="1" applyFill="1" applyBorder="1" applyAlignment="1">
      <alignment horizontal="centerContinuous" vertical="center"/>
    </xf>
    <xf numFmtId="0" fontId="9" fillId="5" borderId="4" xfId="0" applyFont="1" applyFill="1" applyBorder="1" applyAlignment="1">
      <alignment horizontal="center" vertical="center" wrapText="1"/>
    </xf>
    <xf numFmtId="179" fontId="11" fillId="5" borderId="4" xfId="1" applyNumberFormat="1" applyFont="1" applyFill="1" applyBorder="1" applyAlignment="1">
      <alignment horizontal="right" vertical="center"/>
    </xf>
    <xf numFmtId="180" fontId="11" fillId="5" borderId="4" xfId="2" applyNumberFormat="1" applyFont="1" applyFill="1" applyBorder="1" applyAlignment="1">
      <alignment horizontal="right" vertical="center"/>
    </xf>
    <xf numFmtId="14" fontId="18" fillId="5" borderId="4" xfId="0" applyNumberFormat="1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181" fontId="9" fillId="5" borderId="4" xfId="0" applyNumberFormat="1" applyFont="1" applyFill="1" applyBorder="1" applyAlignment="1">
      <alignment vertical="center"/>
    </xf>
    <xf numFmtId="182" fontId="9" fillId="5" borderId="4" xfId="0" applyNumberFormat="1" applyFont="1" applyFill="1" applyBorder="1" applyAlignment="1">
      <alignment horizontal="center" vertical="center"/>
    </xf>
    <xf numFmtId="182" fontId="9" fillId="5" borderId="4" xfId="0" applyNumberFormat="1" applyFont="1" applyFill="1" applyBorder="1" applyAlignment="1">
      <alignment vertical="center"/>
    </xf>
    <xf numFmtId="178" fontId="9" fillId="5" borderId="4" xfId="1" applyNumberFormat="1" applyFont="1" applyFill="1" applyBorder="1" applyAlignment="1">
      <alignment vertical="center"/>
    </xf>
    <xf numFmtId="182" fontId="18" fillId="5" borderId="4" xfId="0" applyNumberFormat="1" applyFont="1" applyFill="1" applyBorder="1" applyAlignment="1">
      <alignment vertical="center"/>
    </xf>
    <xf numFmtId="14" fontId="9" fillId="5" borderId="4" xfId="0" applyNumberFormat="1" applyFont="1" applyFill="1" applyBorder="1" applyAlignment="1">
      <alignment horizontal="center" vertical="center"/>
    </xf>
    <xf numFmtId="183" fontId="9" fillId="5" borderId="4" xfId="1" applyNumberFormat="1" applyFont="1" applyFill="1" applyBorder="1" applyAlignment="1">
      <alignment vertical="center"/>
    </xf>
    <xf numFmtId="182" fontId="18" fillId="5" borderId="4" xfId="1" applyNumberFormat="1" applyFont="1" applyFill="1" applyBorder="1" applyAlignment="1">
      <alignment vertical="center"/>
    </xf>
    <xf numFmtId="182" fontId="18" fillId="5" borderId="4" xfId="1" applyNumberFormat="1" applyFont="1" applyFill="1" applyBorder="1" applyAlignment="1">
      <alignment horizontal="center" vertical="center"/>
    </xf>
    <xf numFmtId="41" fontId="9" fillId="5" borderId="4" xfId="1" applyFont="1" applyFill="1" applyBorder="1" applyAlignment="1">
      <alignment vertical="center"/>
    </xf>
    <xf numFmtId="41" fontId="18" fillId="5" borderId="4" xfId="1" applyFont="1" applyFill="1" applyBorder="1" applyAlignment="1">
      <alignment vertical="center"/>
    </xf>
    <xf numFmtId="41" fontId="11" fillId="5" borderId="4" xfId="1" applyFont="1" applyFill="1" applyBorder="1" applyAlignment="1">
      <alignment vertical="center"/>
    </xf>
    <xf numFmtId="188" fontId="11" fillId="5" borderId="4" xfId="1" applyNumberFormat="1" applyFont="1" applyFill="1" applyBorder="1" applyAlignment="1">
      <alignment vertical="center"/>
    </xf>
    <xf numFmtId="14" fontId="18" fillId="5" borderId="4" xfId="2" applyNumberFormat="1" applyFont="1" applyFill="1" applyBorder="1" applyAlignment="1">
      <alignment horizontal="center" vertical="center"/>
    </xf>
    <xf numFmtId="14" fontId="11" fillId="5" borderId="4" xfId="2" applyNumberFormat="1" applyFont="1" applyFill="1" applyBorder="1" applyAlignment="1">
      <alignment horizontal="center" vertical="center"/>
    </xf>
    <xf numFmtId="0" fontId="9" fillId="5" borderId="4" xfId="0" applyFont="1" applyFill="1" applyBorder="1"/>
    <xf numFmtId="9" fontId="18" fillId="5" borderId="4" xfId="2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left" vertical="center"/>
    </xf>
    <xf numFmtId="186" fontId="18" fillId="5" borderId="4" xfId="0" applyNumberFormat="1" applyFont="1" applyFill="1" applyBorder="1"/>
    <xf numFmtId="0" fontId="18" fillId="2" borderId="0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Continuous" vertical="center"/>
    </xf>
    <xf numFmtId="0" fontId="9" fillId="5" borderId="0" xfId="0" applyFont="1" applyFill="1" applyBorder="1" applyAlignment="1">
      <alignment horizontal="centerContinuous" vertical="center"/>
    </xf>
    <xf numFmtId="0" fontId="9" fillId="5" borderId="6" xfId="0" applyFont="1" applyFill="1" applyBorder="1" applyAlignment="1">
      <alignment horizontal="centerContinuous" vertical="center"/>
    </xf>
    <xf numFmtId="41" fontId="9" fillId="5" borderId="14" xfId="1" applyFont="1" applyFill="1" applyBorder="1" applyAlignment="1">
      <alignment vertical="center"/>
    </xf>
    <xf numFmtId="184" fontId="9" fillId="5" borderId="4" xfId="1" applyNumberFormat="1" applyFont="1" applyFill="1" applyBorder="1" applyAlignment="1">
      <alignment vertical="center"/>
    </xf>
    <xf numFmtId="185" fontId="18" fillId="5" borderId="4" xfId="1" applyNumberFormat="1" applyFont="1" applyFill="1" applyBorder="1" applyAlignment="1">
      <alignment vertical="center"/>
    </xf>
    <xf numFmtId="0" fontId="17" fillId="5" borderId="1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Continuous" vertical="center"/>
    </xf>
    <xf numFmtId="0" fontId="9" fillId="5" borderId="8" xfId="0" applyFont="1" applyFill="1" applyBorder="1" applyAlignment="1">
      <alignment horizontal="centerContinuous" vertical="center"/>
    </xf>
    <xf numFmtId="0" fontId="9" fillId="5" borderId="9" xfId="0" applyFont="1" applyFill="1" applyBorder="1" applyAlignment="1">
      <alignment horizontal="centerContinuous" vertical="center"/>
    </xf>
    <xf numFmtId="0" fontId="2" fillId="2" borderId="13" xfId="0" applyFont="1" applyFill="1" applyBorder="1" applyAlignment="1">
      <alignment horizontal="centerContinuous" vertical="center"/>
    </xf>
    <xf numFmtId="0" fontId="2" fillId="2" borderId="13" xfId="0" applyFont="1" applyFill="1" applyBorder="1" applyAlignment="1">
      <alignment horizontal="center" vertical="center" wrapText="1"/>
    </xf>
    <xf numFmtId="179" fontId="10" fillId="2" borderId="13" xfId="1" applyNumberFormat="1" applyFont="1" applyFill="1" applyBorder="1" applyAlignment="1">
      <alignment horizontal="right" vertical="center"/>
    </xf>
    <xf numFmtId="181" fontId="2" fillId="2" borderId="13" xfId="0" applyNumberFormat="1" applyFont="1" applyFill="1" applyBorder="1" applyAlignment="1">
      <alignment vertical="center"/>
    </xf>
    <xf numFmtId="183" fontId="10" fillId="2" borderId="13" xfId="1" applyNumberFormat="1" applyFont="1" applyFill="1" applyBorder="1" applyAlignment="1">
      <alignment vertical="center"/>
    </xf>
    <xf numFmtId="182" fontId="10" fillId="2" borderId="13" xfId="1" applyNumberFormat="1" applyFont="1" applyFill="1" applyBorder="1" applyAlignment="1">
      <alignment horizontal="center" vertical="center"/>
    </xf>
    <xf numFmtId="41" fontId="2" fillId="2" borderId="13" xfId="1" applyFont="1" applyFill="1" applyBorder="1" applyAlignment="1">
      <alignment vertical="center"/>
    </xf>
    <xf numFmtId="41" fontId="10" fillId="2" borderId="13" xfId="1" applyFont="1" applyFill="1" applyBorder="1" applyAlignment="1">
      <alignment vertical="center"/>
    </xf>
    <xf numFmtId="41" fontId="8" fillId="2" borderId="13" xfId="1" applyFont="1" applyFill="1" applyBorder="1" applyAlignment="1">
      <alignment vertical="center"/>
    </xf>
    <xf numFmtId="41" fontId="2" fillId="2" borderId="7" xfId="1" applyFont="1" applyFill="1" applyBorder="1" applyAlignment="1">
      <alignment vertical="center"/>
    </xf>
    <xf numFmtId="184" fontId="10" fillId="2" borderId="13" xfId="1" applyNumberFormat="1" applyFont="1" applyFill="1" applyBorder="1" applyAlignment="1">
      <alignment vertical="center"/>
    </xf>
    <xf numFmtId="14" fontId="10" fillId="2" borderId="13" xfId="0" applyNumberFormat="1" applyFont="1" applyFill="1" applyBorder="1" applyAlignment="1">
      <alignment horizontal="center" vertical="center"/>
    </xf>
    <xf numFmtId="185" fontId="10" fillId="2" borderId="13" xfId="1" applyNumberFormat="1" applyFont="1" applyFill="1" applyBorder="1" applyAlignment="1">
      <alignment vertical="center"/>
    </xf>
    <xf numFmtId="183" fontId="2" fillId="2" borderId="4" xfId="1" applyNumberFormat="1" applyFont="1" applyFill="1" applyBorder="1" applyAlignment="1">
      <alignment vertical="center"/>
    </xf>
    <xf numFmtId="182" fontId="10" fillId="2" borderId="4" xfId="1" applyNumberFormat="1" applyFont="1" applyFill="1" applyBorder="1" applyAlignment="1">
      <alignment horizontal="right" vertical="center"/>
    </xf>
    <xf numFmtId="41" fontId="2" fillId="2" borderId="4" xfId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9" fontId="11" fillId="5" borderId="4" xfId="1" applyNumberFormat="1" applyFont="1" applyFill="1" applyBorder="1" applyAlignment="1">
      <alignment horizontal="center" vertical="center"/>
    </xf>
    <xf numFmtId="179" fontId="2" fillId="2" borderId="13" xfId="1" applyNumberFormat="1" applyFont="1" applyFill="1" applyBorder="1" applyAlignment="1">
      <alignment vertical="center"/>
    </xf>
    <xf numFmtId="179" fontId="10" fillId="2" borderId="13" xfId="1" applyNumberFormat="1" applyFont="1" applyFill="1" applyBorder="1" applyAlignment="1">
      <alignment vertical="center"/>
    </xf>
    <xf numFmtId="180" fontId="2" fillId="2" borderId="13" xfId="2" applyNumberFormat="1" applyFont="1" applyFill="1" applyBorder="1" applyAlignment="1">
      <alignment vertical="center"/>
    </xf>
    <xf numFmtId="182" fontId="2" fillId="2" borderId="13" xfId="0" applyNumberFormat="1" applyFont="1" applyFill="1" applyBorder="1" applyAlignment="1">
      <alignment horizontal="center" vertical="center"/>
    </xf>
    <xf numFmtId="182" fontId="2" fillId="2" borderId="13" xfId="0" applyNumberFormat="1" applyFont="1" applyFill="1" applyBorder="1" applyAlignment="1">
      <alignment vertical="center"/>
    </xf>
    <xf numFmtId="178" fontId="2" fillId="2" borderId="13" xfId="1" applyNumberFormat="1" applyFont="1" applyFill="1" applyBorder="1" applyAlignment="1">
      <alignment vertical="center"/>
    </xf>
    <xf numFmtId="182" fontId="10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83" fontId="2" fillId="2" borderId="13" xfId="1" applyNumberFormat="1" applyFont="1" applyFill="1" applyBorder="1" applyAlignment="1">
      <alignment vertical="center"/>
    </xf>
    <xf numFmtId="182" fontId="10" fillId="2" borderId="13" xfId="1" applyNumberFormat="1" applyFont="1" applyFill="1" applyBorder="1" applyAlignment="1">
      <alignment vertical="center"/>
    </xf>
    <xf numFmtId="184" fontId="2" fillId="2" borderId="13" xfId="1" applyNumberFormat="1" applyFont="1" applyFill="1" applyBorder="1" applyAlignment="1">
      <alignment vertical="center"/>
    </xf>
    <xf numFmtId="41" fontId="2" fillId="2" borderId="13" xfId="1" applyFont="1" applyFill="1" applyBorder="1" applyAlignment="1">
      <alignment horizontal="center" vertical="center" wrapText="1"/>
    </xf>
    <xf numFmtId="14" fontId="10" fillId="2" borderId="13" xfId="2" applyNumberFormat="1" applyFont="1" applyFill="1" applyBorder="1" applyAlignment="1">
      <alignment horizontal="center" vertical="center"/>
    </xf>
    <xf numFmtId="14" fontId="8" fillId="2" borderId="13" xfId="2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wrapText="1"/>
    </xf>
    <xf numFmtId="9" fontId="10" fillId="2" borderId="13" xfId="2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center" wrapText="1"/>
    </xf>
    <xf numFmtId="186" fontId="10" fillId="2" borderId="13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wrapText="1"/>
    </xf>
    <xf numFmtId="0" fontId="10" fillId="2" borderId="13" xfId="0" applyFont="1" applyFill="1" applyBorder="1" applyAlignment="1">
      <alignment horizontal="center" vertical="center"/>
    </xf>
    <xf numFmtId="189" fontId="10" fillId="2" borderId="4" xfId="1" applyNumberFormat="1" applyFont="1" applyFill="1" applyBorder="1" applyAlignment="1">
      <alignment vertical="center"/>
    </xf>
    <xf numFmtId="0" fontId="2" fillId="7" borderId="4" xfId="0" applyFont="1" applyFill="1" applyBorder="1" applyAlignment="1">
      <alignment horizontal="centerContinuous" vertical="center"/>
    </xf>
    <xf numFmtId="0" fontId="2" fillId="7" borderId="4" xfId="0" applyFont="1" applyFill="1" applyBorder="1" applyAlignment="1">
      <alignment horizontal="center" vertical="center" wrapText="1"/>
    </xf>
    <xf numFmtId="179" fontId="10" fillId="7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vertical="center"/>
    </xf>
    <xf numFmtId="179" fontId="10" fillId="7" borderId="4" xfId="1" applyNumberFormat="1" applyFont="1" applyFill="1" applyBorder="1" applyAlignment="1">
      <alignment vertical="center"/>
    </xf>
    <xf numFmtId="180" fontId="2" fillId="7" borderId="4" xfId="2" applyNumberFormat="1" applyFont="1" applyFill="1" applyBorder="1" applyAlignment="1">
      <alignment vertical="center"/>
    </xf>
    <xf numFmtId="14" fontId="10" fillId="7" borderId="4" xfId="0" applyNumberFormat="1" applyFont="1" applyFill="1" applyBorder="1" applyAlignment="1">
      <alignment horizontal="center" vertical="center"/>
    </xf>
    <xf numFmtId="181" fontId="2" fillId="7" borderId="4" xfId="0" applyNumberFormat="1" applyFont="1" applyFill="1" applyBorder="1" applyAlignment="1">
      <alignment vertical="center"/>
    </xf>
    <xf numFmtId="182" fontId="2" fillId="7" borderId="4" xfId="0" applyNumberFormat="1" applyFont="1" applyFill="1" applyBorder="1" applyAlignment="1">
      <alignment horizontal="center" vertical="center"/>
    </xf>
    <xf numFmtId="182" fontId="2" fillId="7" borderId="4" xfId="0" applyNumberFormat="1" applyFont="1" applyFill="1" applyBorder="1" applyAlignment="1">
      <alignment vertical="center"/>
    </xf>
    <xf numFmtId="178" fontId="2" fillId="7" borderId="4" xfId="1" applyNumberFormat="1" applyFont="1" applyFill="1" applyBorder="1" applyAlignment="1">
      <alignment vertical="center"/>
    </xf>
    <xf numFmtId="182" fontId="10" fillId="7" borderId="4" xfId="0" applyNumberFormat="1" applyFont="1" applyFill="1" applyBorder="1" applyAlignment="1">
      <alignment horizontal="center" vertical="center"/>
    </xf>
    <xf numFmtId="14" fontId="2" fillId="7" borderId="4" xfId="0" applyNumberFormat="1" applyFont="1" applyFill="1" applyBorder="1" applyAlignment="1">
      <alignment horizontal="center" vertical="center"/>
    </xf>
    <xf numFmtId="183" fontId="10" fillId="7" borderId="4" xfId="1" applyNumberFormat="1" applyFont="1" applyFill="1" applyBorder="1" applyAlignment="1">
      <alignment vertical="center"/>
    </xf>
    <xf numFmtId="183" fontId="2" fillId="7" borderId="4" xfId="1" applyNumberFormat="1" applyFont="1" applyFill="1" applyBorder="1" applyAlignment="1">
      <alignment vertical="center"/>
    </xf>
    <xf numFmtId="182" fontId="10" fillId="7" borderId="4" xfId="1" applyNumberFormat="1" applyFont="1" applyFill="1" applyBorder="1" applyAlignment="1">
      <alignment vertical="center"/>
    </xf>
    <xf numFmtId="182" fontId="10" fillId="7" borderId="4" xfId="1" applyNumberFormat="1" applyFont="1" applyFill="1" applyBorder="1" applyAlignment="1">
      <alignment horizontal="center" vertical="center"/>
    </xf>
    <xf numFmtId="41" fontId="2" fillId="7" borderId="4" xfId="1" applyFont="1" applyFill="1" applyBorder="1" applyAlignment="1">
      <alignment vertical="center"/>
    </xf>
    <xf numFmtId="41" fontId="10" fillId="7" borderId="4" xfId="1" applyFont="1" applyFill="1" applyBorder="1" applyAlignment="1">
      <alignment vertical="center"/>
    </xf>
    <xf numFmtId="41" fontId="8" fillId="7" borderId="4" xfId="1" applyFont="1" applyFill="1" applyBorder="1" applyAlignment="1">
      <alignment vertical="center"/>
    </xf>
    <xf numFmtId="41" fontId="2" fillId="7" borderId="14" xfId="1" applyFont="1" applyFill="1" applyBorder="1" applyAlignment="1">
      <alignment vertical="center"/>
    </xf>
    <xf numFmtId="184" fontId="2" fillId="7" borderId="4" xfId="1" applyNumberFormat="1" applyFont="1" applyFill="1" applyBorder="1" applyAlignment="1">
      <alignment vertical="center"/>
    </xf>
    <xf numFmtId="185" fontId="10" fillId="7" borderId="4" xfId="1" applyNumberFormat="1" applyFont="1" applyFill="1" applyBorder="1" applyAlignment="1">
      <alignment vertical="center"/>
    </xf>
    <xf numFmtId="14" fontId="10" fillId="7" borderId="4" xfId="2" applyNumberFormat="1" applyFont="1" applyFill="1" applyBorder="1" applyAlignment="1">
      <alignment horizontal="center" vertical="center"/>
    </xf>
    <xf numFmtId="14" fontId="8" fillId="7" borderId="4" xfId="2" applyNumberFormat="1" applyFont="1" applyFill="1" applyBorder="1" applyAlignment="1">
      <alignment horizontal="center" vertical="center"/>
    </xf>
    <xf numFmtId="0" fontId="2" fillId="7" borderId="4" xfId="0" applyFont="1" applyFill="1" applyBorder="1"/>
    <xf numFmtId="9" fontId="10" fillId="7" borderId="4" xfId="2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left" vertical="center"/>
    </xf>
    <xf numFmtId="186" fontId="10" fillId="7" borderId="4" xfId="0" applyNumberFormat="1" applyFont="1" applyFill="1" applyBorder="1"/>
    <xf numFmtId="0" fontId="10" fillId="7" borderId="4" xfId="0" applyFont="1" applyFill="1" applyBorder="1" applyAlignment="1">
      <alignment horizontal="center" vertical="center"/>
    </xf>
    <xf numFmtId="186" fontId="10" fillId="2" borderId="4" xfId="0" applyNumberFormat="1" applyFont="1" applyFill="1" applyBorder="1"/>
    <xf numFmtId="189" fontId="2" fillId="2" borderId="4" xfId="1" applyNumberFormat="1" applyFont="1" applyFill="1" applyBorder="1" applyAlignment="1">
      <alignment vertical="center"/>
    </xf>
    <xf numFmtId="183" fontId="10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Border="1"/>
    <xf numFmtId="190" fontId="10" fillId="2" borderId="4" xfId="1" applyNumberFormat="1" applyFont="1" applyFill="1" applyBorder="1" applyAlignment="1">
      <alignment vertical="center"/>
    </xf>
    <xf numFmtId="183" fontId="10" fillId="2" borderId="4" xfId="1" applyNumberFormat="1" applyFont="1" applyFill="1" applyBorder="1" applyAlignment="1">
      <alignment horizontal="center" vertical="center"/>
    </xf>
    <xf numFmtId="188" fontId="10" fillId="2" borderId="4" xfId="1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9" fillId="5" borderId="3" xfId="0" applyFont="1" applyFill="1" applyBorder="1" applyAlignment="1">
      <alignment vertical="center"/>
    </xf>
    <xf numFmtId="182" fontId="9" fillId="5" borderId="4" xfId="1" applyNumberFormat="1" applyFont="1" applyFill="1" applyBorder="1" applyAlignment="1">
      <alignment vertical="center"/>
    </xf>
    <xf numFmtId="181" fontId="9" fillId="5" borderId="4" xfId="1" applyNumberFormat="1" applyFont="1" applyFill="1" applyBorder="1" applyAlignment="1">
      <alignment vertical="center"/>
    </xf>
    <xf numFmtId="41" fontId="9" fillId="5" borderId="4" xfId="1" applyNumberFormat="1" applyFont="1" applyFill="1" applyBorder="1" applyAlignment="1">
      <alignment vertical="center"/>
    </xf>
    <xf numFmtId="0" fontId="9" fillId="2" borderId="0" xfId="0" applyFont="1" applyFill="1" applyBorder="1"/>
    <xf numFmtId="179" fontId="9" fillId="5" borderId="4" xfId="1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center" vertical="center" wrapText="1"/>
    </xf>
    <xf numFmtId="179" fontId="11" fillId="3" borderId="4" xfId="1" applyNumberFormat="1" applyFont="1" applyFill="1" applyBorder="1" applyAlignment="1">
      <alignment horizontal="right" vertical="center"/>
    </xf>
    <xf numFmtId="180" fontId="11" fillId="3" borderId="4" xfId="2" applyNumberFormat="1" applyFont="1" applyFill="1" applyBorder="1" applyAlignment="1">
      <alignment horizontal="right" vertical="center"/>
    </xf>
    <xf numFmtId="179" fontId="11" fillId="3" borderId="4" xfId="1" applyNumberFormat="1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181" fontId="11" fillId="3" borderId="4" xfId="0" applyNumberFormat="1" applyFont="1" applyFill="1" applyBorder="1" applyAlignment="1">
      <alignment vertical="center"/>
    </xf>
    <xf numFmtId="182" fontId="11" fillId="3" borderId="4" xfId="0" applyNumberFormat="1" applyFont="1" applyFill="1" applyBorder="1" applyAlignment="1">
      <alignment horizontal="center" vertical="center"/>
    </xf>
    <xf numFmtId="182" fontId="11" fillId="3" borderId="4" xfId="0" applyNumberFormat="1" applyFont="1" applyFill="1" applyBorder="1" applyAlignment="1">
      <alignment vertical="center"/>
    </xf>
    <xf numFmtId="178" fontId="9" fillId="3" borderId="4" xfId="1" applyNumberFormat="1" applyFont="1" applyFill="1" applyBorder="1" applyAlignment="1">
      <alignment vertical="center"/>
    </xf>
    <xf numFmtId="182" fontId="11" fillId="3" borderId="4" xfId="1" applyNumberFormat="1" applyFont="1" applyFill="1" applyBorder="1" applyAlignment="1">
      <alignment vertical="center"/>
    </xf>
    <xf numFmtId="181" fontId="11" fillId="3" borderId="4" xfId="1" applyNumberFormat="1" applyFont="1" applyFill="1" applyBorder="1" applyAlignment="1">
      <alignment vertical="center"/>
    </xf>
    <xf numFmtId="41" fontId="11" fillId="3" borderId="4" xfId="1" applyFont="1" applyFill="1" applyBorder="1" applyAlignment="1">
      <alignment vertical="center"/>
    </xf>
    <xf numFmtId="41" fontId="11" fillId="3" borderId="4" xfId="1" applyNumberFormat="1" applyFont="1" applyFill="1" applyBorder="1" applyAlignment="1">
      <alignment horizontal="right" vertical="center"/>
    </xf>
    <xf numFmtId="41" fontId="9" fillId="3" borderId="4" xfId="1" applyFont="1" applyFill="1" applyBorder="1" applyAlignment="1">
      <alignment vertical="center"/>
    </xf>
    <xf numFmtId="184" fontId="11" fillId="3" borderId="4" xfId="1" applyNumberFormat="1" applyFont="1" applyFill="1" applyBorder="1" applyAlignment="1">
      <alignment horizontal="right" vertical="center"/>
    </xf>
    <xf numFmtId="41" fontId="8" fillId="3" borderId="4" xfId="1" applyFont="1" applyFill="1" applyBorder="1" applyAlignment="1">
      <alignment vertical="center"/>
    </xf>
    <xf numFmtId="0" fontId="8" fillId="3" borderId="4" xfId="0" applyFont="1" applyFill="1" applyBorder="1"/>
    <xf numFmtId="0" fontId="8" fillId="3" borderId="14" xfId="0" applyFont="1" applyFill="1" applyBorder="1"/>
    <xf numFmtId="0" fontId="8" fillId="2" borderId="0" xfId="0" applyFont="1" applyFill="1" applyBorder="1"/>
    <xf numFmtId="0" fontId="20" fillId="3" borderId="5" xfId="0" applyFont="1" applyFill="1" applyBorder="1" applyAlignment="1">
      <alignment horizontal="centerContinuous" vertical="center"/>
    </xf>
    <xf numFmtId="0" fontId="11" fillId="3" borderId="0" xfId="0" applyFont="1" applyFill="1" applyBorder="1" applyAlignment="1">
      <alignment horizontal="centerContinuous" vertical="center"/>
    </xf>
    <xf numFmtId="0" fontId="11" fillId="3" borderId="6" xfId="0" applyFont="1" applyFill="1" applyBorder="1" applyAlignment="1">
      <alignment horizontal="centerContinuous" vertical="center"/>
    </xf>
    <xf numFmtId="41" fontId="11" fillId="3" borderId="14" xfId="1" applyFont="1" applyFill="1" applyBorder="1" applyAlignment="1">
      <alignment vertical="center"/>
    </xf>
    <xf numFmtId="0" fontId="11" fillId="3" borderId="7" xfId="0" applyFont="1" applyFill="1" applyBorder="1" applyAlignment="1">
      <alignment vertical="center"/>
    </xf>
    <xf numFmtId="0" fontId="11" fillId="3" borderId="8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184" fontId="18" fillId="3" borderId="4" xfId="1" applyNumberFormat="1" applyFont="1" applyFill="1" applyBorder="1" applyAlignment="1">
      <alignment horizontal="right" vertical="center"/>
    </xf>
    <xf numFmtId="0" fontId="21" fillId="5" borderId="4" xfId="0" applyFont="1" applyFill="1" applyBorder="1" applyAlignment="1">
      <alignment horizontal="center" vertical="center"/>
    </xf>
    <xf numFmtId="179" fontId="8" fillId="2" borderId="4" xfId="1" applyNumberFormat="1" applyFont="1" applyFill="1" applyBorder="1" applyAlignment="1">
      <alignment horizontal="centerContinuous" vertical="center"/>
    </xf>
    <xf numFmtId="9" fontId="8" fillId="2" borderId="4" xfId="2" applyNumberFormat="1" applyFont="1" applyFill="1" applyBorder="1" applyAlignment="1">
      <alignment horizontal="centerContinuous" vertical="center"/>
    </xf>
    <xf numFmtId="182" fontId="8" fillId="2" borderId="4" xfId="1" applyNumberFormat="1" applyFont="1" applyFill="1" applyBorder="1" applyAlignment="1">
      <alignment vertical="center"/>
    </xf>
    <xf numFmtId="181" fontId="8" fillId="2" borderId="4" xfId="1" applyNumberFormat="1" applyFont="1" applyFill="1" applyBorder="1" applyAlignment="1">
      <alignment vertical="center"/>
    </xf>
    <xf numFmtId="0" fontId="11" fillId="5" borderId="4" xfId="0" applyFont="1" applyFill="1" applyBorder="1" applyAlignment="1">
      <alignment horizontal="centerContinuous" vertical="center"/>
    </xf>
    <xf numFmtId="179" fontId="11" fillId="5" borderId="4" xfId="1" applyNumberFormat="1" applyFont="1" applyFill="1" applyBorder="1" applyAlignment="1">
      <alignment horizontal="centerContinuous" vertical="center"/>
    </xf>
    <xf numFmtId="9" fontId="11" fillId="5" borderId="4" xfId="2" applyNumberFormat="1" applyFont="1" applyFill="1" applyBorder="1" applyAlignment="1">
      <alignment horizontal="centerContinuous" vertical="center"/>
    </xf>
    <xf numFmtId="181" fontId="11" fillId="5" borderId="4" xfId="0" applyNumberFormat="1" applyFont="1" applyFill="1" applyBorder="1" applyAlignment="1">
      <alignment vertical="center"/>
    </xf>
    <xf numFmtId="182" fontId="11" fillId="5" borderId="4" xfId="0" applyNumberFormat="1" applyFont="1" applyFill="1" applyBorder="1" applyAlignment="1">
      <alignment horizontal="center" vertical="center"/>
    </xf>
    <xf numFmtId="182" fontId="11" fillId="5" borderId="4" xfId="0" applyNumberFormat="1" applyFont="1" applyFill="1" applyBorder="1" applyAlignment="1">
      <alignment vertical="center"/>
    </xf>
    <xf numFmtId="182" fontId="11" fillId="5" borderId="4" xfId="1" applyNumberFormat="1" applyFont="1" applyFill="1" applyBorder="1" applyAlignment="1">
      <alignment vertical="center"/>
    </xf>
    <xf numFmtId="181" fontId="11" fillId="5" borderId="4" xfId="1" applyNumberFormat="1" applyFont="1" applyFill="1" applyBorder="1" applyAlignment="1">
      <alignment vertical="center"/>
    </xf>
    <xf numFmtId="41" fontId="8" fillId="5" borderId="4" xfId="1" applyFont="1" applyFill="1" applyBorder="1" applyAlignment="1">
      <alignment vertical="center"/>
    </xf>
    <xf numFmtId="0" fontId="8" fillId="5" borderId="4" xfId="0" applyFont="1" applyFill="1" applyBorder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Continuous" vertical="center"/>
    </xf>
    <xf numFmtId="179" fontId="11" fillId="2" borderId="0" xfId="1" applyNumberFormat="1" applyFont="1" applyFill="1" applyBorder="1" applyAlignment="1">
      <alignment horizontal="right" vertical="center"/>
    </xf>
    <xf numFmtId="9" fontId="11" fillId="2" borderId="0" xfId="2" applyNumberFormat="1" applyFont="1" applyFill="1" applyBorder="1" applyAlignment="1">
      <alignment horizontal="right" vertical="center"/>
    </xf>
    <xf numFmtId="179" fontId="11" fillId="2" borderId="0" xfId="1" applyNumberFormat="1" applyFont="1" applyFill="1" applyBorder="1" applyAlignment="1">
      <alignment horizontal="center" vertical="center"/>
    </xf>
    <xf numFmtId="181" fontId="11" fillId="2" borderId="0" xfId="0" applyNumberFormat="1" applyFont="1" applyFill="1" applyBorder="1" applyAlignment="1">
      <alignment vertical="center"/>
    </xf>
    <xf numFmtId="182" fontId="11" fillId="2" borderId="0" xfId="0" applyNumberFormat="1" applyFont="1" applyFill="1" applyBorder="1" applyAlignment="1">
      <alignment horizontal="center" vertical="center"/>
    </xf>
    <xf numFmtId="182" fontId="11" fillId="2" borderId="0" xfId="0" applyNumberFormat="1" applyFont="1" applyFill="1" applyBorder="1" applyAlignment="1">
      <alignment vertical="center"/>
    </xf>
    <xf numFmtId="41" fontId="11" fillId="2" borderId="0" xfId="1" applyFont="1" applyFill="1" applyBorder="1" applyAlignment="1">
      <alignment vertical="center"/>
    </xf>
    <xf numFmtId="41" fontId="8" fillId="2" borderId="0" xfId="1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horizontal="centerContinuous" vertical="center"/>
    </xf>
    <xf numFmtId="179" fontId="11" fillId="8" borderId="0" xfId="1" applyNumberFormat="1" applyFont="1" applyFill="1" applyBorder="1" applyAlignment="1">
      <alignment horizontal="right" vertical="center"/>
    </xf>
    <xf numFmtId="9" fontId="11" fillId="8" borderId="0" xfId="2" applyNumberFormat="1" applyFont="1" applyFill="1" applyBorder="1" applyAlignment="1">
      <alignment horizontal="right" vertical="center"/>
    </xf>
    <xf numFmtId="179" fontId="11" fillId="8" borderId="0" xfId="1" applyNumberFormat="1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181" fontId="11" fillId="8" borderId="0" xfId="0" applyNumberFormat="1" applyFont="1" applyFill="1" applyBorder="1" applyAlignment="1">
      <alignment vertical="center"/>
    </xf>
    <xf numFmtId="182" fontId="11" fillId="8" borderId="0" xfId="0" applyNumberFormat="1" applyFont="1" applyFill="1" applyBorder="1" applyAlignment="1">
      <alignment horizontal="center" vertical="center"/>
    </xf>
    <xf numFmtId="182" fontId="11" fillId="8" borderId="0" xfId="0" applyNumberFormat="1" applyFont="1" applyFill="1" applyBorder="1" applyAlignment="1">
      <alignment vertical="center"/>
    </xf>
    <xf numFmtId="41" fontId="11" fillId="8" borderId="0" xfId="1" applyFont="1" applyFill="1" applyBorder="1" applyAlignment="1">
      <alignment vertical="center"/>
    </xf>
    <xf numFmtId="41" fontId="8" fillId="8" borderId="0" xfId="1" applyFont="1" applyFill="1" applyBorder="1" applyAlignment="1">
      <alignment vertical="center"/>
    </xf>
    <xf numFmtId="0" fontId="8" fillId="8" borderId="0" xfId="0" applyFont="1" applyFill="1" applyBorder="1"/>
    <xf numFmtId="0" fontId="22" fillId="2" borderId="0" xfId="0" applyFont="1" applyFill="1"/>
    <xf numFmtId="179" fontId="10" fillId="2" borderId="0" xfId="1" applyNumberFormat="1" applyFont="1" applyFill="1" applyAlignment="1">
      <alignment horizontal="right" vertical="center"/>
    </xf>
    <xf numFmtId="179" fontId="2" fillId="2" borderId="0" xfId="1" applyNumberFormat="1" applyFont="1" applyFill="1" applyAlignment="1">
      <alignment vertical="center"/>
    </xf>
    <xf numFmtId="179" fontId="10" fillId="2" borderId="0" xfId="1" applyNumberFormat="1" applyFont="1" applyFill="1" applyAlignment="1">
      <alignment vertical="center"/>
    </xf>
    <xf numFmtId="179" fontId="23" fillId="2" borderId="0" xfId="1" applyNumberFormat="1" applyFont="1" applyFill="1" applyAlignment="1">
      <alignment vertical="center"/>
    </xf>
    <xf numFmtId="179" fontId="2" fillId="2" borderId="0" xfId="1" applyNumberFormat="1" applyFont="1" applyFill="1" applyAlignment="1">
      <alignment horizontal="center" vertical="center"/>
    </xf>
    <xf numFmtId="43" fontId="10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43" fontId="10" fillId="2" borderId="0" xfId="0" applyNumberFormat="1" applyFont="1" applyFill="1"/>
    <xf numFmtId="0" fontId="10" fillId="2" borderId="0" xfId="0" applyFont="1" applyFill="1"/>
    <xf numFmtId="0" fontId="16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Continuous" vertical="center"/>
    </xf>
    <xf numFmtId="0" fontId="16" fillId="5" borderId="4" xfId="0" applyFont="1" applyFill="1" applyBorder="1" applyAlignment="1">
      <alignment horizontal="centerContinuous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Continuous"/>
    </xf>
    <xf numFmtId="0" fontId="25" fillId="2" borderId="4" xfId="0" applyFont="1" applyFill="1" applyBorder="1" applyAlignment="1">
      <alignment horizontal="centerContinuous" vertical="center"/>
    </xf>
    <xf numFmtId="0" fontId="26" fillId="2" borderId="4" xfId="0" applyFont="1" applyFill="1" applyBorder="1" applyAlignment="1">
      <alignment horizontal="centerContinuous" vertical="center"/>
    </xf>
    <xf numFmtId="41" fontId="24" fillId="2" borderId="4" xfId="1" applyFont="1" applyFill="1" applyBorder="1" applyAlignment="1">
      <alignment horizontal="centerContinuous" vertical="center"/>
    </xf>
    <xf numFmtId="180" fontId="2" fillId="2" borderId="4" xfId="2" applyNumberFormat="1" applyFont="1" applyFill="1" applyBorder="1" applyAlignment="1">
      <alignment horizontal="centerContinuous" vertical="center"/>
    </xf>
    <xf numFmtId="180" fontId="2" fillId="2" borderId="0" xfId="2" applyNumberFormat="1" applyFont="1" applyFill="1" applyAlignment="1"/>
    <xf numFmtId="0" fontId="16" fillId="5" borderId="12" xfId="0" applyFont="1" applyFill="1" applyBorder="1" applyAlignment="1">
      <alignment horizontal="center" vertical="center" wrapText="1"/>
    </xf>
    <xf numFmtId="0" fontId="27" fillId="5" borderId="4" xfId="0" applyFont="1" applyFill="1" applyBorder="1"/>
    <xf numFmtId="0" fontId="27" fillId="5" borderId="4" xfId="0" applyFont="1" applyFill="1" applyBorder="1" applyAlignment="1">
      <alignment horizontal="centerContinuous"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41" fontId="16" fillId="5" borderId="4" xfId="1" applyFont="1" applyFill="1" applyBorder="1" applyAlignment="1">
      <alignment horizontal="center" vertical="center" wrapText="1"/>
    </xf>
    <xf numFmtId="41" fontId="16" fillId="5" borderId="4" xfId="1" applyFont="1" applyFill="1" applyBorder="1" applyAlignment="1">
      <alignment horizontal="center" vertical="center"/>
    </xf>
    <xf numFmtId="0" fontId="27" fillId="5" borderId="4" xfId="0" applyFont="1" applyFill="1" applyBorder="1" applyAlignment="1">
      <alignment horizontal="centerContinuous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/>
    </xf>
    <xf numFmtId="0" fontId="26" fillId="2" borderId="4" xfId="0" applyFont="1" applyFill="1" applyBorder="1" applyAlignment="1">
      <alignment vertical="center"/>
    </xf>
    <xf numFmtId="179" fontId="27" fillId="2" borderId="4" xfId="1" applyNumberFormat="1" applyFont="1" applyFill="1" applyBorder="1" applyAlignment="1">
      <alignment horizontal="right" vertical="center"/>
    </xf>
    <xf numFmtId="179" fontId="26" fillId="2" borderId="4" xfId="1" applyNumberFormat="1" applyFont="1" applyFill="1" applyBorder="1" applyAlignment="1">
      <alignment vertical="center"/>
    </xf>
    <xf numFmtId="180" fontId="26" fillId="2" borderId="4" xfId="2" applyNumberFormat="1" applyFont="1" applyFill="1" applyBorder="1" applyAlignment="1">
      <alignment vertical="center"/>
    </xf>
    <xf numFmtId="9" fontId="26" fillId="2" borderId="4" xfId="2" applyFont="1" applyFill="1" applyBorder="1" applyAlignment="1">
      <alignment vertical="center"/>
    </xf>
    <xf numFmtId="179" fontId="26" fillId="2" borderId="4" xfId="1" applyNumberFormat="1" applyFont="1" applyFill="1" applyBorder="1" applyAlignment="1">
      <alignment horizontal="center" vertical="center"/>
    </xf>
    <xf numFmtId="43" fontId="24" fillId="2" borderId="4" xfId="0" applyNumberFormat="1" applyFont="1" applyFill="1" applyBorder="1" applyAlignment="1">
      <alignment horizontal="center" vertical="center"/>
    </xf>
    <xf numFmtId="43" fontId="27" fillId="2" borderId="4" xfId="0" applyNumberFormat="1" applyFont="1" applyFill="1" applyBorder="1" applyAlignment="1">
      <alignment horizontal="center" vertical="center"/>
    </xf>
    <xf numFmtId="10" fontId="26" fillId="2" borderId="4" xfId="2" applyNumberFormat="1" applyFont="1" applyFill="1" applyBorder="1" applyAlignment="1">
      <alignment horizontal="center" vertical="center"/>
    </xf>
    <xf numFmtId="180" fontId="26" fillId="2" borderId="4" xfId="2" applyNumberFormat="1" applyFont="1" applyFill="1" applyBorder="1" applyAlignment="1">
      <alignment horizontal="center" vertical="center"/>
    </xf>
    <xf numFmtId="0" fontId="26" fillId="2" borderId="4" xfId="0" applyFont="1" applyFill="1" applyBorder="1"/>
    <xf numFmtId="0" fontId="24" fillId="2" borderId="4" xfId="0" applyFont="1" applyFill="1" applyBorder="1" applyAlignment="1">
      <alignment horizontal="center" vertical="center"/>
    </xf>
    <xf numFmtId="191" fontId="15" fillId="5" borderId="4" xfId="0" applyNumberFormat="1" applyFont="1" applyFill="1" applyBorder="1" applyAlignment="1">
      <alignment vertical="center"/>
    </xf>
    <xf numFmtId="41" fontId="26" fillId="2" borderId="4" xfId="1" applyFont="1" applyFill="1" applyBorder="1" applyAlignment="1"/>
    <xf numFmtId="0" fontId="15" fillId="5" borderId="4" xfId="0" applyFont="1" applyFill="1" applyBorder="1" applyAlignment="1">
      <alignment vertical="center" wrapText="1"/>
    </xf>
    <xf numFmtId="180" fontId="2" fillId="2" borderId="4" xfId="2" applyNumberFormat="1" applyFont="1" applyFill="1" applyBorder="1" applyAlignment="1"/>
    <xf numFmtId="192" fontId="2" fillId="2" borderId="4" xfId="2" applyNumberFormat="1" applyFont="1" applyFill="1" applyBorder="1" applyAlignment="1"/>
    <xf numFmtId="10" fontId="2" fillId="2" borderId="4" xfId="2" applyNumberFormat="1" applyFont="1" applyFill="1" applyBorder="1" applyAlignment="1"/>
    <xf numFmtId="179" fontId="27" fillId="2" borderId="4" xfId="1" applyNumberFormat="1" applyFont="1" applyFill="1" applyBorder="1" applyAlignment="1">
      <alignment vertical="center"/>
    </xf>
    <xf numFmtId="9" fontId="27" fillId="2" borderId="4" xfId="2" applyFont="1" applyFill="1" applyBorder="1" applyAlignment="1">
      <alignment vertical="center"/>
    </xf>
    <xf numFmtId="0" fontId="26" fillId="2" borderId="4" xfId="0" applyFont="1" applyFill="1" applyBorder="1" applyAlignment="1">
      <alignment horizontal="center" vertical="center"/>
    </xf>
    <xf numFmtId="0" fontId="26" fillId="9" borderId="4" xfId="0" applyFont="1" applyFill="1" applyBorder="1" applyAlignment="1">
      <alignment horizontal="center"/>
    </xf>
    <xf numFmtId="0" fontId="26" fillId="9" borderId="4" xfId="0" applyFont="1" applyFill="1" applyBorder="1" applyAlignment="1">
      <alignment vertical="center"/>
    </xf>
    <xf numFmtId="0" fontId="26" fillId="9" borderId="4" xfId="0" applyFont="1" applyFill="1" applyBorder="1" applyAlignment="1">
      <alignment horizontal="centerContinuous" vertical="center"/>
    </xf>
    <xf numFmtId="179" fontId="27" fillId="9" borderId="4" xfId="1" applyNumberFormat="1" applyFont="1" applyFill="1" applyBorder="1" applyAlignment="1">
      <alignment horizontal="right" vertical="center"/>
    </xf>
    <xf numFmtId="179" fontId="27" fillId="9" borderId="4" xfId="1" applyNumberFormat="1" applyFont="1" applyFill="1" applyBorder="1" applyAlignment="1">
      <alignment vertical="center"/>
    </xf>
    <xf numFmtId="9" fontId="27" fillId="9" borderId="4" xfId="2" applyFont="1" applyFill="1" applyBorder="1" applyAlignment="1">
      <alignment vertical="center"/>
    </xf>
    <xf numFmtId="179" fontId="26" fillId="9" borderId="4" xfId="1" applyNumberFormat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6" fillId="9" borderId="4" xfId="0" applyFont="1" applyFill="1" applyBorder="1"/>
    <xf numFmtId="10" fontId="26" fillId="2" borderId="4" xfId="2" applyNumberFormat="1" applyFont="1" applyFill="1" applyBorder="1" applyAlignment="1">
      <alignment vertical="center"/>
    </xf>
    <xf numFmtId="0" fontId="25" fillId="7" borderId="4" xfId="0" applyFont="1" applyFill="1" applyBorder="1" applyAlignment="1">
      <alignment horizontal="centerContinuous"/>
    </xf>
    <xf numFmtId="0" fontId="25" fillId="7" borderId="4" xfId="0" applyFont="1" applyFill="1" applyBorder="1" applyAlignment="1">
      <alignment horizontal="centerContinuous" vertical="center"/>
    </xf>
    <xf numFmtId="179" fontId="16" fillId="7" borderId="4" xfId="1" applyNumberFormat="1" applyFont="1" applyFill="1" applyBorder="1" applyAlignment="1">
      <alignment horizontal="right" vertical="center"/>
    </xf>
    <xf numFmtId="180" fontId="26" fillId="7" borderId="4" xfId="2" applyNumberFormat="1" applyFont="1" applyFill="1" applyBorder="1" applyAlignment="1">
      <alignment vertical="center"/>
    </xf>
    <xf numFmtId="9" fontId="27" fillId="7" borderId="4" xfId="2" applyFont="1" applyFill="1" applyBorder="1" applyAlignment="1">
      <alignment vertical="center"/>
    </xf>
    <xf numFmtId="179" fontId="25" fillId="7" borderId="4" xfId="1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10" fontId="25" fillId="7" borderId="4" xfId="0" applyNumberFormat="1" applyFont="1" applyFill="1" applyBorder="1"/>
    <xf numFmtId="0" fontId="25" fillId="7" borderId="4" xfId="0" applyFont="1" applyFill="1" applyBorder="1"/>
    <xf numFmtId="0" fontId="26" fillId="7" borderId="4" xfId="0" applyFont="1" applyFill="1" applyBorder="1"/>
    <xf numFmtId="191" fontId="25" fillId="7" borderId="4" xfId="0" applyNumberFormat="1" applyFont="1" applyFill="1" applyBorder="1"/>
    <xf numFmtId="41" fontId="26" fillId="7" borderId="4" xfId="1" applyFont="1" applyFill="1" applyBorder="1" applyAlignment="1"/>
    <xf numFmtId="179" fontId="25" fillId="7" borderId="4" xfId="0" applyNumberFormat="1" applyFont="1" applyFill="1" applyBorder="1"/>
    <xf numFmtId="179" fontId="8" fillId="2" borderId="0" xfId="1" applyNumberFormat="1" applyFont="1" applyFill="1" applyAlignment="1">
      <alignment horizontal="right" vertical="center"/>
    </xf>
    <xf numFmtId="41" fontId="2" fillId="2" borderId="0" xfId="1" applyFont="1" applyFill="1" applyAlignment="1">
      <alignment vertical="center"/>
    </xf>
    <xf numFmtId="179" fontId="10" fillId="2" borderId="0" xfId="1" applyNumberFormat="1" applyFont="1" applyFill="1" applyBorder="1" applyAlignment="1">
      <alignment horizontal="right" vertical="center"/>
    </xf>
    <xf numFmtId="179" fontId="2" fillId="2" borderId="0" xfId="0" applyNumberFormat="1" applyFont="1" applyFill="1"/>
    <xf numFmtId="0" fontId="2" fillId="2" borderId="0" xfId="1" applyNumberFormat="1" applyFont="1" applyFill="1" applyAlignment="1">
      <alignment vertical="center"/>
    </xf>
    <xf numFmtId="10" fontId="2" fillId="2" borderId="0" xfId="2" applyNumberFormat="1" applyFont="1" applyFill="1" applyAlignment="1">
      <alignment vertical="center"/>
    </xf>
    <xf numFmtId="43" fontId="2" fillId="2" borderId="0" xfId="1" applyNumberFormat="1" applyFont="1" applyFill="1" applyAlignment="1">
      <alignment vertical="center"/>
    </xf>
    <xf numFmtId="179" fontId="29" fillId="2" borderId="0" xfId="1" applyNumberFormat="1" applyFont="1" applyFill="1" applyAlignment="1">
      <alignment horizontal="center" vertical="center"/>
    </xf>
    <xf numFmtId="41" fontId="30" fillId="2" borderId="0" xfId="0" applyNumberFormat="1" applyFont="1" applyFill="1" applyAlignment="1">
      <alignment horizontal="center" vertical="center"/>
    </xf>
    <xf numFmtId="43" fontId="29" fillId="2" borderId="0" xfId="1" applyNumberFormat="1" applyFont="1" applyFill="1" applyAlignment="1">
      <alignment vertical="center"/>
    </xf>
    <xf numFmtId="179" fontId="29" fillId="2" borderId="0" xfId="1" applyNumberFormat="1" applyFont="1" applyFill="1" applyAlignment="1">
      <alignment vertical="center"/>
    </xf>
    <xf numFmtId="41" fontId="10" fillId="2" borderId="0" xfId="1" applyFont="1" applyFill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5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1049/Downloads/KB&#50868;&#50857;1&#54840;&#47532;&#52768;_&#50900;&#44036;&#48372;&#44256;&#49436;_(24&#45380;%2007&#50900;)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gn"/>
      <sheetName val="BS"/>
      <sheetName val="PL"/>
      <sheetName val="MR Summary"/>
      <sheetName val="Contents"/>
      <sheetName val="1-1) 자산개요"/>
      <sheetName val="1-2) 리츠개요"/>
      <sheetName val="1-3) 보험가입현황"/>
      <sheetName val="2.임대현황_공실현황"/>
      <sheetName val="2-1) Rent Roll"/>
      <sheetName val="2-2) Stacking Plan"/>
      <sheetName val="2-3) 신규, 재계약, 만료 현황"/>
      <sheetName val="2-4) 청구수납현황"/>
      <sheetName val="2-5) 임대시장 현황"/>
      <sheetName val="3-1) 재무상태표"/>
      <sheetName val="3-2) 손익계산서(월간)"/>
      <sheetName val="3-3) 손익계산서(누적)"/>
      <sheetName val="3-4) 예산-실적 비교"/>
      <sheetName val="3.재무성과분석_성과분석(수입비용현황2)"/>
      <sheetName val="4-1) 관리조직도"/>
      <sheetName val="4-2) 관리비용 세부"/>
      <sheetName val="4-3) 수도광열비 분석"/>
      <sheetName val="4-4) 법정검사, 보수 및 CAPEX내역"/>
      <sheetName val="4-5) 임차인서비스요청"/>
      <sheetName val="별첨1_질권설정 현황"/>
      <sheetName val="별첨2_연간 시설점검계획"/>
      <sheetName val="별첨3_장기수선충당금 현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C1:BR204"/>
  <sheetViews>
    <sheetView showGridLines="0" tabSelected="1" view="pageBreakPreview" topLeftCell="C3" zoomScale="70" zoomScaleNormal="10" zoomScaleSheetLayoutView="70" workbookViewId="0">
      <selection activeCell="J17" sqref="J17"/>
    </sheetView>
  </sheetViews>
  <sheetFormatPr defaultColWidth="8.75" defaultRowHeight="15" outlineLevelRow="1" x14ac:dyDescent="0.25"/>
  <cols>
    <col min="1" max="2" width="2.875" style="1" customWidth="1"/>
    <col min="3" max="3" width="9.875" style="1" customWidth="1"/>
    <col min="4" max="5" width="8.875" style="2" bestFit="1" customWidth="1"/>
    <col min="6" max="7" width="20.75" style="2" customWidth="1"/>
    <col min="8" max="8" width="20.75" style="311" customWidth="1"/>
    <col min="9" max="9" width="20.75" style="312" customWidth="1"/>
    <col min="10" max="10" width="20.75" style="313" customWidth="1"/>
    <col min="11" max="11" width="20.75" style="312" customWidth="1"/>
    <col min="12" max="12" width="10.75" style="312" customWidth="1"/>
    <col min="13" max="13" width="14.75" style="315" customWidth="1"/>
    <col min="14" max="15" width="14.75" style="317" customWidth="1"/>
    <col min="16" max="33" width="14.75" style="1" customWidth="1"/>
    <col min="34" max="36" width="15.75" style="1" customWidth="1"/>
    <col min="37" max="40" width="24.75" style="1" customWidth="1"/>
    <col min="41" max="43" width="24.75" style="23" customWidth="1"/>
    <col min="44" max="44" width="26.625" style="1" bestFit="1" customWidth="1"/>
    <col min="45" max="45" width="25.875" style="1" bestFit="1" customWidth="1"/>
    <col min="46" max="46" width="25.875" style="319" bestFit="1" customWidth="1"/>
    <col min="47" max="47" width="25.875" style="319" customWidth="1"/>
    <col min="48" max="49" width="25.875" style="1" bestFit="1" customWidth="1"/>
    <col min="50" max="50" width="20.75" style="23" customWidth="1"/>
    <col min="51" max="51" width="20.75" style="1" customWidth="1"/>
    <col min="52" max="52" width="25.875" style="1" bestFit="1" customWidth="1"/>
    <col min="53" max="54" width="15.75" style="1" customWidth="1"/>
    <col min="55" max="55" width="32.125" style="1" customWidth="1"/>
    <col min="56" max="58" width="14.75" style="1" customWidth="1"/>
    <col min="59" max="59" width="40.375" style="1" customWidth="1"/>
    <col min="60" max="60" width="56.25" style="1" customWidth="1"/>
    <col min="61" max="61" width="9.75" style="1" customWidth="1"/>
    <col min="62" max="62" width="34.5" style="1" customWidth="1"/>
    <col min="63" max="63" width="13" style="1" customWidth="1"/>
    <col min="64" max="64" width="45.375" style="1" customWidth="1"/>
    <col min="65" max="65" width="20.375" style="1" customWidth="1"/>
    <col min="66" max="66" width="13.125" style="1" customWidth="1"/>
    <col min="67" max="67" width="3.625" style="1" customWidth="1"/>
    <col min="68" max="68" width="16.625" style="1" customWidth="1"/>
    <col min="69" max="69" width="2.625" style="1" customWidth="1"/>
    <col min="70" max="16384" width="8.75" style="1"/>
  </cols>
  <sheetData>
    <row r="1" spans="3:68" x14ac:dyDescent="0.25">
      <c r="H1" s="1"/>
      <c r="I1" s="3">
        <v>0.30249999999999999</v>
      </c>
      <c r="J1" s="1"/>
      <c r="K1" s="3">
        <v>0.30249999999999999</v>
      </c>
      <c r="L1" s="3"/>
      <c r="M1" s="1"/>
      <c r="N1" s="1"/>
      <c r="O1" s="1"/>
      <c r="P1" s="4">
        <v>12</v>
      </c>
      <c r="R1" s="5">
        <v>45427</v>
      </c>
      <c r="S1" s="6">
        <v>365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O1" s="7"/>
      <c r="AP1" s="7"/>
      <c r="AQ1" s="7"/>
      <c r="AT1" s="1"/>
      <c r="AU1" s="1"/>
      <c r="AX1" s="1"/>
      <c r="BA1" s="3">
        <v>50</v>
      </c>
    </row>
    <row r="2" spans="3:68" s="10" customFormat="1" ht="40.15" customHeight="1" x14ac:dyDescent="0.25">
      <c r="C2" s="8" t="s">
        <v>0</v>
      </c>
      <c r="D2" s="9"/>
      <c r="E2" s="9"/>
      <c r="F2" s="9"/>
      <c r="G2" s="9"/>
      <c r="AO2" s="11"/>
      <c r="AP2" s="11"/>
      <c r="AQ2" s="11"/>
    </row>
    <row r="3" spans="3:68" x14ac:dyDescent="0.25">
      <c r="H3" s="1"/>
      <c r="I3" s="1"/>
      <c r="J3" s="1"/>
      <c r="K3" s="1"/>
      <c r="L3" s="1"/>
      <c r="M3" s="1"/>
      <c r="N3" s="1"/>
      <c r="O3" s="1"/>
      <c r="AO3" s="7"/>
      <c r="AP3" s="7"/>
      <c r="AQ3" s="7"/>
      <c r="AT3" s="12"/>
      <c r="AU3" s="12"/>
      <c r="AX3" s="1"/>
    </row>
    <row r="4" spans="3:68" ht="30.6" customHeight="1" x14ac:dyDescent="0.25">
      <c r="C4" s="13"/>
      <c r="D4" s="14"/>
      <c r="E4" s="15"/>
      <c r="F4" s="16" t="s">
        <v>1</v>
      </c>
      <c r="G4" s="17">
        <v>45505</v>
      </c>
      <c r="H4" s="16" t="s">
        <v>2</v>
      </c>
      <c r="I4" s="18" t="s">
        <v>3</v>
      </c>
      <c r="J4" s="16" t="s">
        <v>4</v>
      </c>
      <c r="K4" s="19">
        <v>92172.56</v>
      </c>
      <c r="L4" s="1"/>
      <c r="M4" s="1"/>
      <c r="N4" s="20"/>
      <c r="O4" s="20"/>
      <c r="P4" s="20"/>
      <c r="Q4" s="20"/>
      <c r="S4" s="21"/>
      <c r="U4" s="7"/>
      <c r="V4" s="12"/>
      <c r="AN4" s="22"/>
      <c r="AT4" s="12"/>
      <c r="AU4" s="12"/>
      <c r="AX4" s="1"/>
      <c r="BA4" s="24" t="s">
        <v>5</v>
      </c>
      <c r="BB4" s="25">
        <v>110000</v>
      </c>
    </row>
    <row r="5" spans="3:68" ht="30.6" customHeight="1" x14ac:dyDescent="0.25">
      <c r="C5" s="26" t="s">
        <v>6</v>
      </c>
      <c r="D5" s="27"/>
      <c r="E5" s="28"/>
      <c r="F5" s="16" t="s">
        <v>7</v>
      </c>
      <c r="G5" s="29">
        <f>H108/$H$110</f>
        <v>0.99644522121266077</v>
      </c>
      <c r="H5" s="16" t="s">
        <v>8</v>
      </c>
      <c r="I5" s="29">
        <f>H109/$H$110</f>
        <v>3.5547787873391715E-3</v>
      </c>
      <c r="J5" s="30" t="s">
        <v>9</v>
      </c>
      <c r="K5" s="29">
        <v>0.03</v>
      </c>
      <c r="L5" s="1"/>
      <c r="M5" s="1"/>
      <c r="N5" s="20"/>
      <c r="O5" s="20"/>
      <c r="P5" s="20"/>
      <c r="Q5" s="20"/>
      <c r="S5" s="31"/>
      <c r="U5" s="7"/>
      <c r="V5" s="20"/>
      <c r="AN5" s="22"/>
      <c r="AT5" s="12"/>
      <c r="AU5" s="12"/>
      <c r="AX5" s="1"/>
      <c r="BA5" s="32"/>
      <c r="BB5" s="33"/>
    </row>
    <row r="6" spans="3:68" ht="30.6" customHeight="1" x14ac:dyDescent="0.25">
      <c r="C6" s="34"/>
      <c r="D6" s="35"/>
      <c r="E6" s="36"/>
      <c r="F6" s="16" t="s">
        <v>10</v>
      </c>
      <c r="G6" s="37">
        <f>AF108</f>
        <v>247766.29942694388</v>
      </c>
      <c r="H6" s="38" t="s">
        <v>11</v>
      </c>
      <c r="I6" s="37">
        <f>AG108</f>
        <v>212069.20885130292</v>
      </c>
      <c r="J6" s="16" t="s">
        <v>12</v>
      </c>
      <c r="K6" s="39">
        <f>S108</f>
        <v>1.6077240468724205</v>
      </c>
      <c r="L6" s="1"/>
      <c r="M6" s="1"/>
      <c r="N6" s="20"/>
      <c r="O6" s="1"/>
      <c r="P6" s="20"/>
      <c r="AL6" s="32"/>
      <c r="AM6" s="40"/>
      <c r="AN6" s="22"/>
      <c r="AT6" s="12"/>
      <c r="AU6" s="12"/>
      <c r="AX6" s="1"/>
      <c r="BA6" s="32"/>
      <c r="BB6" s="41"/>
    </row>
    <row r="7" spans="3:68" x14ac:dyDescent="0.25">
      <c r="H7" s="1"/>
      <c r="I7" s="1"/>
      <c r="J7" s="1"/>
      <c r="K7" s="1"/>
      <c r="L7" s="1"/>
      <c r="M7" s="1"/>
      <c r="N7" s="1"/>
      <c r="O7" s="1"/>
      <c r="AO7" s="7"/>
      <c r="AP7" s="7"/>
      <c r="AQ7" s="7"/>
      <c r="AT7" s="12"/>
      <c r="AU7" s="12"/>
      <c r="AX7" s="1"/>
    </row>
    <row r="8" spans="3:68" x14ac:dyDescent="0.25">
      <c r="H8" s="1"/>
      <c r="I8" s="1"/>
      <c r="J8" s="1"/>
      <c r="K8" s="1"/>
      <c r="L8" s="1"/>
      <c r="M8" s="1"/>
      <c r="N8" s="1"/>
      <c r="O8" s="1"/>
      <c r="AO8" s="7"/>
      <c r="AP8" s="7"/>
      <c r="AQ8" s="7"/>
      <c r="AT8" s="12"/>
      <c r="AU8" s="12"/>
      <c r="AX8" s="1"/>
      <c r="BA8" s="42" t="s">
        <v>13</v>
      </c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</row>
    <row r="9" spans="3:68" s="49" customFormat="1" ht="25.15" customHeight="1" x14ac:dyDescent="0.3">
      <c r="C9" s="43" t="s">
        <v>14</v>
      </c>
      <c r="D9" s="43" t="s">
        <v>15</v>
      </c>
      <c r="E9" s="43" t="s">
        <v>16</v>
      </c>
      <c r="F9" s="43" t="s">
        <v>17</v>
      </c>
      <c r="G9" s="43" t="s">
        <v>18</v>
      </c>
      <c r="H9" s="44" t="s">
        <v>19</v>
      </c>
      <c r="I9" s="44"/>
      <c r="J9" s="44" t="s">
        <v>20</v>
      </c>
      <c r="K9" s="44"/>
      <c r="L9" s="44" t="s">
        <v>21</v>
      </c>
      <c r="M9" s="44" t="s">
        <v>22</v>
      </c>
      <c r="N9" s="44"/>
      <c r="O9" s="44"/>
      <c r="P9" s="44"/>
      <c r="Q9" s="44"/>
      <c r="R9" s="44"/>
      <c r="S9" s="44"/>
      <c r="T9" s="44" t="s">
        <v>23</v>
      </c>
      <c r="U9" s="44"/>
      <c r="V9" s="44"/>
      <c r="W9" s="44"/>
      <c r="X9" s="44" t="s">
        <v>24</v>
      </c>
      <c r="Y9" s="44"/>
      <c r="Z9" s="44" t="s">
        <v>25</v>
      </c>
      <c r="AA9" s="44"/>
      <c r="AB9" s="44" t="s">
        <v>26</v>
      </c>
      <c r="AC9" s="44"/>
      <c r="AD9" s="44" t="s">
        <v>27</v>
      </c>
      <c r="AE9" s="44"/>
      <c r="AF9" s="45" t="s">
        <v>28</v>
      </c>
      <c r="AG9" s="44"/>
      <c r="AH9" s="46" t="s">
        <v>29</v>
      </c>
      <c r="AI9" s="46" t="s">
        <v>30</v>
      </c>
      <c r="AJ9" s="46" t="s">
        <v>31</v>
      </c>
      <c r="AK9" s="44" t="s">
        <v>32</v>
      </c>
      <c r="AL9" s="44"/>
      <c r="AM9" s="44"/>
      <c r="AN9" s="44"/>
      <c r="AO9" s="47"/>
      <c r="AP9" s="47"/>
      <c r="AQ9" s="47"/>
      <c r="AR9" s="44" t="s">
        <v>33</v>
      </c>
      <c r="AS9" s="44"/>
      <c r="AT9" s="44"/>
      <c r="AU9" s="44"/>
      <c r="AV9" s="44" t="s">
        <v>34</v>
      </c>
      <c r="AW9" s="44"/>
      <c r="AX9" s="44"/>
      <c r="AY9" s="44" t="s">
        <v>35</v>
      </c>
      <c r="AZ9" s="44"/>
      <c r="BA9" s="44" t="s">
        <v>36</v>
      </c>
      <c r="BB9" s="44"/>
      <c r="BC9" s="44" t="s">
        <v>37</v>
      </c>
      <c r="BD9" s="44" t="s">
        <v>38</v>
      </c>
      <c r="BE9" s="44"/>
      <c r="BF9" s="44"/>
      <c r="BG9" s="44" t="s">
        <v>39</v>
      </c>
      <c r="BH9" s="44"/>
      <c r="BI9" s="44"/>
      <c r="BJ9" s="44"/>
      <c r="BK9" s="43" t="s">
        <v>40</v>
      </c>
      <c r="BL9" s="44" t="s">
        <v>41</v>
      </c>
      <c r="BM9" s="44"/>
      <c r="BN9" s="43" t="s">
        <v>42</v>
      </c>
      <c r="BO9" s="48"/>
      <c r="BP9" s="48"/>
    </row>
    <row r="10" spans="3:68" s="49" customFormat="1" ht="25.15" customHeight="1" x14ac:dyDescent="0.3">
      <c r="C10" s="50"/>
      <c r="D10" s="50"/>
      <c r="E10" s="50"/>
      <c r="F10" s="50"/>
      <c r="G10" s="50"/>
      <c r="H10" s="43" t="s">
        <v>43</v>
      </c>
      <c r="I10" s="43" t="s">
        <v>44</v>
      </c>
      <c r="J10" s="43" t="s">
        <v>43</v>
      </c>
      <c r="K10" s="43" t="s">
        <v>45</v>
      </c>
      <c r="L10" s="43" t="s">
        <v>46</v>
      </c>
      <c r="M10" s="43" t="s">
        <v>47</v>
      </c>
      <c r="N10" s="43" t="s">
        <v>48</v>
      </c>
      <c r="O10" s="43" t="s">
        <v>49</v>
      </c>
      <c r="P10" s="43" t="s">
        <v>50</v>
      </c>
      <c r="Q10" s="43" t="s">
        <v>51</v>
      </c>
      <c r="R10" s="51" t="s">
        <v>52</v>
      </c>
      <c r="S10" s="43" t="s">
        <v>53</v>
      </c>
      <c r="T10" s="43" t="s">
        <v>54</v>
      </c>
      <c r="U10" s="43" t="s">
        <v>55</v>
      </c>
      <c r="V10" s="43" t="s">
        <v>56</v>
      </c>
      <c r="W10" s="43" t="s">
        <v>57</v>
      </c>
      <c r="X10" s="43" t="s">
        <v>56</v>
      </c>
      <c r="Y10" s="43" t="s">
        <v>58</v>
      </c>
      <c r="Z10" s="43" t="s">
        <v>56</v>
      </c>
      <c r="AA10" s="43" t="s">
        <v>59</v>
      </c>
      <c r="AB10" s="43" t="s">
        <v>60</v>
      </c>
      <c r="AC10" s="43" t="s">
        <v>61</v>
      </c>
      <c r="AD10" s="43" t="s">
        <v>62</v>
      </c>
      <c r="AE10" s="43" t="s">
        <v>63</v>
      </c>
      <c r="AF10" s="43" t="s">
        <v>64</v>
      </c>
      <c r="AG10" s="51" t="s">
        <v>65</v>
      </c>
      <c r="AH10" s="51" t="s">
        <v>45</v>
      </c>
      <c r="AI10" s="51" t="s">
        <v>45</v>
      </c>
      <c r="AJ10" s="51" t="s">
        <v>45</v>
      </c>
      <c r="AK10" s="43" t="s">
        <v>66</v>
      </c>
      <c r="AL10" s="43" t="s">
        <v>67</v>
      </c>
      <c r="AM10" s="44" t="s">
        <v>68</v>
      </c>
      <c r="AN10" s="44"/>
      <c r="AO10" s="47"/>
      <c r="AP10" s="47"/>
      <c r="AQ10" s="47"/>
      <c r="AR10" s="52" t="s">
        <v>69</v>
      </c>
      <c r="AS10" s="52"/>
      <c r="AT10" s="51" t="s">
        <v>70</v>
      </c>
      <c r="AU10" s="51" t="s">
        <v>71</v>
      </c>
      <c r="AV10" s="52" t="s">
        <v>69</v>
      </c>
      <c r="AW10" s="52"/>
      <c r="AX10" s="43" t="s">
        <v>63</v>
      </c>
      <c r="AY10" s="43" t="s">
        <v>45</v>
      </c>
      <c r="AZ10" s="43" t="s">
        <v>63</v>
      </c>
      <c r="BA10" s="51" t="s">
        <v>72</v>
      </c>
      <c r="BB10" s="51" t="s">
        <v>73</v>
      </c>
      <c r="BC10" s="43" t="s">
        <v>74</v>
      </c>
      <c r="BD10" s="43" t="s">
        <v>75</v>
      </c>
      <c r="BE10" s="43" t="s">
        <v>76</v>
      </c>
      <c r="BF10" s="43" t="s">
        <v>77</v>
      </c>
      <c r="BG10" s="43" t="s">
        <v>78</v>
      </c>
      <c r="BH10" s="43" t="s">
        <v>79</v>
      </c>
      <c r="BI10" s="43" t="s">
        <v>80</v>
      </c>
      <c r="BJ10" s="43" t="s">
        <v>81</v>
      </c>
      <c r="BK10" s="50"/>
      <c r="BL10" s="43" t="s">
        <v>82</v>
      </c>
      <c r="BM10" s="43" t="s">
        <v>83</v>
      </c>
      <c r="BN10" s="50"/>
      <c r="BO10" s="48"/>
      <c r="BP10" s="48"/>
    </row>
    <row r="11" spans="3:68" s="49" customFormat="1" ht="25.15" customHeight="1" x14ac:dyDescent="0.3"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3"/>
      <c r="AI11" s="53"/>
      <c r="AJ11" s="53"/>
      <c r="AK11" s="50"/>
      <c r="AL11" s="54"/>
      <c r="AM11" s="44" t="s">
        <v>84</v>
      </c>
      <c r="AN11" s="44"/>
      <c r="AO11" s="47" t="s">
        <v>85</v>
      </c>
      <c r="AP11" s="47"/>
      <c r="AQ11" s="47"/>
      <c r="AR11" s="43" t="s">
        <v>64</v>
      </c>
      <c r="AS11" s="43" t="s">
        <v>86</v>
      </c>
      <c r="AT11" s="50"/>
      <c r="AU11" s="50"/>
      <c r="AV11" s="43" t="s">
        <v>64</v>
      </c>
      <c r="AW11" s="43" t="s">
        <v>86</v>
      </c>
      <c r="AX11" s="50"/>
      <c r="AY11" s="50"/>
      <c r="AZ11" s="50"/>
      <c r="BA11" s="53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48"/>
      <c r="BP11" s="48"/>
    </row>
    <row r="12" spans="3:68" s="49" customFormat="1" ht="45.6" customHeight="1" x14ac:dyDescent="0.3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5"/>
      <c r="AI12" s="55"/>
      <c r="AJ12" s="55"/>
      <c r="AK12" s="54"/>
      <c r="AL12" s="56" t="s">
        <v>87</v>
      </c>
      <c r="AM12" s="57" t="s">
        <v>88</v>
      </c>
      <c r="AN12" s="57" t="s">
        <v>89</v>
      </c>
      <c r="AO12" s="58" t="s">
        <v>90</v>
      </c>
      <c r="AP12" s="59" t="s">
        <v>91</v>
      </c>
      <c r="AQ12" s="59" t="s">
        <v>92</v>
      </c>
      <c r="AR12" s="54"/>
      <c r="AS12" s="54"/>
      <c r="AT12" s="54"/>
      <c r="AU12" s="54"/>
      <c r="AV12" s="54"/>
      <c r="AW12" s="54"/>
      <c r="AX12" s="54"/>
      <c r="AY12" s="54"/>
      <c r="AZ12" s="54"/>
      <c r="BA12" s="55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48"/>
      <c r="BP12" s="48"/>
    </row>
    <row r="13" spans="3:68" ht="40.15" customHeight="1" outlineLevel="1" x14ac:dyDescent="0.25">
      <c r="C13" s="60" t="s">
        <v>93</v>
      </c>
      <c r="D13" s="61">
        <v>40</v>
      </c>
      <c r="E13" s="61"/>
      <c r="F13" s="61" t="s">
        <v>94</v>
      </c>
      <c r="G13" s="62" t="s">
        <v>95</v>
      </c>
      <c r="H13" s="63">
        <v>2647.53</v>
      </c>
      <c r="I13" s="64">
        <f>H13*$I$1</f>
        <v>800.87782500000003</v>
      </c>
      <c r="J13" s="65">
        <v>1132.9100000000001</v>
      </c>
      <c r="K13" s="64">
        <f>J13*$K$1</f>
        <v>342.70527500000003</v>
      </c>
      <c r="L13" s="66">
        <f>J13/H13</f>
        <v>0.42791205387663217</v>
      </c>
      <c r="M13" s="17">
        <v>41625</v>
      </c>
      <c r="N13" s="17">
        <v>43831</v>
      </c>
      <c r="O13" s="17">
        <v>45657</v>
      </c>
      <c r="P13" s="67">
        <f>Q13/$P$1</f>
        <v>5</v>
      </c>
      <c r="Q13" s="68">
        <f>DATEDIF(N13,O13,"m")+1</f>
        <v>60</v>
      </c>
      <c r="R13" s="69">
        <f>IFERROR(DATEDIF($R$1,O13,"m"),0)</f>
        <v>7</v>
      </c>
      <c r="S13" s="70">
        <f>(O13-$G$4)*$H13/$H13/$S$1</f>
        <v>0.41643835616438357</v>
      </c>
      <c r="T13" s="17">
        <v>45657</v>
      </c>
      <c r="U13" s="67">
        <f>V13/$P$1</f>
        <v>5</v>
      </c>
      <c r="V13" s="68">
        <f t="shared" ref="V13:V21" si="0">DATEDIF(N13,T13,"m")+1</f>
        <v>60</v>
      </c>
      <c r="W13" s="68">
        <f t="shared" ref="W13:W76" si="1">IFERROR(DATEDIF($R$1,T13,"m"),"만료")</f>
        <v>7</v>
      </c>
      <c r="X13" s="71">
        <v>6</v>
      </c>
      <c r="Y13" s="72">
        <f>EDATE($O13,-X13)</f>
        <v>45473</v>
      </c>
      <c r="Z13" s="73">
        <v>14</v>
      </c>
      <c r="AA13" s="74">
        <f t="shared" ref="AA13:AA33" si="2">Z13/Q13*12</f>
        <v>2.8</v>
      </c>
      <c r="AB13" s="75">
        <v>0</v>
      </c>
      <c r="AC13" s="76"/>
      <c r="AD13" s="77">
        <f t="shared" ref="AD13:AD34" si="3">AE13/K13</f>
        <v>0</v>
      </c>
      <c r="AE13" s="78">
        <v>0</v>
      </c>
      <c r="AF13" s="77">
        <f>IF(ISERROR((SUM(AR13,AV13)/Q13+AK13*$K$5/12)/K13),0,(SUM(AR13,AV13)/Q13+AK13*$K$5/12)/K13)</f>
        <v>206593.20798430342</v>
      </c>
      <c r="AG13" s="77">
        <f t="shared" ref="AG13:AG76" si="4">IF(ISERROR((SUM(AS13,AW13-AE13)/Q13+AK13*$K$5/12)/K13),0,(SUM(AS13,AW13-AE13)/Q13+AK13*$K$5/12)/K13)</f>
        <v>176501.66665204961</v>
      </c>
      <c r="AH13" s="77">
        <f t="shared" ref="AH13:AH34" si="5">AK13/I13</f>
        <v>318375.79477098194</v>
      </c>
      <c r="AI13" s="77">
        <f t="shared" ref="AI13:AI33" si="6">AT13/I13</f>
        <v>55185.142524849791</v>
      </c>
      <c r="AJ13" s="77">
        <f t="shared" ref="AJ13:AJ62" si="7">AX13/I13</f>
        <v>32422.641933748269</v>
      </c>
      <c r="AK13" s="77">
        <f>SUM(AL13,AM13,AN13)</f>
        <v>254980114.04883042</v>
      </c>
      <c r="AL13" s="77">
        <f>SUM(AO13:AQ13)</f>
        <v>0</v>
      </c>
      <c r="AM13" s="78">
        <v>254980114.04883042</v>
      </c>
      <c r="AN13" s="77"/>
      <c r="AO13" s="78"/>
      <c r="AP13" s="78"/>
      <c r="AQ13" s="78"/>
      <c r="AR13" s="77">
        <f t="shared" ref="AR13:AR33" si="8">Q13*I13*AI13</f>
        <v>2651793415.0570025</v>
      </c>
      <c r="AS13" s="77">
        <f t="shared" ref="AS13:AS33" si="9">(Q13-Z13-AB13)*I13*AI13</f>
        <v>2033041618.2103686</v>
      </c>
      <c r="AT13" s="78">
        <v>44196556.91761671</v>
      </c>
      <c r="AU13" s="79">
        <f>IF(ISERROR(AS13/Q13),0,AS13/Q13)</f>
        <v>33884026.970172808</v>
      </c>
      <c r="AV13" s="77">
        <f t="shared" ref="AV13:AV33" si="10">Q13*I13*AJ13</f>
        <v>1557994497.1592467</v>
      </c>
      <c r="AW13" s="80">
        <f t="shared" ref="AW13:AW33" si="11">(Q13-AC13)*I13*AJ13</f>
        <v>1557994497.1592467</v>
      </c>
      <c r="AX13" s="78">
        <v>25966574.952654108</v>
      </c>
      <c r="AY13" s="77">
        <f t="shared" ref="AY13:AY62" si="12">AZ13/I13</f>
        <v>87607.784458598064</v>
      </c>
      <c r="AZ13" s="77">
        <f t="shared" ref="AZ13:AZ62" si="13">SUM(AT13,AX13)</f>
        <v>70163131.870270818</v>
      </c>
      <c r="BA13" s="81">
        <f t="shared" ref="BA13:BA33" si="14">ROUND(I13/$BA$1,)</f>
        <v>16</v>
      </c>
      <c r="BB13" s="82">
        <v>16.408023579262931</v>
      </c>
      <c r="BC13" s="83" t="s">
        <v>96</v>
      </c>
      <c r="BD13" s="17" t="s">
        <v>97</v>
      </c>
      <c r="BE13" s="84"/>
      <c r="BF13" s="85">
        <f t="shared" ref="BF13:BF76" si="15">BE13</f>
        <v>0</v>
      </c>
      <c r="BG13" s="62" t="s">
        <v>98</v>
      </c>
      <c r="BH13" s="86" t="s">
        <v>99</v>
      </c>
      <c r="BI13" s="87">
        <v>0.19</v>
      </c>
      <c r="BJ13" s="88" t="s">
        <v>100</v>
      </c>
      <c r="BK13" s="89">
        <v>15</v>
      </c>
      <c r="BL13" s="18" t="s">
        <v>101</v>
      </c>
      <c r="BM13" s="90"/>
      <c r="BN13" s="91" t="s">
        <v>102</v>
      </c>
      <c r="BO13" s="92"/>
      <c r="BP13" s="92"/>
    </row>
    <row r="14" spans="3:68" ht="40.15" customHeight="1" outlineLevel="1" x14ac:dyDescent="0.25">
      <c r="C14" s="93"/>
      <c r="D14" s="61">
        <v>39</v>
      </c>
      <c r="E14" s="61"/>
      <c r="F14" s="61" t="s">
        <v>103</v>
      </c>
      <c r="G14" s="62" t="s">
        <v>95</v>
      </c>
      <c r="H14" s="63">
        <v>2627.62</v>
      </c>
      <c r="I14" s="64">
        <f t="shared" ref="I14:I104" si="16">H14*$I$1</f>
        <v>794.85504999999989</v>
      </c>
      <c r="J14" s="65">
        <v>1124.83</v>
      </c>
      <c r="K14" s="64">
        <f t="shared" ref="K14:K104" si="17">J14*$K$1</f>
        <v>340.26107499999995</v>
      </c>
      <c r="L14" s="66">
        <f t="shared" ref="L14:L33" si="18">J14/H14</f>
        <v>0.4280794026533517</v>
      </c>
      <c r="M14" s="17">
        <v>41625</v>
      </c>
      <c r="N14" s="17">
        <v>43831</v>
      </c>
      <c r="O14" s="17">
        <v>45657</v>
      </c>
      <c r="P14" s="67">
        <f t="shared" ref="P14:P33" si="19">Q14/$P$1</f>
        <v>5</v>
      </c>
      <c r="Q14" s="68">
        <f t="shared" ref="Q14:Q103" si="20">DATEDIF(N14,O14,"m")+1</f>
        <v>60</v>
      </c>
      <c r="R14" s="69">
        <f t="shared" ref="R14:R33" si="21">IFERROR(DATEDIF($R$1,O14,"m"),0)</f>
        <v>7</v>
      </c>
      <c r="S14" s="70">
        <f t="shared" ref="S14:S33" si="22">(O14-$G$4)*$H14/$H14/$S$1</f>
        <v>0.41643835616438357</v>
      </c>
      <c r="T14" s="17">
        <v>45657</v>
      </c>
      <c r="U14" s="67">
        <f t="shared" ref="U14:U33" si="23">V14/$P$1</f>
        <v>5</v>
      </c>
      <c r="V14" s="68">
        <f t="shared" si="0"/>
        <v>60</v>
      </c>
      <c r="W14" s="68">
        <f t="shared" si="1"/>
        <v>7</v>
      </c>
      <c r="X14" s="71">
        <v>6</v>
      </c>
      <c r="Y14" s="72">
        <f t="shared" ref="Y14:Y77" si="24">EDATE($O14,-X14)</f>
        <v>45473</v>
      </c>
      <c r="Z14" s="73">
        <v>14</v>
      </c>
      <c r="AA14" s="74">
        <f t="shared" si="2"/>
        <v>2.8</v>
      </c>
      <c r="AB14" s="75">
        <v>0</v>
      </c>
      <c r="AC14" s="76"/>
      <c r="AD14" s="77">
        <f t="shared" si="3"/>
        <v>0</v>
      </c>
      <c r="AE14" s="78">
        <v>0</v>
      </c>
      <c r="AF14" s="77">
        <f t="shared" ref="AF14:AF77" si="25">IF(ISERROR((SUM(AR14,AV14)/Q14+AK14*$K$5/12)/K14),0,(SUM(AR14,AV14)/Q14+AK14*$K$5/12)/K14)</f>
        <v>206512.44464829506</v>
      </c>
      <c r="AG14" s="77">
        <f t="shared" si="4"/>
        <v>176432.66698091364</v>
      </c>
      <c r="AH14" s="77">
        <f t="shared" si="5"/>
        <v>318375.794770982</v>
      </c>
      <c r="AI14" s="77">
        <f t="shared" si="6"/>
        <v>55185.142524849791</v>
      </c>
      <c r="AJ14" s="77">
        <f t="shared" si="7"/>
        <v>32422.641933748269</v>
      </c>
      <c r="AK14" s="77">
        <f t="shared" ref="AK14:AK33" si="26">SUM(AL14,AM14,AN14)</f>
        <v>253062608.27147859</v>
      </c>
      <c r="AL14" s="77">
        <f t="shared" ref="AL14:AL77" si="27">SUM(AO14:AQ14)</f>
        <v>0</v>
      </c>
      <c r="AM14" s="78">
        <v>253062608.27147859</v>
      </c>
      <c r="AN14" s="77"/>
      <c r="AO14" s="78"/>
      <c r="AP14" s="78"/>
      <c r="AQ14" s="78"/>
      <c r="AR14" s="77">
        <f t="shared" si="8"/>
        <v>2631851353.2507958</v>
      </c>
      <c r="AS14" s="77">
        <f t="shared" si="9"/>
        <v>2017752704.1589437</v>
      </c>
      <c r="AT14" s="78">
        <v>43864189.220846601</v>
      </c>
      <c r="AU14" s="79">
        <f t="shared" ref="AU14:AU77" si="28">IF(ISERROR(AS14/Q14),0,AS14/Q14)</f>
        <v>33629211.735982396</v>
      </c>
      <c r="AV14" s="77">
        <f t="shared" si="10"/>
        <v>1546278040.5228944</v>
      </c>
      <c r="AW14" s="80">
        <f t="shared" si="11"/>
        <v>1546278040.5228944</v>
      </c>
      <c r="AX14" s="78">
        <v>25771300.675381575</v>
      </c>
      <c r="AY14" s="77">
        <f t="shared" si="12"/>
        <v>87607.784458598064</v>
      </c>
      <c r="AZ14" s="77">
        <f t="shared" si="13"/>
        <v>69635489.896228179</v>
      </c>
      <c r="BA14" s="81">
        <f t="shared" si="14"/>
        <v>16</v>
      </c>
      <c r="BB14" s="82">
        <v>16.284631682112334</v>
      </c>
      <c r="BC14" s="83" t="s">
        <v>104</v>
      </c>
      <c r="BD14" s="17" t="s">
        <v>97</v>
      </c>
      <c r="BE14" s="84"/>
      <c r="BF14" s="85">
        <f t="shared" si="15"/>
        <v>0</v>
      </c>
      <c r="BG14" s="62" t="s">
        <v>105</v>
      </c>
      <c r="BH14" s="86" t="s">
        <v>106</v>
      </c>
      <c r="BI14" s="87">
        <v>0.19</v>
      </c>
      <c r="BJ14" s="88" t="s">
        <v>100</v>
      </c>
      <c r="BK14" s="89">
        <v>15</v>
      </c>
      <c r="BL14" s="18" t="s">
        <v>107</v>
      </c>
      <c r="BM14" s="90"/>
      <c r="BN14" s="91" t="s">
        <v>102</v>
      </c>
      <c r="BO14" s="92"/>
      <c r="BP14" s="92"/>
    </row>
    <row r="15" spans="3:68" ht="40.15" customHeight="1" outlineLevel="1" x14ac:dyDescent="0.25">
      <c r="C15" s="93"/>
      <c r="D15" s="61">
        <v>38</v>
      </c>
      <c r="E15" s="61"/>
      <c r="F15" s="61" t="s">
        <v>103</v>
      </c>
      <c r="G15" s="62" t="s">
        <v>95</v>
      </c>
      <c r="H15" s="63">
        <v>2627.62</v>
      </c>
      <c r="I15" s="64">
        <f t="shared" si="16"/>
        <v>794.85504999999989</v>
      </c>
      <c r="J15" s="65">
        <v>1124.83</v>
      </c>
      <c r="K15" s="64">
        <f t="shared" si="17"/>
        <v>340.26107499999995</v>
      </c>
      <c r="L15" s="66">
        <f t="shared" si="18"/>
        <v>0.4280794026533517</v>
      </c>
      <c r="M15" s="17">
        <v>41625</v>
      </c>
      <c r="N15" s="17">
        <v>43831</v>
      </c>
      <c r="O15" s="17">
        <v>45657</v>
      </c>
      <c r="P15" s="67">
        <f t="shared" si="19"/>
        <v>5</v>
      </c>
      <c r="Q15" s="68">
        <f t="shared" si="20"/>
        <v>60</v>
      </c>
      <c r="R15" s="69">
        <f t="shared" si="21"/>
        <v>7</v>
      </c>
      <c r="S15" s="70">
        <f t="shared" si="22"/>
        <v>0.41643835616438357</v>
      </c>
      <c r="T15" s="17">
        <v>45657</v>
      </c>
      <c r="U15" s="67">
        <f t="shared" si="23"/>
        <v>5</v>
      </c>
      <c r="V15" s="68">
        <f t="shared" si="0"/>
        <v>60</v>
      </c>
      <c r="W15" s="68">
        <f t="shared" si="1"/>
        <v>7</v>
      </c>
      <c r="X15" s="71">
        <v>6</v>
      </c>
      <c r="Y15" s="72">
        <f t="shared" si="24"/>
        <v>45473</v>
      </c>
      <c r="Z15" s="73">
        <v>14</v>
      </c>
      <c r="AA15" s="74">
        <f t="shared" si="2"/>
        <v>2.8</v>
      </c>
      <c r="AB15" s="75">
        <v>0</v>
      </c>
      <c r="AC15" s="76"/>
      <c r="AD15" s="77">
        <f t="shared" si="3"/>
        <v>0</v>
      </c>
      <c r="AE15" s="78">
        <v>0</v>
      </c>
      <c r="AF15" s="77">
        <f t="shared" si="25"/>
        <v>206512.44464829506</v>
      </c>
      <c r="AG15" s="77">
        <f t="shared" si="4"/>
        <v>176432.66698091364</v>
      </c>
      <c r="AH15" s="77">
        <f t="shared" si="5"/>
        <v>318375.794770982</v>
      </c>
      <c r="AI15" s="77">
        <f t="shared" si="6"/>
        <v>55185.142524849791</v>
      </c>
      <c r="AJ15" s="77">
        <f t="shared" si="7"/>
        <v>32422.641933748269</v>
      </c>
      <c r="AK15" s="77">
        <f t="shared" si="26"/>
        <v>253062608.27147859</v>
      </c>
      <c r="AL15" s="77">
        <f t="shared" si="27"/>
        <v>0</v>
      </c>
      <c r="AM15" s="78">
        <v>253062608.27147859</v>
      </c>
      <c r="AN15" s="77"/>
      <c r="AO15" s="78"/>
      <c r="AP15" s="78"/>
      <c r="AQ15" s="78"/>
      <c r="AR15" s="77">
        <f t="shared" si="8"/>
        <v>2631851353.2507958</v>
      </c>
      <c r="AS15" s="77">
        <f t="shared" si="9"/>
        <v>2017752704.1589437</v>
      </c>
      <c r="AT15" s="78">
        <v>43864189.220846601</v>
      </c>
      <c r="AU15" s="79">
        <f t="shared" si="28"/>
        <v>33629211.735982396</v>
      </c>
      <c r="AV15" s="77">
        <f t="shared" si="10"/>
        <v>1546278040.5228944</v>
      </c>
      <c r="AW15" s="80">
        <f t="shared" si="11"/>
        <v>1546278040.5228944</v>
      </c>
      <c r="AX15" s="78">
        <v>25771300.675381575</v>
      </c>
      <c r="AY15" s="77">
        <f t="shared" si="12"/>
        <v>87607.784458598064</v>
      </c>
      <c r="AZ15" s="77">
        <f t="shared" si="13"/>
        <v>69635489.896228179</v>
      </c>
      <c r="BA15" s="81">
        <f t="shared" si="14"/>
        <v>16</v>
      </c>
      <c r="BB15" s="82">
        <v>16.284631682112334</v>
      </c>
      <c r="BC15" s="83" t="s">
        <v>104</v>
      </c>
      <c r="BD15" s="17" t="s">
        <v>108</v>
      </c>
      <c r="BE15" s="84"/>
      <c r="BF15" s="85">
        <f t="shared" si="15"/>
        <v>0</v>
      </c>
      <c r="BG15" s="62" t="s">
        <v>98</v>
      </c>
      <c r="BH15" s="86" t="s">
        <v>99</v>
      </c>
      <c r="BI15" s="87">
        <v>0.19</v>
      </c>
      <c r="BJ15" s="88" t="s">
        <v>100</v>
      </c>
      <c r="BK15" s="89">
        <v>15</v>
      </c>
      <c r="BL15" s="18" t="s">
        <v>101</v>
      </c>
      <c r="BM15" s="90"/>
      <c r="BN15" s="91" t="s">
        <v>102</v>
      </c>
      <c r="BO15" s="92"/>
      <c r="BP15" s="92"/>
    </row>
    <row r="16" spans="3:68" ht="40.15" customHeight="1" outlineLevel="1" x14ac:dyDescent="0.25">
      <c r="C16" s="93"/>
      <c r="D16" s="61">
        <v>37</v>
      </c>
      <c r="E16" s="61"/>
      <c r="F16" s="61" t="s">
        <v>109</v>
      </c>
      <c r="G16" s="62" t="s">
        <v>110</v>
      </c>
      <c r="H16" s="63">
        <v>2627.57</v>
      </c>
      <c r="I16" s="64">
        <f t="shared" si="16"/>
        <v>794.83992499999999</v>
      </c>
      <c r="J16" s="65">
        <v>1124.82</v>
      </c>
      <c r="K16" s="64">
        <f t="shared" si="17"/>
        <v>340.25804999999997</v>
      </c>
      <c r="L16" s="66">
        <f t="shared" si="18"/>
        <v>0.42808374277374145</v>
      </c>
      <c r="M16" s="17">
        <v>39989</v>
      </c>
      <c r="N16" s="17">
        <v>43831</v>
      </c>
      <c r="O16" s="17">
        <v>45657</v>
      </c>
      <c r="P16" s="67">
        <f t="shared" si="19"/>
        <v>5</v>
      </c>
      <c r="Q16" s="68">
        <f t="shared" si="20"/>
        <v>60</v>
      </c>
      <c r="R16" s="69">
        <f t="shared" si="21"/>
        <v>7</v>
      </c>
      <c r="S16" s="70">
        <f t="shared" si="22"/>
        <v>0.41643835616438357</v>
      </c>
      <c r="T16" s="17">
        <v>45657</v>
      </c>
      <c r="U16" s="67">
        <f t="shared" si="23"/>
        <v>5</v>
      </c>
      <c r="V16" s="68">
        <f t="shared" si="0"/>
        <v>60</v>
      </c>
      <c r="W16" s="68">
        <f t="shared" si="1"/>
        <v>7</v>
      </c>
      <c r="X16" s="71">
        <v>6</v>
      </c>
      <c r="Y16" s="72">
        <f t="shared" si="24"/>
        <v>45473</v>
      </c>
      <c r="Z16" s="73">
        <v>14</v>
      </c>
      <c r="AA16" s="74">
        <f t="shared" si="2"/>
        <v>2.8</v>
      </c>
      <c r="AB16" s="75">
        <v>0</v>
      </c>
      <c r="AC16" s="76"/>
      <c r="AD16" s="77">
        <f t="shared" si="3"/>
        <v>0</v>
      </c>
      <c r="AE16" s="78">
        <v>0</v>
      </c>
      <c r="AF16" s="77">
        <f t="shared" si="25"/>
        <v>205589.11112302248</v>
      </c>
      <c r="AG16" s="77">
        <f t="shared" si="4"/>
        <v>175649.19511991212</v>
      </c>
      <c r="AH16" s="77">
        <f t="shared" si="5"/>
        <v>312643.6705498962</v>
      </c>
      <c r="AI16" s="77">
        <f t="shared" si="6"/>
        <v>54929.105575469635</v>
      </c>
      <c r="AJ16" s="77">
        <f t="shared" si="7"/>
        <v>32298.641411225726</v>
      </c>
      <c r="AK16" s="77">
        <f t="shared" si="26"/>
        <v>248501671.65160421</v>
      </c>
      <c r="AL16" s="77">
        <f t="shared" si="27"/>
        <v>0</v>
      </c>
      <c r="AM16" s="78">
        <v>248501671.65160421</v>
      </c>
      <c r="AN16" s="77"/>
      <c r="AO16" s="78"/>
      <c r="AP16" s="78"/>
      <c r="AQ16" s="78"/>
      <c r="AR16" s="77">
        <f t="shared" si="8"/>
        <v>2619590769.355402</v>
      </c>
      <c r="AS16" s="77">
        <f t="shared" si="9"/>
        <v>2008352923.1724751</v>
      </c>
      <c r="AT16" s="78">
        <v>43659846.155923367</v>
      </c>
      <c r="AU16" s="79">
        <f t="shared" si="28"/>
        <v>33472548.719541252</v>
      </c>
      <c r="AV16" s="77">
        <f t="shared" si="10"/>
        <v>1540334983.0140331</v>
      </c>
      <c r="AW16" s="80">
        <f t="shared" si="11"/>
        <v>1540334983.0140331</v>
      </c>
      <c r="AX16" s="78">
        <v>25672249.71690055</v>
      </c>
      <c r="AY16" s="77">
        <f t="shared" si="12"/>
        <v>87227.746986695376</v>
      </c>
      <c r="AZ16" s="77">
        <f t="shared" si="13"/>
        <v>69332095.872823924</v>
      </c>
      <c r="BA16" s="81">
        <f t="shared" si="14"/>
        <v>16</v>
      </c>
      <c r="BB16" s="94">
        <v>16.331066385279414</v>
      </c>
      <c r="BC16" s="83" t="s">
        <v>111</v>
      </c>
      <c r="BD16" s="17" t="s">
        <v>97</v>
      </c>
      <c r="BE16" s="84"/>
      <c r="BF16" s="85">
        <f t="shared" si="15"/>
        <v>0</v>
      </c>
      <c r="BG16" s="62" t="s">
        <v>98</v>
      </c>
      <c r="BH16" s="86" t="s">
        <v>106</v>
      </c>
      <c r="BI16" s="87">
        <v>0.19</v>
      </c>
      <c r="BJ16" s="88" t="s">
        <v>112</v>
      </c>
      <c r="BK16" s="89">
        <v>15</v>
      </c>
      <c r="BL16" s="86" t="s">
        <v>113</v>
      </c>
      <c r="BM16" s="18" t="s">
        <v>114</v>
      </c>
      <c r="BN16" s="91" t="s">
        <v>115</v>
      </c>
      <c r="BO16" s="92"/>
      <c r="BP16" s="92"/>
    </row>
    <row r="17" spans="3:68" ht="40.15" customHeight="1" outlineLevel="1" x14ac:dyDescent="0.25">
      <c r="C17" s="93"/>
      <c r="D17" s="61">
        <v>36</v>
      </c>
      <c r="E17" s="61"/>
      <c r="F17" s="61" t="s">
        <v>109</v>
      </c>
      <c r="G17" s="62" t="s">
        <v>110</v>
      </c>
      <c r="H17" s="63">
        <v>2627.57</v>
      </c>
      <c r="I17" s="64">
        <f t="shared" si="16"/>
        <v>794.83992499999999</v>
      </c>
      <c r="J17" s="65">
        <v>1124.82</v>
      </c>
      <c r="K17" s="64">
        <f t="shared" si="17"/>
        <v>340.25804999999997</v>
      </c>
      <c r="L17" s="66">
        <f t="shared" si="18"/>
        <v>0.42808374277374145</v>
      </c>
      <c r="M17" s="17">
        <v>39989</v>
      </c>
      <c r="N17" s="17">
        <v>43831</v>
      </c>
      <c r="O17" s="17">
        <v>45657</v>
      </c>
      <c r="P17" s="67">
        <f t="shared" si="19"/>
        <v>5</v>
      </c>
      <c r="Q17" s="68">
        <f t="shared" si="20"/>
        <v>60</v>
      </c>
      <c r="R17" s="69">
        <f t="shared" si="21"/>
        <v>7</v>
      </c>
      <c r="S17" s="70">
        <f t="shared" si="22"/>
        <v>0.41643835616438357</v>
      </c>
      <c r="T17" s="17">
        <v>45657</v>
      </c>
      <c r="U17" s="67">
        <f t="shared" si="23"/>
        <v>5</v>
      </c>
      <c r="V17" s="68">
        <f t="shared" si="0"/>
        <v>60</v>
      </c>
      <c r="W17" s="68">
        <f t="shared" si="1"/>
        <v>7</v>
      </c>
      <c r="X17" s="71">
        <v>6</v>
      </c>
      <c r="Y17" s="72">
        <f t="shared" si="24"/>
        <v>45473</v>
      </c>
      <c r="Z17" s="73">
        <v>14</v>
      </c>
      <c r="AA17" s="74">
        <f t="shared" si="2"/>
        <v>2.8</v>
      </c>
      <c r="AB17" s="75">
        <v>0</v>
      </c>
      <c r="AC17" s="76"/>
      <c r="AD17" s="77">
        <f t="shared" si="3"/>
        <v>0</v>
      </c>
      <c r="AE17" s="78">
        <v>0</v>
      </c>
      <c r="AF17" s="77">
        <f t="shared" si="25"/>
        <v>205589.11112302248</v>
      </c>
      <c r="AG17" s="77">
        <f t="shared" si="4"/>
        <v>175649.19511991212</v>
      </c>
      <c r="AH17" s="77">
        <f t="shared" si="5"/>
        <v>312643.6705498962</v>
      </c>
      <c r="AI17" s="77">
        <f t="shared" si="6"/>
        <v>54929.105575469635</v>
      </c>
      <c r="AJ17" s="77">
        <f t="shared" si="7"/>
        <v>32298.641411225726</v>
      </c>
      <c r="AK17" s="77">
        <f t="shared" si="26"/>
        <v>248501671.65160421</v>
      </c>
      <c r="AL17" s="77">
        <f t="shared" si="27"/>
        <v>0</v>
      </c>
      <c r="AM17" s="78">
        <v>248501671.65160421</v>
      </c>
      <c r="AN17" s="77"/>
      <c r="AO17" s="78"/>
      <c r="AP17" s="78"/>
      <c r="AQ17" s="78"/>
      <c r="AR17" s="77">
        <f t="shared" si="8"/>
        <v>2619590769.355402</v>
      </c>
      <c r="AS17" s="77">
        <f t="shared" si="9"/>
        <v>2008352923.1724751</v>
      </c>
      <c r="AT17" s="78">
        <v>43659846.155923367</v>
      </c>
      <c r="AU17" s="79">
        <f t="shared" si="28"/>
        <v>33472548.719541252</v>
      </c>
      <c r="AV17" s="77">
        <f t="shared" si="10"/>
        <v>1540334983.0140331</v>
      </c>
      <c r="AW17" s="80">
        <f t="shared" si="11"/>
        <v>1540334983.0140331</v>
      </c>
      <c r="AX17" s="78">
        <v>25672249.71690055</v>
      </c>
      <c r="AY17" s="77">
        <f t="shared" si="12"/>
        <v>87227.746986695376</v>
      </c>
      <c r="AZ17" s="77">
        <f t="shared" si="13"/>
        <v>69332095.872823924</v>
      </c>
      <c r="BA17" s="81">
        <f t="shared" si="14"/>
        <v>16</v>
      </c>
      <c r="BB17" s="94">
        <v>16.331066385279414</v>
      </c>
      <c r="BC17" s="83" t="s">
        <v>116</v>
      </c>
      <c r="BD17" s="17" t="s">
        <v>97</v>
      </c>
      <c r="BE17" s="84"/>
      <c r="BF17" s="85">
        <f t="shared" si="15"/>
        <v>0</v>
      </c>
      <c r="BG17" s="62" t="s">
        <v>105</v>
      </c>
      <c r="BH17" s="86" t="s">
        <v>106</v>
      </c>
      <c r="BI17" s="87">
        <v>0.19</v>
      </c>
      <c r="BJ17" s="88" t="s">
        <v>112</v>
      </c>
      <c r="BK17" s="89">
        <v>15</v>
      </c>
      <c r="BL17" s="86" t="s">
        <v>117</v>
      </c>
      <c r="BM17" s="18" t="s">
        <v>114</v>
      </c>
      <c r="BN17" s="91" t="s">
        <v>118</v>
      </c>
      <c r="BO17" s="92"/>
      <c r="BP17" s="92"/>
    </row>
    <row r="18" spans="3:68" ht="40.15" customHeight="1" outlineLevel="1" x14ac:dyDescent="0.25">
      <c r="C18" s="93"/>
      <c r="D18" s="61">
        <v>35</v>
      </c>
      <c r="E18" s="61"/>
      <c r="F18" s="61" t="s">
        <v>109</v>
      </c>
      <c r="G18" s="62" t="s">
        <v>119</v>
      </c>
      <c r="H18" s="63">
        <v>2627.57</v>
      </c>
      <c r="I18" s="64">
        <f t="shared" si="16"/>
        <v>794.83992499999999</v>
      </c>
      <c r="J18" s="65">
        <v>1124.82</v>
      </c>
      <c r="K18" s="64">
        <f t="shared" si="17"/>
        <v>340.25804999999997</v>
      </c>
      <c r="L18" s="66">
        <f t="shared" si="18"/>
        <v>0.42808374277374145</v>
      </c>
      <c r="M18" s="17">
        <v>43831</v>
      </c>
      <c r="N18" s="17">
        <v>43831</v>
      </c>
      <c r="O18" s="17">
        <v>45657</v>
      </c>
      <c r="P18" s="67">
        <f t="shared" si="19"/>
        <v>5</v>
      </c>
      <c r="Q18" s="68">
        <f t="shared" si="20"/>
        <v>60</v>
      </c>
      <c r="R18" s="69">
        <f t="shared" si="21"/>
        <v>7</v>
      </c>
      <c r="S18" s="70">
        <f t="shared" si="22"/>
        <v>0.41643835616438357</v>
      </c>
      <c r="T18" s="17">
        <v>45657</v>
      </c>
      <c r="U18" s="67">
        <f t="shared" si="23"/>
        <v>5</v>
      </c>
      <c r="V18" s="68">
        <f t="shared" si="0"/>
        <v>60</v>
      </c>
      <c r="W18" s="68">
        <f t="shared" si="1"/>
        <v>7</v>
      </c>
      <c r="X18" s="71">
        <v>6</v>
      </c>
      <c r="Y18" s="72">
        <f t="shared" si="24"/>
        <v>45473</v>
      </c>
      <c r="Z18" s="73">
        <v>14</v>
      </c>
      <c r="AA18" s="74">
        <f t="shared" si="2"/>
        <v>2.8</v>
      </c>
      <c r="AB18" s="75">
        <v>0</v>
      </c>
      <c r="AC18" s="76"/>
      <c r="AD18" s="77">
        <f t="shared" si="3"/>
        <v>0</v>
      </c>
      <c r="AE18" s="78">
        <v>0</v>
      </c>
      <c r="AF18" s="77">
        <f t="shared" si="25"/>
        <v>206510.35092507646</v>
      </c>
      <c r="AG18" s="77">
        <f t="shared" si="4"/>
        <v>176430.87822105456</v>
      </c>
      <c r="AH18" s="77">
        <f t="shared" si="5"/>
        <v>318375.794770982</v>
      </c>
      <c r="AI18" s="77">
        <f t="shared" si="6"/>
        <v>55185.142524849791</v>
      </c>
      <c r="AJ18" s="77">
        <f t="shared" si="7"/>
        <v>32422.641933748273</v>
      </c>
      <c r="AK18" s="77">
        <f t="shared" si="26"/>
        <v>253057792.83758271</v>
      </c>
      <c r="AL18" s="77">
        <f t="shared" si="27"/>
        <v>0</v>
      </c>
      <c r="AM18" s="78">
        <v>253057792.83758271</v>
      </c>
      <c r="AN18" s="77"/>
      <c r="AO18" s="78"/>
      <c r="AP18" s="78"/>
      <c r="AQ18" s="78"/>
      <c r="AR18" s="77">
        <f t="shared" si="8"/>
        <v>2631801272.7339549</v>
      </c>
      <c r="AS18" s="77">
        <f t="shared" si="9"/>
        <v>2017714309.0960324</v>
      </c>
      <c r="AT18" s="78">
        <v>43863354.545565918</v>
      </c>
      <c r="AU18" s="79">
        <f t="shared" si="28"/>
        <v>33628571.818267204</v>
      </c>
      <c r="AV18" s="77">
        <f t="shared" si="10"/>
        <v>1546248616.9753399</v>
      </c>
      <c r="AW18" s="80">
        <f t="shared" si="11"/>
        <v>1546248616.9753399</v>
      </c>
      <c r="AX18" s="78">
        <v>25770810.282922331</v>
      </c>
      <c r="AY18" s="77">
        <f t="shared" si="12"/>
        <v>87607.784458598064</v>
      </c>
      <c r="AZ18" s="77">
        <f t="shared" si="13"/>
        <v>69634164.828488246</v>
      </c>
      <c r="BA18" s="81">
        <f t="shared" si="14"/>
        <v>16</v>
      </c>
      <c r="BB18" s="82">
        <v>16.284321807935662</v>
      </c>
      <c r="BC18" s="83" t="s">
        <v>104</v>
      </c>
      <c r="BD18" s="17" t="s">
        <v>108</v>
      </c>
      <c r="BE18" s="84"/>
      <c r="BF18" s="85">
        <f t="shared" si="15"/>
        <v>0</v>
      </c>
      <c r="BG18" s="62" t="s">
        <v>98</v>
      </c>
      <c r="BH18" s="86" t="s">
        <v>99</v>
      </c>
      <c r="BI18" s="87">
        <v>0.19</v>
      </c>
      <c r="BJ18" s="88" t="s">
        <v>100</v>
      </c>
      <c r="BK18" s="89">
        <v>15</v>
      </c>
      <c r="BL18" s="18" t="s">
        <v>120</v>
      </c>
      <c r="BM18" s="90"/>
      <c r="BN18" s="91" t="s">
        <v>102</v>
      </c>
      <c r="BO18" s="92"/>
      <c r="BP18" s="92"/>
    </row>
    <row r="19" spans="3:68" ht="40.15" customHeight="1" outlineLevel="1" x14ac:dyDescent="0.25">
      <c r="C19" s="93"/>
      <c r="D19" s="95">
        <v>34</v>
      </c>
      <c r="E19" s="18">
        <v>1</v>
      </c>
      <c r="F19" s="61" t="s">
        <v>109</v>
      </c>
      <c r="G19" s="62" t="s">
        <v>119</v>
      </c>
      <c r="H19" s="63">
        <v>1516.63</v>
      </c>
      <c r="I19" s="64">
        <f t="shared" si="16"/>
        <v>458.780575</v>
      </c>
      <c r="J19" s="65">
        <v>649.24</v>
      </c>
      <c r="K19" s="64">
        <f t="shared" si="17"/>
        <v>196.39509999999999</v>
      </c>
      <c r="L19" s="66">
        <f t="shared" si="18"/>
        <v>0.42808067887355516</v>
      </c>
      <c r="M19" s="17">
        <v>43831</v>
      </c>
      <c r="N19" s="17">
        <v>43831</v>
      </c>
      <c r="O19" s="17">
        <v>45657</v>
      </c>
      <c r="P19" s="67">
        <f t="shared" si="19"/>
        <v>5</v>
      </c>
      <c r="Q19" s="68">
        <f t="shared" si="20"/>
        <v>60</v>
      </c>
      <c r="R19" s="69">
        <f t="shared" si="21"/>
        <v>7</v>
      </c>
      <c r="S19" s="70">
        <f t="shared" si="22"/>
        <v>0.41643835616438357</v>
      </c>
      <c r="T19" s="17">
        <v>45657</v>
      </c>
      <c r="U19" s="67">
        <f t="shared" si="23"/>
        <v>5</v>
      </c>
      <c r="V19" s="68">
        <f t="shared" si="0"/>
        <v>60</v>
      </c>
      <c r="W19" s="68">
        <f t="shared" si="1"/>
        <v>7</v>
      </c>
      <c r="X19" s="71">
        <v>6</v>
      </c>
      <c r="Y19" s="72">
        <f t="shared" si="24"/>
        <v>45473</v>
      </c>
      <c r="Z19" s="73">
        <v>14</v>
      </c>
      <c r="AA19" s="74">
        <f t="shared" si="2"/>
        <v>2.8</v>
      </c>
      <c r="AB19" s="75">
        <v>0</v>
      </c>
      <c r="AC19" s="76"/>
      <c r="AD19" s="77">
        <f t="shared" si="3"/>
        <v>0</v>
      </c>
      <c r="AE19" s="78">
        <v>0</v>
      </c>
      <c r="AF19" s="77">
        <f t="shared" si="25"/>
        <v>206511.82898081199</v>
      </c>
      <c r="AG19" s="77">
        <f t="shared" si="4"/>
        <v>176432.14098909649</v>
      </c>
      <c r="AH19" s="77">
        <f t="shared" si="5"/>
        <v>318375.794770982</v>
      </c>
      <c r="AI19" s="77">
        <f t="shared" si="6"/>
        <v>55185.142524849791</v>
      </c>
      <c r="AJ19" s="77">
        <f t="shared" si="7"/>
        <v>32422.641933748269</v>
      </c>
      <c r="AK19" s="77">
        <f t="shared" si="26"/>
        <v>146064630.19111311</v>
      </c>
      <c r="AL19" s="77">
        <f t="shared" si="27"/>
        <v>0</v>
      </c>
      <c r="AM19" s="78">
        <v>146064630.19111311</v>
      </c>
      <c r="AN19" s="77"/>
      <c r="AO19" s="78"/>
      <c r="AP19" s="78"/>
      <c r="AQ19" s="78"/>
      <c r="AR19" s="77">
        <f t="shared" si="8"/>
        <v>1519072285.1404524</v>
      </c>
      <c r="AS19" s="77">
        <f t="shared" si="9"/>
        <v>1164622085.2743466</v>
      </c>
      <c r="AT19" s="78">
        <v>25317871.41900754</v>
      </c>
      <c r="AU19" s="79">
        <f t="shared" si="28"/>
        <v>19410368.087905776</v>
      </c>
      <c r="AV19" s="77">
        <f t="shared" si="10"/>
        <v>892492698.5630486</v>
      </c>
      <c r="AW19" s="80">
        <f t="shared" si="11"/>
        <v>892492698.5630486</v>
      </c>
      <c r="AX19" s="78">
        <v>14874878.309384143</v>
      </c>
      <c r="AY19" s="77">
        <f t="shared" si="12"/>
        <v>87607.784458598064</v>
      </c>
      <c r="AZ19" s="77">
        <f t="shared" si="13"/>
        <v>40192749.728391685</v>
      </c>
      <c r="BA19" s="81">
        <f t="shared" si="14"/>
        <v>9</v>
      </c>
      <c r="BB19" s="82">
        <v>9.3992894513065171</v>
      </c>
      <c r="BC19" s="83" t="s">
        <v>104</v>
      </c>
      <c r="BD19" s="17" t="s">
        <v>121</v>
      </c>
      <c r="BE19" s="84"/>
      <c r="BF19" s="85">
        <f t="shared" si="15"/>
        <v>0</v>
      </c>
      <c r="BG19" s="62" t="s">
        <v>98</v>
      </c>
      <c r="BH19" s="86" t="s">
        <v>106</v>
      </c>
      <c r="BI19" s="87">
        <v>0.19</v>
      </c>
      <c r="BJ19" s="88" t="s">
        <v>100</v>
      </c>
      <c r="BK19" s="89">
        <v>15</v>
      </c>
      <c r="BL19" s="18" t="s">
        <v>101</v>
      </c>
      <c r="BM19" s="90"/>
      <c r="BN19" s="91" t="s">
        <v>122</v>
      </c>
      <c r="BO19" s="92"/>
      <c r="BP19" s="92"/>
    </row>
    <row r="20" spans="3:68" ht="40.15" customHeight="1" outlineLevel="1" x14ac:dyDescent="0.25">
      <c r="C20" s="93"/>
      <c r="D20" s="95"/>
      <c r="E20" s="18">
        <v>2</v>
      </c>
      <c r="F20" s="61" t="s">
        <v>94</v>
      </c>
      <c r="G20" s="62" t="s">
        <v>110</v>
      </c>
      <c r="H20" s="63">
        <v>1110.94</v>
      </c>
      <c r="I20" s="64">
        <f t="shared" si="16"/>
        <v>336.05934999999999</v>
      </c>
      <c r="J20" s="65">
        <v>475.58</v>
      </c>
      <c r="K20" s="64">
        <f t="shared" si="17"/>
        <v>143.86294999999998</v>
      </c>
      <c r="L20" s="66">
        <f t="shared" si="18"/>
        <v>0.42808792554053321</v>
      </c>
      <c r="M20" s="17">
        <v>39989</v>
      </c>
      <c r="N20" s="17">
        <v>43831</v>
      </c>
      <c r="O20" s="17">
        <v>45657</v>
      </c>
      <c r="P20" s="67">
        <f t="shared" si="19"/>
        <v>5</v>
      </c>
      <c r="Q20" s="68">
        <f t="shared" si="20"/>
        <v>60</v>
      </c>
      <c r="R20" s="69">
        <f t="shared" si="21"/>
        <v>7</v>
      </c>
      <c r="S20" s="70">
        <f t="shared" si="22"/>
        <v>0.41643835616438357</v>
      </c>
      <c r="T20" s="17">
        <v>45657</v>
      </c>
      <c r="U20" s="67">
        <f t="shared" si="23"/>
        <v>5</v>
      </c>
      <c r="V20" s="68">
        <f t="shared" si="0"/>
        <v>60</v>
      </c>
      <c r="W20" s="68">
        <f t="shared" si="1"/>
        <v>7</v>
      </c>
      <c r="X20" s="71">
        <v>6</v>
      </c>
      <c r="Y20" s="72">
        <f t="shared" si="24"/>
        <v>45473</v>
      </c>
      <c r="Z20" s="73">
        <v>14</v>
      </c>
      <c r="AA20" s="74">
        <f t="shared" si="2"/>
        <v>2.8</v>
      </c>
      <c r="AB20" s="75">
        <v>0</v>
      </c>
      <c r="AC20" s="76"/>
      <c r="AD20" s="77">
        <f t="shared" si="3"/>
        <v>0</v>
      </c>
      <c r="AE20" s="78">
        <v>0</v>
      </c>
      <c r="AF20" s="77">
        <f t="shared" si="25"/>
        <v>205587.4805943502</v>
      </c>
      <c r="AG20" s="77">
        <f t="shared" si="4"/>
        <v>175647.80204492222</v>
      </c>
      <c r="AH20" s="77">
        <f t="shared" si="5"/>
        <v>312644.2457590265</v>
      </c>
      <c r="AI20" s="77">
        <f t="shared" si="6"/>
        <v>54929.206635321541</v>
      </c>
      <c r="AJ20" s="77">
        <f t="shared" si="7"/>
        <v>32298.700835020885</v>
      </c>
      <c r="AK20" s="77">
        <f t="shared" si="26"/>
        <v>105067022.01101871</v>
      </c>
      <c r="AL20" s="77">
        <f t="shared" si="27"/>
        <v>0</v>
      </c>
      <c r="AM20" s="78">
        <v>105067022.01101871</v>
      </c>
      <c r="AN20" s="77"/>
      <c r="AO20" s="78"/>
      <c r="AP20" s="78"/>
      <c r="AQ20" s="78"/>
      <c r="AR20" s="77">
        <f t="shared" si="8"/>
        <v>1107568408.6729107</v>
      </c>
      <c r="AS20" s="77">
        <f t="shared" si="9"/>
        <v>849135779.98256493</v>
      </c>
      <c r="AT20" s="78">
        <v>18459473.477881845</v>
      </c>
      <c r="AU20" s="79">
        <f t="shared" si="28"/>
        <v>14152262.999709416</v>
      </c>
      <c r="AV20" s="77">
        <f t="shared" si="10"/>
        <v>651256824.5076946</v>
      </c>
      <c r="AW20" s="80">
        <f t="shared" si="11"/>
        <v>651256824.5076946</v>
      </c>
      <c r="AX20" s="78">
        <v>10854280.408461576</v>
      </c>
      <c r="AY20" s="77">
        <f t="shared" si="12"/>
        <v>87227.907470342427</v>
      </c>
      <c r="AZ20" s="77">
        <f t="shared" si="13"/>
        <v>29313753.88634342</v>
      </c>
      <c r="BA20" s="81">
        <f t="shared" si="14"/>
        <v>7</v>
      </c>
      <c r="BB20" s="94">
        <v>6.9048087280924468</v>
      </c>
      <c r="BC20" s="83" t="s">
        <v>111</v>
      </c>
      <c r="BD20" s="17" t="s">
        <v>97</v>
      </c>
      <c r="BE20" s="84"/>
      <c r="BF20" s="85">
        <f t="shared" si="15"/>
        <v>0</v>
      </c>
      <c r="BG20" s="62" t="s">
        <v>98</v>
      </c>
      <c r="BH20" s="86" t="s">
        <v>106</v>
      </c>
      <c r="BI20" s="87">
        <v>0.19</v>
      </c>
      <c r="BJ20" s="88" t="s">
        <v>112</v>
      </c>
      <c r="BK20" s="89">
        <v>15</v>
      </c>
      <c r="BL20" s="86" t="s">
        <v>117</v>
      </c>
      <c r="BM20" s="18" t="s">
        <v>123</v>
      </c>
      <c r="BN20" s="91" t="s">
        <v>102</v>
      </c>
      <c r="BO20" s="92"/>
      <c r="BP20" s="92"/>
    </row>
    <row r="21" spans="3:68" ht="40.15" customHeight="1" outlineLevel="1" x14ac:dyDescent="0.25">
      <c r="C21" s="93"/>
      <c r="D21" s="95">
        <v>33</v>
      </c>
      <c r="E21" s="18">
        <v>1</v>
      </c>
      <c r="F21" s="61" t="s">
        <v>109</v>
      </c>
      <c r="G21" s="62" t="s">
        <v>119</v>
      </c>
      <c r="H21" s="63">
        <v>338.57</v>
      </c>
      <c r="I21" s="64">
        <f t="shared" si="16"/>
        <v>102.41742499999999</v>
      </c>
      <c r="J21" s="65">
        <v>125.41</v>
      </c>
      <c r="K21" s="64">
        <f t="shared" si="17"/>
        <v>37.936524999999996</v>
      </c>
      <c r="L21" s="66">
        <f t="shared" si="18"/>
        <v>0.37041084561538234</v>
      </c>
      <c r="M21" s="17">
        <v>41625</v>
      </c>
      <c r="N21" s="17">
        <v>43831</v>
      </c>
      <c r="O21" s="17">
        <v>45657</v>
      </c>
      <c r="P21" s="67">
        <f t="shared" si="19"/>
        <v>5</v>
      </c>
      <c r="Q21" s="68">
        <f t="shared" si="20"/>
        <v>60</v>
      </c>
      <c r="R21" s="69">
        <f t="shared" si="21"/>
        <v>7</v>
      </c>
      <c r="S21" s="70">
        <f t="shared" si="22"/>
        <v>0.41643835616438357</v>
      </c>
      <c r="T21" s="17">
        <v>45657</v>
      </c>
      <c r="U21" s="67">
        <f t="shared" si="23"/>
        <v>5</v>
      </c>
      <c r="V21" s="68">
        <f t="shared" si="0"/>
        <v>60</v>
      </c>
      <c r="W21" s="68">
        <f t="shared" si="1"/>
        <v>7</v>
      </c>
      <c r="X21" s="71">
        <v>6</v>
      </c>
      <c r="Y21" s="72">
        <f t="shared" si="24"/>
        <v>45473</v>
      </c>
      <c r="Z21" s="73">
        <v>14</v>
      </c>
      <c r="AA21" s="74">
        <f t="shared" si="2"/>
        <v>2.8</v>
      </c>
      <c r="AB21" s="75">
        <v>0</v>
      </c>
      <c r="AC21" s="76"/>
      <c r="AD21" s="77">
        <f t="shared" si="3"/>
        <v>0</v>
      </c>
      <c r="AE21" s="78">
        <v>0</v>
      </c>
      <c r="AF21" s="77">
        <f t="shared" si="25"/>
        <v>238663.97269943843</v>
      </c>
      <c r="AG21" s="77">
        <f t="shared" si="4"/>
        <v>203901.1319019293</v>
      </c>
      <c r="AH21" s="77">
        <f t="shared" si="5"/>
        <v>318375.794770982</v>
      </c>
      <c r="AI21" s="77">
        <f t="shared" si="6"/>
        <v>55185.142524849791</v>
      </c>
      <c r="AJ21" s="77">
        <f t="shared" si="7"/>
        <v>32422.641933748269</v>
      </c>
      <c r="AK21" s="77">
        <f t="shared" si="26"/>
        <v>32607229.082772437</v>
      </c>
      <c r="AL21" s="77">
        <f t="shared" si="27"/>
        <v>0</v>
      </c>
      <c r="AM21" s="78">
        <v>32607229.082772437</v>
      </c>
      <c r="AN21" s="77"/>
      <c r="AO21" s="78"/>
      <c r="AP21" s="78"/>
      <c r="AQ21" s="78"/>
      <c r="AR21" s="77">
        <f t="shared" si="8"/>
        <v>339115211.73918682</v>
      </c>
      <c r="AS21" s="77">
        <f t="shared" si="9"/>
        <v>259988329.00004324</v>
      </c>
      <c r="AT21" s="78">
        <v>5651920.1956531135</v>
      </c>
      <c r="AU21" s="79">
        <f t="shared" si="28"/>
        <v>4333138.8166673873</v>
      </c>
      <c r="AV21" s="77">
        <f t="shared" si="10"/>
        <v>199238609.91309106</v>
      </c>
      <c r="AW21" s="80">
        <f t="shared" si="11"/>
        <v>199238609.91309106</v>
      </c>
      <c r="AX21" s="78">
        <v>3320643.4985515182</v>
      </c>
      <c r="AY21" s="77">
        <f t="shared" si="12"/>
        <v>87607.784458598064</v>
      </c>
      <c r="AZ21" s="77">
        <f t="shared" si="13"/>
        <v>8972563.6942046322</v>
      </c>
      <c r="BA21" s="81">
        <f t="shared" si="14"/>
        <v>2</v>
      </c>
      <c r="BB21" s="82">
        <v>2.0982819999135236</v>
      </c>
      <c r="BC21" s="83" t="s">
        <v>124</v>
      </c>
      <c r="BD21" s="17" t="s">
        <v>97</v>
      </c>
      <c r="BE21" s="84"/>
      <c r="BF21" s="85">
        <f t="shared" si="15"/>
        <v>0</v>
      </c>
      <c r="BG21" s="62" t="s">
        <v>98</v>
      </c>
      <c r="BH21" s="86" t="s">
        <v>106</v>
      </c>
      <c r="BI21" s="87">
        <v>0.19</v>
      </c>
      <c r="BJ21" s="88" t="s">
        <v>100</v>
      </c>
      <c r="BK21" s="89">
        <v>15</v>
      </c>
      <c r="BL21" s="18" t="s">
        <v>101</v>
      </c>
      <c r="BM21" s="90"/>
      <c r="BN21" s="91" t="s">
        <v>102</v>
      </c>
      <c r="BO21" s="92"/>
      <c r="BP21" s="92"/>
    </row>
    <row r="22" spans="3:68" ht="40.15" customHeight="1" outlineLevel="1" x14ac:dyDescent="0.25">
      <c r="C22" s="93"/>
      <c r="D22" s="95"/>
      <c r="E22" s="18">
        <v>2</v>
      </c>
      <c r="F22" s="61" t="s">
        <v>109</v>
      </c>
      <c r="G22" s="62" t="s">
        <v>125</v>
      </c>
      <c r="H22" s="63">
        <v>275.47000000000003</v>
      </c>
      <c r="I22" s="64">
        <f t="shared" si="16"/>
        <v>83.329675000000009</v>
      </c>
      <c r="J22" s="65">
        <v>102.09</v>
      </c>
      <c r="K22" s="64">
        <f t="shared" si="17"/>
        <v>30.882225000000002</v>
      </c>
      <c r="L22" s="66">
        <f t="shared" si="18"/>
        <v>0.3706029694703597</v>
      </c>
      <c r="M22" s="17">
        <v>45352</v>
      </c>
      <c r="N22" s="17">
        <v>45383</v>
      </c>
      <c r="O22" s="17">
        <v>45747</v>
      </c>
      <c r="P22" s="67">
        <f t="shared" si="19"/>
        <v>1</v>
      </c>
      <c r="Q22" s="68">
        <f t="shared" si="20"/>
        <v>12</v>
      </c>
      <c r="R22" s="69">
        <f t="shared" si="21"/>
        <v>10</v>
      </c>
      <c r="S22" s="70">
        <f t="shared" si="22"/>
        <v>0.66301369863013704</v>
      </c>
      <c r="T22" s="96"/>
      <c r="U22" s="67"/>
      <c r="V22" s="68"/>
      <c r="W22" s="68" t="str">
        <f t="shared" si="1"/>
        <v>만료</v>
      </c>
      <c r="X22" s="71">
        <v>3</v>
      </c>
      <c r="Y22" s="72">
        <f t="shared" si="24"/>
        <v>45657</v>
      </c>
      <c r="Z22" s="73">
        <v>0</v>
      </c>
      <c r="AA22" s="74">
        <f t="shared" si="2"/>
        <v>0</v>
      </c>
      <c r="AB22" s="75">
        <v>0</v>
      </c>
      <c r="AC22" s="76"/>
      <c r="AD22" s="77">
        <f t="shared" si="3"/>
        <v>0</v>
      </c>
      <c r="AE22" s="78">
        <v>0</v>
      </c>
      <c r="AF22" s="77">
        <f t="shared" si="25"/>
        <v>260097.67754752125</v>
      </c>
      <c r="AG22" s="77">
        <f t="shared" si="4"/>
        <v>260097.67754752125</v>
      </c>
      <c r="AH22" s="77">
        <f t="shared" si="5"/>
        <v>600002.34010273044</v>
      </c>
      <c r="AI22" s="77">
        <f t="shared" si="6"/>
        <v>59892.229268864896</v>
      </c>
      <c r="AJ22" s="77">
        <f t="shared" si="7"/>
        <v>35000.736532333765</v>
      </c>
      <c r="AK22" s="77">
        <f t="shared" si="26"/>
        <v>49998000</v>
      </c>
      <c r="AL22" s="77">
        <f t="shared" si="27"/>
        <v>0</v>
      </c>
      <c r="AM22" s="78">
        <v>49998000</v>
      </c>
      <c r="AN22" s="77"/>
      <c r="AO22" s="78"/>
      <c r="AP22" s="78"/>
      <c r="AQ22" s="78"/>
      <c r="AR22" s="77">
        <f t="shared" si="8"/>
        <v>59889600</v>
      </c>
      <c r="AS22" s="77">
        <f t="shared" si="9"/>
        <v>59889600</v>
      </c>
      <c r="AT22" s="78">
        <v>4990800</v>
      </c>
      <c r="AU22" s="79">
        <f t="shared" si="28"/>
        <v>4990800</v>
      </c>
      <c r="AV22" s="77">
        <f t="shared" si="10"/>
        <v>34999200</v>
      </c>
      <c r="AW22" s="80">
        <f t="shared" si="11"/>
        <v>34999200</v>
      </c>
      <c r="AX22" s="78">
        <v>2916600</v>
      </c>
      <c r="AY22" s="77">
        <f t="shared" si="12"/>
        <v>94892.965801198661</v>
      </c>
      <c r="AZ22" s="77">
        <f t="shared" si="13"/>
        <v>7907400</v>
      </c>
      <c r="BA22" s="81">
        <f t="shared" si="14"/>
        <v>2</v>
      </c>
      <c r="BB22" s="82">
        <v>0</v>
      </c>
      <c r="BC22" s="77"/>
      <c r="BD22" s="17" t="s">
        <v>97</v>
      </c>
      <c r="BE22" s="84"/>
      <c r="BF22" s="85">
        <f t="shared" si="15"/>
        <v>0</v>
      </c>
      <c r="BG22" s="62" t="s">
        <v>126</v>
      </c>
      <c r="BH22" s="86" t="s">
        <v>106</v>
      </c>
      <c r="BI22" s="87">
        <v>0.19</v>
      </c>
      <c r="BJ22" s="97" t="s">
        <v>127</v>
      </c>
      <c r="BK22" s="89" t="s">
        <v>128</v>
      </c>
      <c r="BL22" s="90"/>
      <c r="BM22" s="90"/>
      <c r="BN22" s="91" t="s">
        <v>118</v>
      </c>
      <c r="BO22" s="92"/>
      <c r="BP22" s="92"/>
    </row>
    <row r="23" spans="3:68" ht="40.15" customHeight="1" outlineLevel="1" x14ac:dyDescent="0.25">
      <c r="C23" s="93"/>
      <c r="D23" s="95"/>
      <c r="E23" s="18">
        <v>3</v>
      </c>
      <c r="F23" s="61" t="s">
        <v>94</v>
      </c>
      <c r="G23" s="62" t="s">
        <v>129</v>
      </c>
      <c r="H23" s="63">
        <v>384.25</v>
      </c>
      <c r="I23" s="64">
        <f t="shared" si="16"/>
        <v>116.235625</v>
      </c>
      <c r="J23" s="65">
        <f>244.62-102.22</f>
        <v>142.4</v>
      </c>
      <c r="K23" s="64">
        <f t="shared" si="17"/>
        <v>43.076000000000001</v>
      </c>
      <c r="L23" s="66">
        <f t="shared" si="18"/>
        <v>0.3705920624593364</v>
      </c>
      <c r="M23" s="17">
        <v>43831</v>
      </c>
      <c r="N23" s="17">
        <v>43831</v>
      </c>
      <c r="O23" s="17">
        <v>45657</v>
      </c>
      <c r="P23" s="67">
        <f t="shared" si="19"/>
        <v>5</v>
      </c>
      <c r="Q23" s="68">
        <f t="shared" si="20"/>
        <v>60</v>
      </c>
      <c r="R23" s="69">
        <f t="shared" si="21"/>
        <v>7</v>
      </c>
      <c r="S23" s="70">
        <f t="shared" si="22"/>
        <v>0.41643835616438357</v>
      </c>
      <c r="T23" s="17">
        <v>45657</v>
      </c>
      <c r="U23" s="67">
        <f t="shared" si="23"/>
        <v>5</v>
      </c>
      <c r="V23" s="68">
        <f t="shared" ref="V23:V30" si="29">DATEDIF(N23,T23,"m")+1</f>
        <v>60</v>
      </c>
      <c r="W23" s="68">
        <f t="shared" si="1"/>
        <v>7</v>
      </c>
      <c r="X23" s="71">
        <v>6</v>
      </c>
      <c r="Y23" s="72">
        <f t="shared" si="24"/>
        <v>45473</v>
      </c>
      <c r="Z23" s="73">
        <v>14</v>
      </c>
      <c r="AA23" s="74">
        <f t="shared" si="2"/>
        <v>2.8</v>
      </c>
      <c r="AB23" s="75">
        <v>0</v>
      </c>
      <c r="AC23" s="76"/>
      <c r="AD23" s="77">
        <f t="shared" si="3"/>
        <v>0</v>
      </c>
      <c r="AE23" s="78">
        <v>0</v>
      </c>
      <c r="AF23" s="77">
        <f t="shared" si="25"/>
        <v>237492.02792940542</v>
      </c>
      <c r="AG23" s="77">
        <f t="shared" si="4"/>
        <v>202906.09422516424</v>
      </c>
      <c r="AH23" s="77">
        <f t="shared" si="5"/>
        <v>312655.40866294218</v>
      </c>
      <c r="AI23" s="77">
        <f t="shared" si="6"/>
        <v>54931.167872299826</v>
      </c>
      <c r="AJ23" s="77">
        <f t="shared" si="7"/>
        <v>32299.854054051499</v>
      </c>
      <c r="AK23" s="77">
        <f t="shared" si="26"/>
        <v>36341696.835567497</v>
      </c>
      <c r="AL23" s="77">
        <f t="shared" si="27"/>
        <v>0</v>
      </c>
      <c r="AM23" s="78">
        <v>36341696.835567497</v>
      </c>
      <c r="AN23" s="77"/>
      <c r="AO23" s="78"/>
      <c r="AP23" s="78"/>
      <c r="AQ23" s="78"/>
      <c r="AR23" s="77">
        <f t="shared" si="8"/>
        <v>383097517.77700144</v>
      </c>
      <c r="AS23" s="77">
        <f t="shared" si="9"/>
        <v>293708096.96236777</v>
      </c>
      <c r="AT23" s="78">
        <v>6384958.6296166908</v>
      </c>
      <c r="AU23" s="79">
        <f t="shared" si="28"/>
        <v>4895134.9493727963</v>
      </c>
      <c r="AV23" s="77">
        <f t="shared" si="10"/>
        <v>225263623.40288758</v>
      </c>
      <c r="AW23" s="80">
        <f t="shared" si="11"/>
        <v>225263623.40288758</v>
      </c>
      <c r="AX23" s="78">
        <v>3754393.7233814597</v>
      </c>
      <c r="AY23" s="77">
        <f t="shared" si="12"/>
        <v>87231.021926351328</v>
      </c>
      <c r="AZ23" s="77">
        <f t="shared" si="13"/>
        <v>10139352.352998151</v>
      </c>
      <c r="BA23" s="81">
        <f t="shared" si="14"/>
        <v>2</v>
      </c>
      <c r="BB23" s="94">
        <v>2.3883085358372487</v>
      </c>
      <c r="BC23" s="83" t="s">
        <v>116</v>
      </c>
      <c r="BD23" s="17" t="s">
        <v>108</v>
      </c>
      <c r="BE23" s="84"/>
      <c r="BF23" s="85">
        <f t="shared" si="15"/>
        <v>0</v>
      </c>
      <c r="BG23" s="62" t="s">
        <v>130</v>
      </c>
      <c r="BH23" s="86" t="s">
        <v>99</v>
      </c>
      <c r="BI23" s="87">
        <v>0.19</v>
      </c>
      <c r="BJ23" s="88" t="s">
        <v>112</v>
      </c>
      <c r="BK23" s="89">
        <v>15</v>
      </c>
      <c r="BL23" s="86" t="s">
        <v>117</v>
      </c>
      <c r="BM23" s="18" t="s">
        <v>123</v>
      </c>
      <c r="BN23" s="91" t="s">
        <v>115</v>
      </c>
      <c r="BO23" s="92"/>
      <c r="BP23" s="92"/>
    </row>
    <row r="24" spans="3:68" ht="40.15" customHeight="1" outlineLevel="1" x14ac:dyDescent="0.25">
      <c r="C24" s="93"/>
      <c r="D24" s="95"/>
      <c r="E24" s="18">
        <v>4</v>
      </c>
      <c r="F24" s="61" t="s">
        <v>109</v>
      </c>
      <c r="G24" s="62" t="s">
        <v>131</v>
      </c>
      <c r="H24" s="63">
        <v>659.56</v>
      </c>
      <c r="I24" s="64">
        <f t="shared" si="16"/>
        <v>199.51689999999996</v>
      </c>
      <c r="J24" s="65">
        <v>244.43</v>
      </c>
      <c r="K24" s="64">
        <f t="shared" si="17"/>
        <v>73.940074999999993</v>
      </c>
      <c r="L24" s="66">
        <f t="shared" si="18"/>
        <v>0.37059554854751658</v>
      </c>
      <c r="M24" s="17">
        <v>43198</v>
      </c>
      <c r="N24" s="17">
        <v>45024</v>
      </c>
      <c r="O24" s="17">
        <v>46850</v>
      </c>
      <c r="P24" s="67">
        <f t="shared" si="19"/>
        <v>5</v>
      </c>
      <c r="Q24" s="68">
        <f t="shared" si="20"/>
        <v>60</v>
      </c>
      <c r="R24" s="69">
        <f t="shared" si="21"/>
        <v>46</v>
      </c>
      <c r="S24" s="70">
        <f t="shared" si="22"/>
        <v>3.6849315068493151</v>
      </c>
      <c r="T24" s="17">
        <v>46119</v>
      </c>
      <c r="U24" s="67">
        <f t="shared" si="23"/>
        <v>3</v>
      </c>
      <c r="V24" s="68">
        <f t="shared" si="29"/>
        <v>36</v>
      </c>
      <c r="W24" s="68">
        <f t="shared" si="1"/>
        <v>22</v>
      </c>
      <c r="X24" s="71">
        <v>6</v>
      </c>
      <c r="Y24" s="72">
        <f t="shared" si="24"/>
        <v>46667</v>
      </c>
      <c r="Z24" s="73">
        <v>15</v>
      </c>
      <c r="AA24" s="74">
        <f t="shared" si="2"/>
        <v>3</v>
      </c>
      <c r="AB24" s="75">
        <v>0</v>
      </c>
      <c r="AC24" s="76"/>
      <c r="AD24" s="77">
        <f t="shared" si="3"/>
        <v>0</v>
      </c>
      <c r="AE24" s="78">
        <v>0</v>
      </c>
      <c r="AF24" s="77">
        <f t="shared" si="25"/>
        <v>275485.24937254936</v>
      </c>
      <c r="AG24" s="77">
        <f t="shared" si="4"/>
        <v>231731.57452166502</v>
      </c>
      <c r="AH24" s="77">
        <f t="shared" si="5"/>
        <v>215520.58998510908</v>
      </c>
      <c r="AI24" s="77">
        <f t="shared" si="6"/>
        <v>64859.668529332615</v>
      </c>
      <c r="AJ24" s="77">
        <f t="shared" si="7"/>
        <v>36695.137103673929</v>
      </c>
      <c r="AK24" s="77">
        <f t="shared" si="26"/>
        <v>43000000</v>
      </c>
      <c r="AL24" s="77">
        <f t="shared" si="27"/>
        <v>0</v>
      </c>
      <c r="AM24" s="78">
        <v>43000000</v>
      </c>
      <c r="AN24" s="77"/>
      <c r="AO24" s="78"/>
      <c r="AP24" s="78"/>
      <c r="AQ24" s="78"/>
      <c r="AR24" s="77">
        <f t="shared" si="8"/>
        <v>776436000</v>
      </c>
      <c r="AS24" s="77">
        <f t="shared" si="9"/>
        <v>582327000</v>
      </c>
      <c r="AT24" s="78">
        <v>12940600</v>
      </c>
      <c r="AU24" s="79">
        <f t="shared" si="28"/>
        <v>9705450</v>
      </c>
      <c r="AV24" s="77">
        <f t="shared" si="10"/>
        <v>439277999.99999994</v>
      </c>
      <c r="AW24" s="80">
        <f t="shared" si="11"/>
        <v>439277999.99999994</v>
      </c>
      <c r="AX24" s="78">
        <v>7321300</v>
      </c>
      <c r="AY24" s="77">
        <f t="shared" si="12"/>
        <v>101554.80563300654</v>
      </c>
      <c r="AZ24" s="77">
        <f t="shared" si="13"/>
        <v>20261900</v>
      </c>
      <c r="BA24" s="81">
        <f t="shared" si="14"/>
        <v>4</v>
      </c>
      <c r="BB24" s="82">
        <v>4</v>
      </c>
      <c r="BC24" s="83" t="s">
        <v>132</v>
      </c>
      <c r="BD24" s="17" t="s">
        <v>97</v>
      </c>
      <c r="BE24" s="84">
        <v>45755</v>
      </c>
      <c r="BF24" s="85">
        <f t="shared" si="15"/>
        <v>45755</v>
      </c>
      <c r="BG24" s="62" t="s">
        <v>133</v>
      </c>
      <c r="BH24" s="86" t="s">
        <v>106</v>
      </c>
      <c r="BI24" s="87">
        <v>0.19</v>
      </c>
      <c r="BJ24" s="88" t="s">
        <v>134</v>
      </c>
      <c r="BK24" s="89">
        <v>10</v>
      </c>
      <c r="BL24" s="90"/>
      <c r="BM24" s="90"/>
      <c r="BN24" s="91" t="s">
        <v>102</v>
      </c>
      <c r="BO24" s="92"/>
      <c r="BP24" s="92"/>
    </row>
    <row r="25" spans="3:68" ht="40.15" customHeight="1" outlineLevel="1" x14ac:dyDescent="0.25">
      <c r="C25" s="93"/>
      <c r="D25" s="95"/>
      <c r="E25" s="18">
        <v>5</v>
      </c>
      <c r="F25" s="61" t="s">
        <v>94</v>
      </c>
      <c r="G25" s="62" t="s">
        <v>135</v>
      </c>
      <c r="H25" s="63">
        <v>969.72</v>
      </c>
      <c r="I25" s="64">
        <f t="shared" si="16"/>
        <v>293.34030000000001</v>
      </c>
      <c r="J25" s="65">
        <v>359.44</v>
      </c>
      <c r="K25" s="64">
        <f t="shared" si="17"/>
        <v>108.7306</v>
      </c>
      <c r="L25" s="66">
        <f t="shared" si="18"/>
        <v>0.37066369673720245</v>
      </c>
      <c r="M25" s="17">
        <v>44024</v>
      </c>
      <c r="N25" s="17">
        <v>44604</v>
      </c>
      <c r="O25" s="17">
        <v>45869</v>
      </c>
      <c r="P25" s="67">
        <f t="shared" si="19"/>
        <v>3.5</v>
      </c>
      <c r="Q25" s="68">
        <f t="shared" si="20"/>
        <v>42</v>
      </c>
      <c r="R25" s="69">
        <f t="shared" si="21"/>
        <v>14</v>
      </c>
      <c r="S25" s="70">
        <f t="shared" si="22"/>
        <v>0.99726027397260275</v>
      </c>
      <c r="T25" s="17">
        <v>45333</v>
      </c>
      <c r="U25" s="67">
        <f t="shared" si="23"/>
        <v>2</v>
      </c>
      <c r="V25" s="68">
        <f t="shared" si="29"/>
        <v>24</v>
      </c>
      <c r="W25" s="68" t="str">
        <f t="shared" si="1"/>
        <v>만료</v>
      </c>
      <c r="X25" s="71">
        <v>3</v>
      </c>
      <c r="Y25" s="72">
        <f t="shared" si="24"/>
        <v>45777</v>
      </c>
      <c r="Z25" s="73">
        <v>9</v>
      </c>
      <c r="AA25" s="74">
        <f t="shared" si="2"/>
        <v>2.5714285714285712</v>
      </c>
      <c r="AB25" s="75">
        <v>2</v>
      </c>
      <c r="AC25" s="76"/>
      <c r="AD25" s="77">
        <f t="shared" si="3"/>
        <v>0</v>
      </c>
      <c r="AE25" s="78">
        <v>0</v>
      </c>
      <c r="AF25" s="77">
        <f t="shared" si="25"/>
        <v>246822.25515375123</v>
      </c>
      <c r="AG25" s="77">
        <f t="shared" si="4"/>
        <v>204968.61103076118</v>
      </c>
      <c r="AH25" s="77">
        <f t="shared" si="5"/>
        <v>0</v>
      </c>
      <c r="AI25" s="77">
        <f t="shared" si="6"/>
        <v>59233.846455193932</v>
      </c>
      <c r="AJ25" s="77">
        <f t="shared" si="7"/>
        <v>32254.203077108523</v>
      </c>
      <c r="AK25" s="77">
        <f t="shared" si="26"/>
        <v>0</v>
      </c>
      <c r="AL25" s="77">
        <f t="shared" si="27"/>
        <v>0</v>
      </c>
      <c r="AM25" s="77"/>
      <c r="AN25" s="77"/>
      <c r="AO25" s="78"/>
      <c r="AP25" s="78"/>
      <c r="AQ25" s="78"/>
      <c r="AR25" s="77">
        <f t="shared" si="8"/>
        <v>729778320.15146208</v>
      </c>
      <c r="AS25" s="77">
        <f t="shared" si="9"/>
        <v>538645902.96893632</v>
      </c>
      <c r="AT25" s="78">
        <v>17375674.289320525</v>
      </c>
      <c r="AU25" s="79">
        <f t="shared" si="28"/>
        <v>12824902.451641342</v>
      </c>
      <c r="AV25" s="77">
        <f t="shared" si="10"/>
        <v>397381219.48979741</v>
      </c>
      <c r="AW25" s="80">
        <f t="shared" si="11"/>
        <v>397381219.48979741</v>
      </c>
      <c r="AX25" s="78">
        <v>9461457.6068999376</v>
      </c>
      <c r="AY25" s="77">
        <f t="shared" si="12"/>
        <v>91488.049532302452</v>
      </c>
      <c r="AZ25" s="77">
        <f t="shared" si="13"/>
        <v>26837131.896220461</v>
      </c>
      <c r="BA25" s="81">
        <f t="shared" si="14"/>
        <v>6</v>
      </c>
      <c r="BB25" s="82">
        <v>6</v>
      </c>
      <c r="BC25" s="83" t="s">
        <v>136</v>
      </c>
      <c r="BD25" s="17" t="s">
        <v>97</v>
      </c>
      <c r="BE25" s="84">
        <v>45505</v>
      </c>
      <c r="BF25" s="85">
        <f t="shared" si="15"/>
        <v>45505</v>
      </c>
      <c r="BG25" s="62" t="s">
        <v>105</v>
      </c>
      <c r="BH25" s="86" t="s">
        <v>137</v>
      </c>
      <c r="BI25" s="87">
        <v>0.19</v>
      </c>
      <c r="BJ25" s="88" t="s">
        <v>138</v>
      </c>
      <c r="BK25" s="89">
        <v>10</v>
      </c>
      <c r="BL25" s="90"/>
      <c r="BM25" s="90"/>
      <c r="BN25" s="91" t="s">
        <v>102</v>
      </c>
      <c r="BO25" s="92"/>
      <c r="BP25" s="92"/>
    </row>
    <row r="26" spans="3:68" ht="40.15" customHeight="1" outlineLevel="1" x14ac:dyDescent="0.25">
      <c r="C26" s="93"/>
      <c r="D26" s="98">
        <v>32</v>
      </c>
      <c r="E26" s="18">
        <v>1</v>
      </c>
      <c r="F26" s="61" t="s">
        <v>103</v>
      </c>
      <c r="G26" s="62" t="s">
        <v>119</v>
      </c>
      <c r="H26" s="63">
        <v>737.75</v>
      </c>
      <c r="I26" s="64">
        <f t="shared" si="16"/>
        <v>223.169375</v>
      </c>
      <c r="J26" s="65">
        <v>273.41000000000003</v>
      </c>
      <c r="K26" s="64">
        <f t="shared" si="17"/>
        <v>82.706524999999999</v>
      </c>
      <c r="L26" s="66">
        <f t="shared" si="18"/>
        <v>0.37059979667909188</v>
      </c>
      <c r="M26" s="17">
        <v>43831</v>
      </c>
      <c r="N26" s="17">
        <v>43831</v>
      </c>
      <c r="O26" s="17">
        <v>45657</v>
      </c>
      <c r="P26" s="67">
        <f t="shared" si="19"/>
        <v>5</v>
      </c>
      <c r="Q26" s="68">
        <f t="shared" si="20"/>
        <v>60</v>
      </c>
      <c r="R26" s="69">
        <f t="shared" si="21"/>
        <v>7</v>
      </c>
      <c r="S26" s="70">
        <f t="shared" si="22"/>
        <v>0.41643835616438357</v>
      </c>
      <c r="T26" s="17">
        <v>45657</v>
      </c>
      <c r="U26" s="67">
        <f t="shared" si="23"/>
        <v>5</v>
      </c>
      <c r="V26" s="68">
        <f t="shared" si="29"/>
        <v>60</v>
      </c>
      <c r="W26" s="68">
        <f t="shared" si="1"/>
        <v>7</v>
      </c>
      <c r="X26" s="71">
        <v>6</v>
      </c>
      <c r="Y26" s="72">
        <f t="shared" si="24"/>
        <v>45473</v>
      </c>
      <c r="Z26" s="73">
        <v>14</v>
      </c>
      <c r="AA26" s="74">
        <f t="shared" si="2"/>
        <v>2.8</v>
      </c>
      <c r="AB26" s="75">
        <v>0</v>
      </c>
      <c r="AC26" s="76"/>
      <c r="AD26" s="77">
        <f t="shared" si="3"/>
        <v>0</v>
      </c>
      <c r="AE26" s="78">
        <v>0</v>
      </c>
      <c r="AF26" s="77">
        <f t="shared" si="25"/>
        <v>238542.2893852143</v>
      </c>
      <c r="AG26" s="77">
        <f t="shared" si="4"/>
        <v>203797.17249312851</v>
      </c>
      <c r="AH26" s="77">
        <f t="shared" si="5"/>
        <v>318375.79477098194</v>
      </c>
      <c r="AI26" s="77">
        <f t="shared" si="6"/>
        <v>55185.142524849784</v>
      </c>
      <c r="AJ26" s="77">
        <f t="shared" si="7"/>
        <v>32422.641933748266</v>
      </c>
      <c r="AK26" s="77">
        <f t="shared" si="26"/>
        <v>71051727.134168312</v>
      </c>
      <c r="AL26" s="77">
        <f t="shared" si="27"/>
        <v>0</v>
      </c>
      <c r="AM26" s="78">
        <v>71051727.134168312</v>
      </c>
      <c r="AN26" s="77"/>
      <c r="AO26" s="78"/>
      <c r="AP26" s="78"/>
      <c r="AQ26" s="78"/>
      <c r="AR26" s="77">
        <f t="shared" si="8"/>
        <v>738938025.9933989</v>
      </c>
      <c r="AS26" s="77">
        <f t="shared" si="9"/>
        <v>566519153.26160586</v>
      </c>
      <c r="AT26" s="99">
        <v>12315633.766556649</v>
      </c>
      <c r="AU26" s="79">
        <f t="shared" si="28"/>
        <v>9441985.8876934312</v>
      </c>
      <c r="AV26" s="77">
        <f t="shared" si="10"/>
        <v>434144444.17220354</v>
      </c>
      <c r="AW26" s="80">
        <f t="shared" si="11"/>
        <v>434144444.17220354</v>
      </c>
      <c r="AX26" s="78">
        <v>7235740.736203392</v>
      </c>
      <c r="AY26" s="77">
        <f t="shared" si="12"/>
        <v>87607.784458598049</v>
      </c>
      <c r="AZ26" s="77">
        <f t="shared" si="13"/>
        <v>19551374.502760042</v>
      </c>
      <c r="BA26" s="81">
        <f t="shared" si="14"/>
        <v>4</v>
      </c>
      <c r="BB26" s="82">
        <v>4.5721934767882617</v>
      </c>
      <c r="BC26" s="83" t="s">
        <v>104</v>
      </c>
      <c r="BD26" s="17" t="s">
        <v>97</v>
      </c>
      <c r="BE26" s="84"/>
      <c r="BF26" s="85">
        <f t="shared" si="15"/>
        <v>0</v>
      </c>
      <c r="BG26" s="62" t="s">
        <v>98</v>
      </c>
      <c r="BH26" s="86" t="s">
        <v>99</v>
      </c>
      <c r="BI26" s="87">
        <v>0.19</v>
      </c>
      <c r="BJ26" s="88" t="s">
        <v>100</v>
      </c>
      <c r="BK26" s="89">
        <v>15</v>
      </c>
      <c r="BL26" s="18" t="s">
        <v>101</v>
      </c>
      <c r="BM26" s="90"/>
      <c r="BN26" s="91" t="s">
        <v>118</v>
      </c>
      <c r="BO26" s="92"/>
      <c r="BP26" s="92"/>
    </row>
    <row r="27" spans="3:68" ht="40.15" customHeight="1" outlineLevel="1" x14ac:dyDescent="0.25">
      <c r="C27" s="93"/>
      <c r="D27" s="100"/>
      <c r="E27" s="18">
        <v>2</v>
      </c>
      <c r="F27" s="61" t="s">
        <v>94</v>
      </c>
      <c r="G27" s="62" t="s">
        <v>119</v>
      </c>
      <c r="H27" s="63">
        <v>247.27</v>
      </c>
      <c r="I27" s="64">
        <f t="shared" si="16"/>
        <v>74.799175000000005</v>
      </c>
      <c r="J27" s="65">
        <v>91.6</v>
      </c>
      <c r="K27" s="64">
        <f t="shared" si="17"/>
        <v>27.708999999999996</v>
      </c>
      <c r="L27" s="66">
        <f t="shared" si="18"/>
        <v>0.37044526226392199</v>
      </c>
      <c r="M27" s="17">
        <v>43831</v>
      </c>
      <c r="N27" s="17">
        <v>43831</v>
      </c>
      <c r="O27" s="17">
        <v>45657</v>
      </c>
      <c r="P27" s="67">
        <f t="shared" si="19"/>
        <v>5</v>
      </c>
      <c r="Q27" s="68">
        <f t="shared" si="20"/>
        <v>60</v>
      </c>
      <c r="R27" s="69">
        <f t="shared" si="21"/>
        <v>7</v>
      </c>
      <c r="S27" s="70">
        <f t="shared" si="22"/>
        <v>0.41643835616438357</v>
      </c>
      <c r="T27" s="17">
        <v>45657</v>
      </c>
      <c r="U27" s="67">
        <f t="shared" si="23"/>
        <v>5</v>
      </c>
      <c r="V27" s="68">
        <f t="shared" si="29"/>
        <v>60</v>
      </c>
      <c r="W27" s="68">
        <f t="shared" si="1"/>
        <v>7</v>
      </c>
      <c r="X27" s="71">
        <v>6</v>
      </c>
      <c r="Y27" s="72">
        <f t="shared" si="24"/>
        <v>45473</v>
      </c>
      <c r="Z27" s="73">
        <v>14</v>
      </c>
      <c r="AA27" s="74">
        <f t="shared" si="2"/>
        <v>2.8</v>
      </c>
      <c r="AB27" s="75">
        <v>0</v>
      </c>
      <c r="AC27" s="76"/>
      <c r="AD27" s="77">
        <f t="shared" si="3"/>
        <v>0</v>
      </c>
      <c r="AE27" s="78">
        <v>0</v>
      </c>
      <c r="AF27" s="77">
        <f t="shared" si="25"/>
        <v>238641.7993450884</v>
      </c>
      <c r="AG27" s="77">
        <f t="shared" si="4"/>
        <v>203882.18822979103</v>
      </c>
      <c r="AH27" s="77">
        <f t="shared" si="5"/>
        <v>318375.79477098194</v>
      </c>
      <c r="AI27" s="77">
        <f t="shared" si="6"/>
        <v>55185.142524849791</v>
      </c>
      <c r="AJ27" s="77">
        <f t="shared" si="7"/>
        <v>32422.641933748269</v>
      </c>
      <c r="AK27" s="77">
        <f t="shared" si="26"/>
        <v>23814246.788838767</v>
      </c>
      <c r="AL27" s="77">
        <f t="shared" si="27"/>
        <v>0</v>
      </c>
      <c r="AM27" s="78">
        <v>23814246.788838767</v>
      </c>
      <c r="AN27" s="77"/>
      <c r="AO27" s="78"/>
      <c r="AP27" s="78"/>
      <c r="AQ27" s="78"/>
      <c r="AR27" s="77">
        <f t="shared" si="8"/>
        <v>247668187.98697087</v>
      </c>
      <c r="AS27" s="77">
        <f t="shared" si="9"/>
        <v>189878944.12334436</v>
      </c>
      <c r="AT27" s="78">
        <v>4127803.1331161815</v>
      </c>
      <c r="AU27" s="79">
        <f t="shared" si="28"/>
        <v>3164649.0687224059</v>
      </c>
      <c r="AV27" s="77">
        <f t="shared" si="10"/>
        <v>145511212.07788652</v>
      </c>
      <c r="AW27" s="80">
        <f t="shared" si="11"/>
        <v>145511212.07788652</v>
      </c>
      <c r="AX27" s="78">
        <v>2425186.8679647753</v>
      </c>
      <c r="AY27" s="77">
        <f t="shared" si="12"/>
        <v>87607.784458598049</v>
      </c>
      <c r="AZ27" s="77">
        <f t="shared" si="13"/>
        <v>6552990.0010809563</v>
      </c>
      <c r="BA27" s="81">
        <f t="shared" si="14"/>
        <v>1</v>
      </c>
      <c r="BB27" s="82">
        <v>1.53245175331133</v>
      </c>
      <c r="BC27" s="83" t="s">
        <v>104</v>
      </c>
      <c r="BD27" s="17" t="s">
        <v>108</v>
      </c>
      <c r="BE27" s="84"/>
      <c r="BF27" s="85">
        <f t="shared" si="15"/>
        <v>0</v>
      </c>
      <c r="BG27" s="62" t="s">
        <v>139</v>
      </c>
      <c r="BH27" s="86" t="s">
        <v>106</v>
      </c>
      <c r="BI27" s="87">
        <v>0.19</v>
      </c>
      <c r="BJ27" s="88" t="s">
        <v>140</v>
      </c>
      <c r="BK27" s="89">
        <v>15</v>
      </c>
      <c r="BL27" s="18" t="s">
        <v>101</v>
      </c>
      <c r="BM27" s="90"/>
      <c r="BN27" s="91" t="s">
        <v>115</v>
      </c>
      <c r="BO27" s="92"/>
      <c r="BP27" s="92"/>
    </row>
    <row r="28" spans="3:68" ht="40.15" customHeight="1" outlineLevel="1" x14ac:dyDescent="0.25">
      <c r="C28" s="93"/>
      <c r="D28" s="100"/>
      <c r="E28" s="18">
        <v>3</v>
      </c>
      <c r="F28" s="61" t="s">
        <v>109</v>
      </c>
      <c r="G28" s="62" t="s">
        <v>141</v>
      </c>
      <c r="H28" s="63">
        <v>456.38</v>
      </c>
      <c r="I28" s="64">
        <f t="shared" si="16"/>
        <v>138.05494999999999</v>
      </c>
      <c r="J28" s="65">
        <v>169.15</v>
      </c>
      <c r="K28" s="64">
        <f t="shared" si="17"/>
        <v>51.167875000000002</v>
      </c>
      <c r="L28" s="66">
        <f t="shared" si="18"/>
        <v>0.37063412068889962</v>
      </c>
      <c r="M28" s="17">
        <v>44604</v>
      </c>
      <c r="N28" s="17">
        <v>44604</v>
      </c>
      <c r="O28" s="17">
        <v>45869</v>
      </c>
      <c r="P28" s="67">
        <f t="shared" si="19"/>
        <v>3.5</v>
      </c>
      <c r="Q28" s="68">
        <f t="shared" si="20"/>
        <v>42</v>
      </c>
      <c r="R28" s="69">
        <f t="shared" si="21"/>
        <v>14</v>
      </c>
      <c r="S28" s="70">
        <f t="shared" si="22"/>
        <v>0.99726027397260275</v>
      </c>
      <c r="T28" s="17">
        <v>45333</v>
      </c>
      <c r="U28" s="67">
        <f t="shared" si="23"/>
        <v>2</v>
      </c>
      <c r="V28" s="68">
        <f t="shared" si="29"/>
        <v>24</v>
      </c>
      <c r="W28" s="68" t="str">
        <f t="shared" si="1"/>
        <v>만료</v>
      </c>
      <c r="X28" s="71">
        <v>3</v>
      </c>
      <c r="Y28" s="72">
        <f t="shared" si="24"/>
        <v>45777</v>
      </c>
      <c r="Z28" s="73">
        <v>9</v>
      </c>
      <c r="AA28" s="74">
        <f t="shared" si="2"/>
        <v>2.5714285714285712</v>
      </c>
      <c r="AB28" s="75">
        <v>2</v>
      </c>
      <c r="AC28" s="76"/>
      <c r="AD28" s="77">
        <f t="shared" si="3"/>
        <v>0</v>
      </c>
      <c r="AE28" s="78">
        <v>0</v>
      </c>
      <c r="AF28" s="77">
        <f t="shared" si="25"/>
        <v>246841.95120042682</v>
      </c>
      <c r="AG28" s="77">
        <f t="shared" si="4"/>
        <v>204984.96721925549</v>
      </c>
      <c r="AH28" s="77">
        <f t="shared" si="5"/>
        <v>0</v>
      </c>
      <c r="AI28" s="77">
        <f t="shared" si="6"/>
        <v>59233.84645519394</v>
      </c>
      <c r="AJ28" s="77">
        <f t="shared" si="7"/>
        <v>32254.203077108526</v>
      </c>
      <c r="AK28" s="77">
        <f t="shared" si="26"/>
        <v>0</v>
      </c>
      <c r="AL28" s="77">
        <f t="shared" si="27"/>
        <v>0</v>
      </c>
      <c r="AM28" s="77"/>
      <c r="AN28" s="77"/>
      <c r="AO28" s="78"/>
      <c r="AP28" s="78"/>
      <c r="AQ28" s="78"/>
      <c r="AR28" s="77">
        <f t="shared" si="8"/>
        <v>343456079.84853798</v>
      </c>
      <c r="AS28" s="77">
        <f t="shared" si="9"/>
        <v>253503297.03106377</v>
      </c>
      <c r="AT28" s="78">
        <v>8177525.7106794761</v>
      </c>
      <c r="AU28" s="79">
        <f t="shared" si="28"/>
        <v>6035792.786453899</v>
      </c>
      <c r="AV28" s="77">
        <f t="shared" si="10"/>
        <v>187019800.51020268</v>
      </c>
      <c r="AW28" s="80">
        <f t="shared" si="11"/>
        <v>187019800.51020268</v>
      </c>
      <c r="AX28" s="78">
        <v>4452852.3931000633</v>
      </c>
      <c r="AY28" s="77">
        <f t="shared" si="12"/>
        <v>91488.049532302466</v>
      </c>
      <c r="AZ28" s="77">
        <f t="shared" si="13"/>
        <v>12630378.103779539</v>
      </c>
      <c r="BA28" s="81">
        <f t="shared" si="14"/>
        <v>3</v>
      </c>
      <c r="BB28" s="82">
        <v>3</v>
      </c>
      <c r="BC28" s="83" t="s">
        <v>136</v>
      </c>
      <c r="BD28" s="17" t="s">
        <v>121</v>
      </c>
      <c r="BE28" s="84">
        <v>45505</v>
      </c>
      <c r="BF28" s="85">
        <f t="shared" si="15"/>
        <v>45505</v>
      </c>
      <c r="BG28" s="62" t="s">
        <v>98</v>
      </c>
      <c r="BH28" s="86" t="s">
        <v>142</v>
      </c>
      <c r="BI28" s="87">
        <v>0.19</v>
      </c>
      <c r="BJ28" s="88" t="s">
        <v>143</v>
      </c>
      <c r="BK28" s="89">
        <v>10</v>
      </c>
      <c r="BL28" s="90"/>
      <c r="BM28" s="90"/>
      <c r="BN28" s="91" t="s">
        <v>115</v>
      </c>
      <c r="BO28" s="92"/>
      <c r="BP28" s="92"/>
    </row>
    <row r="29" spans="3:68" ht="40.15" customHeight="1" outlineLevel="1" x14ac:dyDescent="0.25">
      <c r="C29" s="93"/>
      <c r="D29" s="100"/>
      <c r="E29" s="18">
        <v>4</v>
      </c>
      <c r="F29" s="61" t="s">
        <v>109</v>
      </c>
      <c r="G29" s="62" t="s">
        <v>144</v>
      </c>
      <c r="H29" s="63">
        <v>862.77</v>
      </c>
      <c r="I29" s="64">
        <f t="shared" si="16"/>
        <v>260.98792499999996</v>
      </c>
      <c r="J29" s="65">
        <v>319.75</v>
      </c>
      <c r="K29" s="64">
        <f t="shared" si="17"/>
        <v>96.724374999999995</v>
      </c>
      <c r="L29" s="66">
        <f t="shared" si="18"/>
        <v>0.37060862106934639</v>
      </c>
      <c r="M29" s="17">
        <v>43160</v>
      </c>
      <c r="N29" s="17">
        <v>45352</v>
      </c>
      <c r="O29" s="17">
        <v>46446</v>
      </c>
      <c r="P29" s="67">
        <f t="shared" si="19"/>
        <v>3</v>
      </c>
      <c r="Q29" s="68">
        <f t="shared" si="20"/>
        <v>36</v>
      </c>
      <c r="R29" s="69">
        <f t="shared" si="21"/>
        <v>33</v>
      </c>
      <c r="S29" s="70">
        <f t="shared" si="22"/>
        <v>2.5780821917808221</v>
      </c>
      <c r="T29" s="17">
        <v>46081</v>
      </c>
      <c r="U29" s="67">
        <f t="shared" si="23"/>
        <v>2</v>
      </c>
      <c r="V29" s="68">
        <f t="shared" si="29"/>
        <v>24</v>
      </c>
      <c r="W29" s="68">
        <f t="shared" si="1"/>
        <v>21</v>
      </c>
      <c r="X29" s="71">
        <v>3</v>
      </c>
      <c r="Y29" s="72">
        <f t="shared" si="24"/>
        <v>46354</v>
      </c>
      <c r="Z29" s="73">
        <v>6</v>
      </c>
      <c r="AA29" s="74">
        <f t="shared" si="2"/>
        <v>2</v>
      </c>
      <c r="AB29" s="75">
        <v>0</v>
      </c>
      <c r="AC29" s="76"/>
      <c r="AD29" s="77">
        <f t="shared" si="3"/>
        <v>0</v>
      </c>
      <c r="AE29" s="78">
        <v>0</v>
      </c>
      <c r="AF29" s="77">
        <f t="shared" si="25"/>
        <v>260925.79352412463</v>
      </c>
      <c r="AG29" s="77">
        <f t="shared" si="4"/>
        <v>233818.87244037507</v>
      </c>
      <c r="AH29" s="77">
        <f t="shared" si="5"/>
        <v>519999.99616840517</v>
      </c>
      <c r="AI29" s="77">
        <f t="shared" si="6"/>
        <v>60276.351865704142</v>
      </c>
      <c r="AJ29" s="77">
        <f t="shared" si="7"/>
        <v>35124.996683275676</v>
      </c>
      <c r="AK29" s="77">
        <f t="shared" si="26"/>
        <v>135713720</v>
      </c>
      <c r="AL29" s="77">
        <f t="shared" si="27"/>
        <v>0</v>
      </c>
      <c r="AM29" s="78">
        <v>135713720</v>
      </c>
      <c r="AN29" s="77"/>
      <c r="AO29" s="78"/>
      <c r="AP29" s="78"/>
      <c r="AQ29" s="78"/>
      <c r="AR29" s="77">
        <f t="shared" si="8"/>
        <v>566330400</v>
      </c>
      <c r="AS29" s="77">
        <f t="shared" si="9"/>
        <v>471942000</v>
      </c>
      <c r="AT29" s="78">
        <v>15731400</v>
      </c>
      <c r="AU29" s="79">
        <f t="shared" si="28"/>
        <v>13109500</v>
      </c>
      <c r="AV29" s="77">
        <f t="shared" si="10"/>
        <v>330019200</v>
      </c>
      <c r="AW29" s="80">
        <f t="shared" si="11"/>
        <v>330019200</v>
      </c>
      <c r="AX29" s="78">
        <v>9167200</v>
      </c>
      <c r="AY29" s="77">
        <f t="shared" si="12"/>
        <v>95401.348548979819</v>
      </c>
      <c r="AZ29" s="77">
        <f t="shared" si="13"/>
        <v>24898600</v>
      </c>
      <c r="BA29" s="81">
        <f t="shared" si="14"/>
        <v>5</v>
      </c>
      <c r="BB29" s="82">
        <v>5</v>
      </c>
      <c r="BC29" s="83" t="s">
        <v>145</v>
      </c>
      <c r="BD29" s="17" t="s">
        <v>97</v>
      </c>
      <c r="BE29" s="84"/>
      <c r="BF29" s="85">
        <f t="shared" si="15"/>
        <v>0</v>
      </c>
      <c r="BG29" s="62" t="s">
        <v>130</v>
      </c>
      <c r="BH29" s="86" t="s">
        <v>137</v>
      </c>
      <c r="BI29" s="87">
        <v>0.19</v>
      </c>
      <c r="BJ29" s="88" t="s">
        <v>146</v>
      </c>
      <c r="BK29" s="89">
        <v>10</v>
      </c>
      <c r="BL29" s="90"/>
      <c r="BM29" s="90"/>
      <c r="BN29" s="91" t="s">
        <v>102</v>
      </c>
      <c r="BO29" s="92"/>
      <c r="BP29" s="92"/>
    </row>
    <row r="30" spans="3:68" ht="40.15" customHeight="1" outlineLevel="1" x14ac:dyDescent="0.25">
      <c r="C30" s="93"/>
      <c r="D30" s="101"/>
      <c r="E30" s="102">
        <v>5</v>
      </c>
      <c r="F30" s="103" t="s">
        <v>147</v>
      </c>
      <c r="G30" s="62" t="s">
        <v>141</v>
      </c>
      <c r="H30" s="63">
        <v>323.39999999999998</v>
      </c>
      <c r="I30" s="104">
        <f t="shared" si="16"/>
        <v>97.828499999999991</v>
      </c>
      <c r="J30" s="65">
        <v>119.86</v>
      </c>
      <c r="K30" s="104">
        <f t="shared" si="17"/>
        <v>36.257649999999998</v>
      </c>
      <c r="L30" s="105">
        <f t="shared" si="18"/>
        <v>0.37062461348175635</v>
      </c>
      <c r="M30" s="17">
        <v>45492</v>
      </c>
      <c r="N30" s="17">
        <v>45505</v>
      </c>
      <c r="O30" s="17">
        <v>45869</v>
      </c>
      <c r="P30" s="106">
        <f t="shared" si="19"/>
        <v>1</v>
      </c>
      <c r="Q30" s="107">
        <f t="shared" si="20"/>
        <v>12</v>
      </c>
      <c r="R30" s="108">
        <f t="shared" si="21"/>
        <v>14</v>
      </c>
      <c r="S30" s="70">
        <f t="shared" si="22"/>
        <v>0.99726027397260275</v>
      </c>
      <c r="T30" s="17">
        <v>45869</v>
      </c>
      <c r="U30" s="106">
        <f t="shared" si="23"/>
        <v>1</v>
      </c>
      <c r="V30" s="68">
        <f t="shared" si="29"/>
        <v>12</v>
      </c>
      <c r="W30" s="107">
        <f t="shared" si="1"/>
        <v>14</v>
      </c>
      <c r="X30" s="71">
        <v>3</v>
      </c>
      <c r="Y30" s="109">
        <f t="shared" si="24"/>
        <v>45777</v>
      </c>
      <c r="Z30" s="73">
        <v>1</v>
      </c>
      <c r="AA30" s="74">
        <f t="shared" si="2"/>
        <v>1</v>
      </c>
      <c r="AB30" s="110">
        <f>-(0.67741935483871)</f>
        <v>-0.67741935483870996</v>
      </c>
      <c r="AC30" s="76"/>
      <c r="AD30" s="79">
        <f t="shared" si="3"/>
        <v>0</v>
      </c>
      <c r="AE30" s="78"/>
      <c r="AF30" s="79">
        <f t="shared" si="25"/>
        <v>260379.32684550711</v>
      </c>
      <c r="AG30" s="79">
        <f t="shared" si="4"/>
        <v>256027.26048365707</v>
      </c>
      <c r="AH30" s="79">
        <f t="shared" si="5"/>
        <v>599998.97780299198</v>
      </c>
      <c r="AI30" s="79">
        <f t="shared" si="6"/>
        <v>60002.964371323287</v>
      </c>
      <c r="AJ30" s="79">
        <f t="shared" si="7"/>
        <v>35000.025554925203</v>
      </c>
      <c r="AK30" s="79">
        <f t="shared" si="26"/>
        <v>58697000</v>
      </c>
      <c r="AL30" s="79">
        <f t="shared" si="27"/>
        <v>0</v>
      </c>
      <c r="AM30" s="78">
        <v>58697000</v>
      </c>
      <c r="AN30" s="79"/>
      <c r="AO30" s="79"/>
      <c r="AP30" s="79"/>
      <c r="AQ30" s="79"/>
      <c r="AR30" s="79">
        <f t="shared" si="8"/>
        <v>70440000</v>
      </c>
      <c r="AS30" s="79">
        <f t="shared" si="9"/>
        <v>68546451.612903222</v>
      </c>
      <c r="AT30" s="78">
        <v>5870000</v>
      </c>
      <c r="AU30" s="79">
        <f t="shared" si="28"/>
        <v>5712204.3010752685</v>
      </c>
      <c r="AV30" s="79">
        <f t="shared" si="10"/>
        <v>41088000</v>
      </c>
      <c r="AW30" s="111">
        <f t="shared" si="11"/>
        <v>41088000</v>
      </c>
      <c r="AX30" s="78">
        <v>3424000</v>
      </c>
      <c r="AY30" s="79">
        <f t="shared" si="12"/>
        <v>95002.989926248498</v>
      </c>
      <c r="AZ30" s="79">
        <f t="shared" si="13"/>
        <v>9294000</v>
      </c>
      <c r="BA30" s="112">
        <f t="shared" si="14"/>
        <v>2</v>
      </c>
      <c r="BB30" s="82">
        <v>1</v>
      </c>
      <c r="BC30" s="79"/>
      <c r="BD30" s="17"/>
      <c r="BE30" s="84"/>
      <c r="BF30" s="85">
        <f t="shared" si="15"/>
        <v>0</v>
      </c>
      <c r="BG30" s="62" t="s">
        <v>105</v>
      </c>
      <c r="BH30" s="86" t="s">
        <v>106</v>
      </c>
      <c r="BI30" s="87">
        <v>0.19</v>
      </c>
      <c r="BJ30" s="113" t="s">
        <v>148</v>
      </c>
      <c r="BK30" s="89">
        <v>10</v>
      </c>
      <c r="BL30" s="114"/>
      <c r="BM30" s="114"/>
      <c r="BN30" s="91" t="s">
        <v>118</v>
      </c>
      <c r="BO30" s="92"/>
      <c r="BP30" s="92"/>
    </row>
    <row r="31" spans="3:68" ht="40.15" customHeight="1" outlineLevel="1" x14ac:dyDescent="0.25">
      <c r="C31" s="93"/>
      <c r="D31" s="61">
        <v>31</v>
      </c>
      <c r="E31" s="61"/>
      <c r="F31" s="61" t="s">
        <v>109</v>
      </c>
      <c r="G31" s="62" t="s">
        <v>149</v>
      </c>
      <c r="H31" s="63">
        <v>2571.63</v>
      </c>
      <c r="I31" s="64">
        <f t="shared" si="16"/>
        <v>777.91807500000004</v>
      </c>
      <c r="J31" s="65">
        <v>1124.82</v>
      </c>
      <c r="K31" s="64">
        <f t="shared" si="17"/>
        <v>340.25804999999997</v>
      </c>
      <c r="L31" s="66">
        <f t="shared" si="18"/>
        <v>0.4373957373339088</v>
      </c>
      <c r="M31" s="17">
        <v>44348</v>
      </c>
      <c r="N31" s="17">
        <v>44348</v>
      </c>
      <c r="O31" s="17">
        <v>46173</v>
      </c>
      <c r="P31" s="67">
        <f t="shared" si="19"/>
        <v>5</v>
      </c>
      <c r="Q31" s="68">
        <f t="shared" si="20"/>
        <v>60</v>
      </c>
      <c r="R31" s="69">
        <f t="shared" si="21"/>
        <v>24</v>
      </c>
      <c r="S31" s="70">
        <f t="shared" si="22"/>
        <v>1.8301369863013699</v>
      </c>
      <c r="T31" s="17">
        <v>45443</v>
      </c>
      <c r="U31" s="67">
        <f t="shared" si="23"/>
        <v>3</v>
      </c>
      <c r="V31" s="68">
        <f>DATEDIF(N31,T31,"m")+1</f>
        <v>36</v>
      </c>
      <c r="W31" s="68">
        <f t="shared" si="1"/>
        <v>0</v>
      </c>
      <c r="X31" s="71">
        <v>3</v>
      </c>
      <c r="Y31" s="72">
        <f t="shared" si="24"/>
        <v>46081</v>
      </c>
      <c r="Z31" s="73">
        <v>17</v>
      </c>
      <c r="AA31" s="74">
        <f t="shared" si="2"/>
        <v>3.4</v>
      </c>
      <c r="AB31" s="75">
        <v>0</v>
      </c>
      <c r="AC31" s="76"/>
      <c r="AD31" s="77">
        <f t="shared" si="3"/>
        <v>0</v>
      </c>
      <c r="AE31" s="78">
        <v>0</v>
      </c>
      <c r="AF31" s="77">
        <f t="shared" si="25"/>
        <v>208598.47811554617</v>
      </c>
      <c r="AG31" s="77">
        <f t="shared" si="4"/>
        <v>172928.47440875956</v>
      </c>
      <c r="AH31" s="77">
        <f t="shared" si="5"/>
        <v>879448.87879743602</v>
      </c>
      <c r="AI31" s="77">
        <f t="shared" si="6"/>
        <v>55065.556136587766</v>
      </c>
      <c r="AJ31" s="77">
        <f t="shared" si="7"/>
        <v>33975.906808499203</v>
      </c>
      <c r="AK31" s="77">
        <f t="shared" si="26"/>
        <v>684139178.85500979</v>
      </c>
      <c r="AL31" s="77">
        <f t="shared" si="27"/>
        <v>0</v>
      </c>
      <c r="AM31" s="78">
        <v>684139178.85500979</v>
      </c>
      <c r="AN31" s="77"/>
      <c r="AO31" s="78"/>
      <c r="AP31" s="78"/>
      <c r="AQ31" s="78"/>
      <c r="AR31" s="77">
        <f t="shared" si="8"/>
        <v>2570189485.7147279</v>
      </c>
      <c r="AS31" s="77">
        <f t="shared" si="9"/>
        <v>1841969131.4288881</v>
      </c>
      <c r="AT31" s="78">
        <v>42836491.428578794</v>
      </c>
      <c r="AU31" s="79">
        <f t="shared" si="28"/>
        <v>30699485.523814801</v>
      </c>
      <c r="AV31" s="77">
        <f t="shared" si="10"/>
        <v>1585828321.2508259</v>
      </c>
      <c r="AW31" s="80">
        <f t="shared" si="11"/>
        <v>1585828321.2508259</v>
      </c>
      <c r="AX31" s="78">
        <v>26430472.020847097</v>
      </c>
      <c r="AY31" s="77">
        <f t="shared" si="12"/>
        <v>89041.462945086969</v>
      </c>
      <c r="AZ31" s="77">
        <f t="shared" si="13"/>
        <v>69266963.449425891</v>
      </c>
      <c r="BA31" s="81">
        <f t="shared" si="14"/>
        <v>16</v>
      </c>
      <c r="BB31" s="94">
        <v>15.489400916900708</v>
      </c>
      <c r="BC31" s="83" t="s">
        <v>150</v>
      </c>
      <c r="BD31" s="17" t="s">
        <v>121</v>
      </c>
      <c r="BE31" s="84">
        <v>45809</v>
      </c>
      <c r="BF31" s="85">
        <f t="shared" si="15"/>
        <v>45809</v>
      </c>
      <c r="BG31" s="62" t="s">
        <v>130</v>
      </c>
      <c r="BH31" s="86" t="s">
        <v>137</v>
      </c>
      <c r="BI31" s="87">
        <v>0.19</v>
      </c>
      <c r="BJ31" s="88" t="s">
        <v>151</v>
      </c>
      <c r="BK31" s="89">
        <v>10</v>
      </c>
      <c r="BL31" s="90"/>
      <c r="BM31" s="90"/>
      <c r="BN31" s="91" t="s">
        <v>102</v>
      </c>
      <c r="BO31" s="92"/>
      <c r="BP31" s="92"/>
    </row>
    <row r="32" spans="3:68" ht="40.15" customHeight="1" outlineLevel="1" x14ac:dyDescent="0.25">
      <c r="C32" s="93"/>
      <c r="D32" s="61">
        <v>30</v>
      </c>
      <c r="E32" s="61"/>
      <c r="F32" s="61" t="s">
        <v>103</v>
      </c>
      <c r="G32" s="62" t="s">
        <v>152</v>
      </c>
      <c r="H32" s="63">
        <v>2169.64</v>
      </c>
      <c r="I32" s="64">
        <f t="shared" si="16"/>
        <v>656.31609999999989</v>
      </c>
      <c r="J32" s="65">
        <v>940.19</v>
      </c>
      <c r="K32" s="64">
        <f t="shared" si="17"/>
        <v>284.40747500000003</v>
      </c>
      <c r="L32" s="66">
        <f t="shared" si="18"/>
        <v>0.4333391714754522</v>
      </c>
      <c r="M32" s="17">
        <v>44348</v>
      </c>
      <c r="N32" s="17">
        <v>44348</v>
      </c>
      <c r="O32" s="17">
        <v>46173</v>
      </c>
      <c r="P32" s="67">
        <f t="shared" si="19"/>
        <v>5</v>
      </c>
      <c r="Q32" s="68">
        <f t="shared" si="20"/>
        <v>60</v>
      </c>
      <c r="R32" s="69">
        <f t="shared" si="21"/>
        <v>24</v>
      </c>
      <c r="S32" s="70">
        <f t="shared" si="22"/>
        <v>1.8301369863013699</v>
      </c>
      <c r="T32" s="17">
        <v>45443</v>
      </c>
      <c r="U32" s="67">
        <f t="shared" si="23"/>
        <v>3</v>
      </c>
      <c r="V32" s="68">
        <f>DATEDIF(N32,T32,"m")+1</f>
        <v>36</v>
      </c>
      <c r="W32" s="68">
        <f t="shared" si="1"/>
        <v>0</v>
      </c>
      <c r="X32" s="71">
        <v>3</v>
      </c>
      <c r="Y32" s="72">
        <f t="shared" si="24"/>
        <v>46081</v>
      </c>
      <c r="Z32" s="73">
        <v>17</v>
      </c>
      <c r="AA32" s="74">
        <f t="shared" si="2"/>
        <v>3.4</v>
      </c>
      <c r="AB32" s="75">
        <v>0</v>
      </c>
      <c r="AC32" s="76"/>
      <c r="AD32" s="77">
        <f t="shared" si="3"/>
        <v>0</v>
      </c>
      <c r="AE32" s="78">
        <v>0</v>
      </c>
      <c r="AF32" s="77">
        <f t="shared" si="25"/>
        <v>210551.20595588515</v>
      </c>
      <c r="AG32" s="77">
        <f t="shared" si="4"/>
        <v>174547.28893423409</v>
      </c>
      <c r="AH32" s="77">
        <f t="shared" si="5"/>
        <v>879448.87879743625</v>
      </c>
      <c r="AI32" s="77">
        <f t="shared" si="6"/>
        <v>55065.55613658778</v>
      </c>
      <c r="AJ32" s="77">
        <f t="shared" si="7"/>
        <v>33975.90680849921</v>
      </c>
      <c r="AK32" s="77">
        <f t="shared" si="26"/>
        <v>577196458.28170598</v>
      </c>
      <c r="AL32" s="77">
        <f t="shared" si="27"/>
        <v>0</v>
      </c>
      <c r="AM32" s="78">
        <v>577196458.28170598</v>
      </c>
      <c r="AN32" s="77"/>
      <c r="AO32" s="78"/>
      <c r="AP32" s="78"/>
      <c r="AQ32" s="78"/>
      <c r="AR32" s="77">
        <f t="shared" si="8"/>
        <v>2168424662.8737812</v>
      </c>
      <c r="AS32" s="77">
        <f t="shared" si="9"/>
        <v>1554037675.0595434</v>
      </c>
      <c r="AT32" s="78">
        <v>36140411.047896355</v>
      </c>
      <c r="AU32" s="79">
        <f t="shared" si="28"/>
        <v>25900627.917659055</v>
      </c>
      <c r="AV32" s="77">
        <f t="shared" si="10"/>
        <v>1337936079.0310588</v>
      </c>
      <c r="AW32" s="80">
        <f t="shared" si="11"/>
        <v>1337936079.0310588</v>
      </c>
      <c r="AX32" s="78">
        <v>22298934.650517646</v>
      </c>
      <c r="AY32" s="77">
        <f t="shared" si="12"/>
        <v>89041.462945086983</v>
      </c>
      <c r="AZ32" s="77">
        <f t="shared" si="13"/>
        <v>58439345.698413998</v>
      </c>
      <c r="BA32" s="81">
        <f t="shared" si="14"/>
        <v>13</v>
      </c>
      <c r="BB32" s="94">
        <v>13.068141142133374</v>
      </c>
      <c r="BC32" s="83" t="s">
        <v>153</v>
      </c>
      <c r="BD32" s="17" t="s">
        <v>108</v>
      </c>
      <c r="BE32" s="84">
        <v>45809</v>
      </c>
      <c r="BF32" s="85">
        <f t="shared" si="15"/>
        <v>45809</v>
      </c>
      <c r="BG32" s="62" t="s">
        <v>130</v>
      </c>
      <c r="BH32" s="86" t="s">
        <v>99</v>
      </c>
      <c r="BI32" s="87">
        <v>0.19</v>
      </c>
      <c r="BJ32" s="88" t="s">
        <v>154</v>
      </c>
      <c r="BK32" s="89">
        <v>10</v>
      </c>
      <c r="BL32" s="90"/>
      <c r="BM32" s="90"/>
      <c r="BN32" s="91" t="s">
        <v>102</v>
      </c>
      <c r="BO32" s="92"/>
      <c r="BP32" s="92"/>
    </row>
    <row r="33" spans="3:68" ht="40.15" customHeight="1" outlineLevel="1" x14ac:dyDescent="0.25">
      <c r="C33" s="93"/>
      <c r="D33" s="61">
        <v>29</v>
      </c>
      <c r="E33" s="61"/>
      <c r="F33" s="61" t="s">
        <v>109</v>
      </c>
      <c r="G33" s="62" t="s">
        <v>155</v>
      </c>
      <c r="H33" s="63">
        <v>2597.09</v>
      </c>
      <c r="I33" s="64">
        <f t="shared" si="16"/>
        <v>785.61972500000002</v>
      </c>
      <c r="J33" s="65">
        <v>1122.6199999999999</v>
      </c>
      <c r="K33" s="64">
        <f t="shared" si="17"/>
        <v>339.59254999999996</v>
      </c>
      <c r="L33" s="66">
        <f t="shared" si="18"/>
        <v>0.43226072257796216</v>
      </c>
      <c r="M33" s="17">
        <v>44348</v>
      </c>
      <c r="N33" s="17">
        <v>44348</v>
      </c>
      <c r="O33" s="17">
        <v>46173</v>
      </c>
      <c r="P33" s="67">
        <f t="shared" si="19"/>
        <v>5</v>
      </c>
      <c r="Q33" s="68">
        <f t="shared" si="20"/>
        <v>60</v>
      </c>
      <c r="R33" s="69">
        <f t="shared" si="21"/>
        <v>24</v>
      </c>
      <c r="S33" s="70">
        <f t="shared" si="22"/>
        <v>1.8301369863013699</v>
      </c>
      <c r="T33" s="17">
        <v>45443</v>
      </c>
      <c r="U33" s="67">
        <f t="shared" si="23"/>
        <v>3</v>
      </c>
      <c r="V33" s="68">
        <f>DATEDIF(N33,T33,"m")+1</f>
        <v>36</v>
      </c>
      <c r="W33" s="68">
        <f t="shared" si="1"/>
        <v>0</v>
      </c>
      <c r="X33" s="71">
        <v>3</v>
      </c>
      <c r="Y33" s="72">
        <f t="shared" si="24"/>
        <v>46081</v>
      </c>
      <c r="Z33" s="73">
        <v>17</v>
      </c>
      <c r="AA33" s="74">
        <f t="shared" si="2"/>
        <v>3.4</v>
      </c>
      <c r="AB33" s="75">
        <v>0</v>
      </c>
      <c r="AC33" s="76"/>
      <c r="AD33" s="77">
        <f t="shared" si="3"/>
        <v>0</v>
      </c>
      <c r="AE33" s="78">
        <v>0</v>
      </c>
      <c r="AF33" s="77">
        <f t="shared" si="25"/>
        <v>211076.51094907097</v>
      </c>
      <c r="AG33" s="77">
        <f t="shared" si="4"/>
        <v>174982.76761984851</v>
      </c>
      <c r="AH33" s="77">
        <f t="shared" si="5"/>
        <v>879448.87879743613</v>
      </c>
      <c r="AI33" s="77">
        <f t="shared" si="6"/>
        <v>55065.556136587773</v>
      </c>
      <c r="AJ33" s="77">
        <f t="shared" si="7"/>
        <v>33975.906808499203</v>
      </c>
      <c r="AK33" s="77">
        <f t="shared" si="26"/>
        <v>690912386.3124001</v>
      </c>
      <c r="AL33" s="77">
        <f t="shared" si="27"/>
        <v>0</v>
      </c>
      <c r="AM33" s="78">
        <v>690912386.3124001</v>
      </c>
      <c r="AN33" s="77"/>
      <c r="AO33" s="78"/>
      <c r="AP33" s="78"/>
      <c r="AQ33" s="78"/>
      <c r="AR33" s="77">
        <f t="shared" si="8"/>
        <v>2595635224.1398888</v>
      </c>
      <c r="AS33" s="77">
        <f t="shared" si="9"/>
        <v>1860205243.9669206</v>
      </c>
      <c r="AT33" s="78">
        <v>43260587.068998151</v>
      </c>
      <c r="AU33" s="79">
        <f t="shared" si="28"/>
        <v>31003420.73278201</v>
      </c>
      <c r="AV33" s="77">
        <f t="shared" si="10"/>
        <v>1601528553.8111262</v>
      </c>
      <c r="AW33" s="80">
        <f t="shared" si="11"/>
        <v>1601528553.8111262</v>
      </c>
      <c r="AX33" s="78">
        <v>26692142.563518774</v>
      </c>
      <c r="AY33" s="77">
        <f t="shared" si="12"/>
        <v>89041.462945086969</v>
      </c>
      <c r="AZ33" s="77">
        <f t="shared" si="13"/>
        <v>69952729.632516921</v>
      </c>
      <c r="BA33" s="81">
        <f t="shared" si="14"/>
        <v>16</v>
      </c>
      <c r="BB33" s="94">
        <v>15.642751183985901</v>
      </c>
      <c r="BC33" s="83" t="s">
        <v>153</v>
      </c>
      <c r="BD33" s="17" t="s">
        <v>97</v>
      </c>
      <c r="BE33" s="84">
        <v>45809</v>
      </c>
      <c r="BF33" s="85">
        <f t="shared" si="15"/>
        <v>45809</v>
      </c>
      <c r="BG33" s="62" t="s">
        <v>130</v>
      </c>
      <c r="BH33" s="86" t="s">
        <v>99</v>
      </c>
      <c r="BI33" s="87">
        <v>0.19</v>
      </c>
      <c r="BJ33" s="88" t="s">
        <v>151</v>
      </c>
      <c r="BK33" s="89">
        <v>10</v>
      </c>
      <c r="BL33" s="90"/>
      <c r="BM33" s="90"/>
      <c r="BN33" s="91" t="s">
        <v>118</v>
      </c>
      <c r="BO33" s="92"/>
      <c r="BP33" s="92"/>
    </row>
    <row r="34" spans="3:68" ht="30" customHeight="1" x14ac:dyDescent="0.25">
      <c r="C34" s="93"/>
      <c r="D34" s="115"/>
      <c r="E34" s="116"/>
      <c r="F34" s="117"/>
      <c r="G34" s="118" t="s">
        <v>156</v>
      </c>
      <c r="H34" s="119">
        <f>H36-H35</f>
        <v>31006.550000000007</v>
      </c>
      <c r="I34" s="119">
        <f t="shared" ref="I34:K34" si="30">I36-I35</f>
        <v>9379.4813750000012</v>
      </c>
      <c r="J34" s="119">
        <f t="shared" si="30"/>
        <v>13017.02</v>
      </c>
      <c r="K34" s="119">
        <f t="shared" si="30"/>
        <v>3937.648549999999</v>
      </c>
      <c r="L34" s="120">
        <f>J34/H34</f>
        <v>0.41981516808545283</v>
      </c>
      <c r="M34" s="121"/>
      <c r="N34" s="122"/>
      <c r="O34" s="122"/>
      <c r="P34" s="123"/>
      <c r="Q34" s="124"/>
      <c r="R34" s="125"/>
      <c r="S34" s="126"/>
      <c r="T34" s="127"/>
      <c r="U34" s="125"/>
      <c r="V34" s="125"/>
      <c r="W34" s="124"/>
      <c r="X34" s="124"/>
      <c r="Y34" s="128"/>
      <c r="Z34" s="129"/>
      <c r="AA34" s="129"/>
      <c r="AB34" s="130"/>
      <c r="AC34" s="131"/>
      <c r="AD34" s="132">
        <f t="shared" si="3"/>
        <v>0</v>
      </c>
      <c r="AE34" s="133">
        <f>SUM(AE13:AE33)</f>
        <v>0</v>
      </c>
      <c r="AF34" s="132"/>
      <c r="AG34" s="132"/>
      <c r="AH34" s="132">
        <f t="shared" si="5"/>
        <v>444136.47148216364</v>
      </c>
      <c r="AI34" s="132">
        <f>AT34/$I$34</f>
        <v>55726.869267761387</v>
      </c>
      <c r="AJ34" s="132">
        <f t="shared" si="7"/>
        <v>32971.393239636454</v>
      </c>
      <c r="AK34" s="134">
        <f t="shared" ref="AK34:AN34" si="31">SUM(AK13:AK33)</f>
        <v>4165769762.225173</v>
      </c>
      <c r="AL34" s="134">
        <f t="shared" si="31"/>
        <v>0</v>
      </c>
      <c r="AM34" s="134">
        <f t="shared" si="31"/>
        <v>4165769762.225173</v>
      </c>
      <c r="AN34" s="134">
        <f t="shared" si="31"/>
        <v>0</v>
      </c>
      <c r="AO34" s="134">
        <f>SUM(AO13:AO33)</f>
        <v>0</v>
      </c>
      <c r="AP34" s="134">
        <f t="shared" ref="AP34:AX34" si="32">SUM(AP13:AP33)</f>
        <v>0</v>
      </c>
      <c r="AQ34" s="134">
        <f t="shared" si="32"/>
        <v>0</v>
      </c>
      <c r="AR34" s="132">
        <f t="shared" si="32"/>
        <v>30002518343.041676</v>
      </c>
      <c r="AS34" s="132">
        <f t="shared" si="32"/>
        <v>22657885872.641766</v>
      </c>
      <c r="AT34" s="134">
        <f t="shared" si="32"/>
        <v>522689132.3840279</v>
      </c>
      <c r="AU34" s="134">
        <f t="shared" si="32"/>
        <v>397095843.22298485</v>
      </c>
      <c r="AV34" s="132">
        <f t="shared" si="32"/>
        <v>17780454947.938267</v>
      </c>
      <c r="AW34" s="132">
        <f t="shared" si="32"/>
        <v>17780454947.938267</v>
      </c>
      <c r="AX34" s="134">
        <f t="shared" si="32"/>
        <v>309254568.79897106</v>
      </c>
      <c r="AY34" s="132">
        <f t="shared" si="12"/>
        <v>88698.262507397842</v>
      </c>
      <c r="AZ34" s="134">
        <f t="shared" si="13"/>
        <v>831943701.1829989</v>
      </c>
      <c r="BA34" s="135">
        <f>SUM(BA13:BA33)</f>
        <v>188</v>
      </c>
      <c r="BB34" s="135">
        <f>SUM(BB13:BB33)</f>
        <v>188.01936871025143</v>
      </c>
      <c r="BC34" s="132"/>
      <c r="BD34" s="121"/>
      <c r="BE34" s="136"/>
      <c r="BF34" s="137"/>
      <c r="BG34" s="118"/>
      <c r="BH34" s="138"/>
      <c r="BI34" s="139"/>
      <c r="BJ34" s="140"/>
      <c r="BK34" s="141"/>
      <c r="BL34" s="138"/>
      <c r="BM34" s="138"/>
      <c r="BN34" s="122"/>
      <c r="BO34" s="142"/>
      <c r="BP34" s="142"/>
    </row>
    <row r="35" spans="3:68" ht="30" customHeight="1" x14ac:dyDescent="0.25">
      <c r="C35" s="93"/>
      <c r="D35" s="143" t="s">
        <v>157</v>
      </c>
      <c r="E35" s="144"/>
      <c r="F35" s="145"/>
      <c r="G35" s="118" t="s">
        <v>158</v>
      </c>
      <c r="H35" s="119">
        <f>SUMIF($G$13:$G$33,$G$35,H13:H33)</f>
        <v>0</v>
      </c>
      <c r="I35" s="119">
        <f>SUMIF($G$13:$G$33,$G$35,I13:I33)</f>
        <v>0</v>
      </c>
      <c r="J35" s="119">
        <f>SUMIF($G$13:$G$33,$G$35,J13:J33)</f>
        <v>0</v>
      </c>
      <c r="K35" s="119">
        <f>SUMIF($G$13:$G$33,$G$35,K13:K33)</f>
        <v>0</v>
      </c>
      <c r="L35" s="120" t="e">
        <f t="shared" ref="L35:L36" si="33">J35/H35</f>
        <v>#DIV/0!</v>
      </c>
      <c r="M35" s="121"/>
      <c r="N35" s="122"/>
      <c r="O35" s="122"/>
      <c r="P35" s="123"/>
      <c r="Q35" s="124"/>
      <c r="R35" s="125"/>
      <c r="S35" s="125"/>
      <c r="T35" s="127"/>
      <c r="U35" s="125"/>
      <c r="V35" s="125"/>
      <c r="W35" s="124"/>
      <c r="X35" s="124"/>
      <c r="Y35" s="128"/>
      <c r="Z35" s="129"/>
      <c r="AA35" s="129"/>
      <c r="AB35" s="130"/>
      <c r="AC35" s="131"/>
      <c r="AD35" s="132"/>
      <c r="AE35" s="133"/>
      <c r="AF35" s="132"/>
      <c r="AG35" s="132"/>
      <c r="AH35" s="132"/>
      <c r="AI35" s="132"/>
      <c r="AJ35" s="132" t="e">
        <f t="shared" si="7"/>
        <v>#DIV/0!</v>
      </c>
      <c r="AK35" s="132"/>
      <c r="AL35" s="132"/>
      <c r="AM35" s="132"/>
      <c r="AN35" s="132"/>
      <c r="AO35" s="133"/>
      <c r="AP35" s="133"/>
      <c r="AQ35" s="133"/>
      <c r="AR35" s="132"/>
      <c r="AS35" s="132"/>
      <c r="AT35" s="133"/>
      <c r="AU35" s="134"/>
      <c r="AV35" s="132"/>
      <c r="AW35" s="146"/>
      <c r="AX35" s="133"/>
      <c r="AY35" s="132"/>
      <c r="AZ35" s="132"/>
      <c r="BA35" s="147"/>
      <c r="BB35" s="148"/>
      <c r="BC35" s="132"/>
      <c r="BD35" s="121"/>
      <c r="BE35" s="136"/>
      <c r="BF35" s="137"/>
      <c r="BG35" s="118"/>
      <c r="BH35" s="138"/>
      <c r="BI35" s="139"/>
      <c r="BJ35" s="140"/>
      <c r="BK35" s="141"/>
      <c r="BL35" s="138"/>
      <c r="BM35" s="138"/>
      <c r="BN35" s="122"/>
      <c r="BO35" s="142"/>
      <c r="BP35" s="142"/>
    </row>
    <row r="36" spans="3:68" ht="30" customHeight="1" x14ac:dyDescent="0.25">
      <c r="C36" s="149"/>
      <c r="D36" s="150"/>
      <c r="E36" s="151"/>
      <c r="F36" s="152"/>
      <c r="G36" s="118" t="s">
        <v>159</v>
      </c>
      <c r="H36" s="119">
        <f>SUM(H13:H33)</f>
        <v>31006.550000000007</v>
      </c>
      <c r="I36" s="119">
        <f>SUM(I13:I33)</f>
        <v>9379.4813750000012</v>
      </c>
      <c r="J36" s="119">
        <f>SUM(J13:J33)</f>
        <v>13017.02</v>
      </c>
      <c r="K36" s="119">
        <f>SUM(K13:K33)</f>
        <v>3937.648549999999</v>
      </c>
      <c r="L36" s="120">
        <f t="shared" si="33"/>
        <v>0.41981516808545283</v>
      </c>
      <c r="M36" s="121"/>
      <c r="N36" s="122"/>
      <c r="O36" s="122"/>
      <c r="P36" s="123"/>
      <c r="Q36" s="124"/>
      <c r="R36" s="125"/>
      <c r="S36" s="125"/>
      <c r="T36" s="127"/>
      <c r="U36" s="125"/>
      <c r="V36" s="125"/>
      <c r="W36" s="124"/>
      <c r="X36" s="124"/>
      <c r="Y36" s="128"/>
      <c r="Z36" s="129"/>
      <c r="AA36" s="129"/>
      <c r="AB36" s="130"/>
      <c r="AC36" s="131"/>
      <c r="AD36" s="132"/>
      <c r="AE36" s="133"/>
      <c r="AF36" s="132"/>
      <c r="AG36" s="132"/>
      <c r="AH36" s="132"/>
      <c r="AI36" s="132"/>
      <c r="AJ36" s="132">
        <f t="shared" si="7"/>
        <v>0</v>
      </c>
      <c r="AK36" s="132"/>
      <c r="AL36" s="132"/>
      <c r="AM36" s="132"/>
      <c r="AN36" s="132"/>
      <c r="AO36" s="133"/>
      <c r="AP36" s="133"/>
      <c r="AQ36" s="133"/>
      <c r="AR36" s="132"/>
      <c r="AS36" s="132"/>
      <c r="AT36" s="133"/>
      <c r="AU36" s="134"/>
      <c r="AV36" s="132"/>
      <c r="AW36" s="146"/>
      <c r="AX36" s="133"/>
      <c r="AY36" s="132"/>
      <c r="AZ36" s="132"/>
      <c r="BA36" s="147"/>
      <c r="BB36" s="148"/>
      <c r="BC36" s="132"/>
      <c r="BD36" s="121"/>
      <c r="BE36" s="136"/>
      <c r="BF36" s="137"/>
      <c r="BG36" s="118"/>
      <c r="BH36" s="138"/>
      <c r="BI36" s="139"/>
      <c r="BJ36" s="140"/>
      <c r="BK36" s="141"/>
      <c r="BL36" s="138"/>
      <c r="BM36" s="138"/>
      <c r="BN36" s="122"/>
      <c r="BO36" s="142"/>
      <c r="BP36" s="142"/>
    </row>
    <row r="37" spans="3:68" ht="40.15" customHeight="1" outlineLevel="1" x14ac:dyDescent="0.25">
      <c r="C37" s="60" t="s">
        <v>160</v>
      </c>
      <c r="D37" s="98">
        <v>28</v>
      </c>
      <c r="E37" s="61">
        <v>1</v>
      </c>
      <c r="F37" s="61" t="s">
        <v>109</v>
      </c>
      <c r="G37" s="62" t="s">
        <v>161</v>
      </c>
      <c r="H37" s="63">
        <v>271.76</v>
      </c>
      <c r="I37" s="64">
        <f t="shared" si="16"/>
        <v>82.207399999999993</v>
      </c>
      <c r="J37" s="65">
        <v>101.52</v>
      </c>
      <c r="K37" s="64">
        <f t="shared" si="17"/>
        <v>30.709799999999998</v>
      </c>
      <c r="L37" s="66">
        <f>J37/H37</f>
        <v>0.37356491021489552</v>
      </c>
      <c r="M37" s="17">
        <v>44541</v>
      </c>
      <c r="N37" s="17">
        <v>44541</v>
      </c>
      <c r="O37" s="17">
        <v>46366</v>
      </c>
      <c r="P37" s="67">
        <f>Q37/$P$1</f>
        <v>5</v>
      </c>
      <c r="Q37" s="68">
        <f t="shared" si="20"/>
        <v>60</v>
      </c>
      <c r="R37" s="69">
        <f>IFERROR(DATEDIF($R$1,O37,"m"),0)</f>
        <v>30</v>
      </c>
      <c r="S37" s="70">
        <f t="shared" ref="S37:S62" si="34">(O37-$G$4)*$H37/$H37/$S$1</f>
        <v>2.3589041095890413</v>
      </c>
      <c r="T37" s="17">
        <v>45636</v>
      </c>
      <c r="U37" s="67">
        <f>V37/$P$1</f>
        <v>3</v>
      </c>
      <c r="V37" s="68">
        <f t="shared" ref="V37:V52" si="35">DATEDIF(N37,T37,"m")+1</f>
        <v>36</v>
      </c>
      <c r="W37" s="68">
        <f t="shared" si="1"/>
        <v>6</v>
      </c>
      <c r="X37" s="71">
        <v>3</v>
      </c>
      <c r="Y37" s="72">
        <f t="shared" si="24"/>
        <v>46275</v>
      </c>
      <c r="Z37" s="73">
        <v>20</v>
      </c>
      <c r="AA37" s="74">
        <f t="shared" ref="AA37:AA62" si="36">Z37/Q37*12</f>
        <v>4</v>
      </c>
      <c r="AB37" s="75"/>
      <c r="AC37" s="76">
        <v>-3</v>
      </c>
      <c r="AD37" s="77">
        <f t="shared" ref="AD37:AD63" si="37">AE37/K37</f>
        <v>0</v>
      </c>
      <c r="AE37" s="78">
        <v>0</v>
      </c>
      <c r="AF37" s="77">
        <f t="shared" si="25"/>
        <v>237836.50495932897</v>
      </c>
      <c r="AG37" s="77">
        <f t="shared" si="4"/>
        <v>190954.45644929851</v>
      </c>
      <c r="AH37" s="77">
        <f t="shared" ref="AH37:AH63" si="38">AK37/I37</f>
        <v>165004.61029055779</v>
      </c>
      <c r="AI37" s="77">
        <f t="shared" ref="AI37:AI62" si="39">AT37/I37</f>
        <v>57222.342514177559</v>
      </c>
      <c r="AJ37" s="77">
        <f t="shared" si="7"/>
        <v>31212.518581052318</v>
      </c>
      <c r="AK37" s="77">
        <f>SUM(AL37,AM37,AN37)</f>
        <v>13564600</v>
      </c>
      <c r="AL37" s="77">
        <f t="shared" si="27"/>
        <v>0</v>
      </c>
      <c r="AM37" s="77"/>
      <c r="AN37" s="78">
        <v>13564600</v>
      </c>
      <c r="AO37" s="78"/>
      <c r="AP37" s="78"/>
      <c r="AQ37" s="78"/>
      <c r="AR37" s="77">
        <f t="shared" ref="AR37:AR62" si="40">Q37*I37*AI37</f>
        <v>282246000</v>
      </c>
      <c r="AS37" s="77">
        <f t="shared" ref="AS37:AS62" si="41">(Q37-Z37-AB37)*I37*AI37</f>
        <v>188164000</v>
      </c>
      <c r="AT37" s="78">
        <v>4704100</v>
      </c>
      <c r="AU37" s="79">
        <f t="shared" si="28"/>
        <v>3136066.6666666665</v>
      </c>
      <c r="AV37" s="77">
        <f t="shared" ref="AV37:AV62" si="42">Q37*I37*AJ37</f>
        <v>153954000</v>
      </c>
      <c r="AW37" s="80">
        <f t="shared" ref="AW37:AW62" si="43">(Q37-AC37)*I37*AJ37</f>
        <v>161651700</v>
      </c>
      <c r="AX37" s="78">
        <v>2565900</v>
      </c>
      <c r="AY37" s="77">
        <f t="shared" si="12"/>
        <v>88434.861095229877</v>
      </c>
      <c r="AZ37" s="77">
        <f t="shared" si="13"/>
        <v>7270000</v>
      </c>
      <c r="BA37" s="81">
        <f t="shared" ref="BA37:BA62" si="44">ROUND(I37/$BA$1,)</f>
        <v>2</v>
      </c>
      <c r="BB37" s="82">
        <v>1</v>
      </c>
      <c r="BC37" s="83" t="s">
        <v>153</v>
      </c>
      <c r="BD37" s="17" t="s">
        <v>97</v>
      </c>
      <c r="BE37" s="84">
        <v>45637</v>
      </c>
      <c r="BF37" s="85">
        <f t="shared" si="15"/>
        <v>45637</v>
      </c>
      <c r="BG37" s="62" t="s">
        <v>98</v>
      </c>
      <c r="BH37" s="86" t="s">
        <v>99</v>
      </c>
      <c r="BI37" s="87">
        <v>0.19</v>
      </c>
      <c r="BJ37" s="88" t="s">
        <v>162</v>
      </c>
      <c r="BK37" s="89">
        <v>10</v>
      </c>
      <c r="BL37" s="90"/>
      <c r="BM37" s="90"/>
      <c r="BN37" s="91" t="s">
        <v>118</v>
      </c>
      <c r="BO37" s="92"/>
      <c r="BP37" s="92"/>
    </row>
    <row r="38" spans="3:68" ht="40.15" customHeight="1" outlineLevel="1" x14ac:dyDescent="0.25">
      <c r="C38" s="93"/>
      <c r="D38" s="100"/>
      <c r="E38" s="153">
        <v>2</v>
      </c>
      <c r="F38" s="61" t="s">
        <v>109</v>
      </c>
      <c r="G38" s="154" t="s">
        <v>152</v>
      </c>
      <c r="H38" s="155">
        <v>1382.54</v>
      </c>
      <c r="I38" s="64">
        <f t="shared" si="16"/>
        <v>418.21834999999999</v>
      </c>
      <c r="J38" s="65">
        <v>516.49</v>
      </c>
      <c r="K38" s="64">
        <f t="shared" si="17"/>
        <v>156.238225</v>
      </c>
      <c r="L38" s="66">
        <f>J38/H38</f>
        <v>0.37358051123294805</v>
      </c>
      <c r="M38" s="17">
        <v>44348</v>
      </c>
      <c r="N38" s="17">
        <v>44348</v>
      </c>
      <c r="O38" s="17">
        <v>46173</v>
      </c>
      <c r="P38" s="156">
        <f>Q38/$P$1</f>
        <v>5</v>
      </c>
      <c r="Q38" s="68">
        <f t="shared" si="20"/>
        <v>60</v>
      </c>
      <c r="R38" s="69">
        <f t="shared" ref="R38:R62" si="45">IFERROR(DATEDIF($R$1,O38,"m"),0)</f>
        <v>24</v>
      </c>
      <c r="S38" s="70">
        <f t="shared" si="34"/>
        <v>1.8301369863013699</v>
      </c>
      <c r="T38" s="17">
        <v>45443</v>
      </c>
      <c r="U38" s="156">
        <f>V38/$P$1</f>
        <v>3</v>
      </c>
      <c r="V38" s="68">
        <f t="shared" si="35"/>
        <v>36</v>
      </c>
      <c r="W38" s="68">
        <f t="shared" si="1"/>
        <v>0</v>
      </c>
      <c r="X38" s="71">
        <v>3</v>
      </c>
      <c r="Y38" s="72">
        <f t="shared" si="24"/>
        <v>46081</v>
      </c>
      <c r="Z38" s="157">
        <v>17</v>
      </c>
      <c r="AA38" s="74">
        <f t="shared" si="36"/>
        <v>3.4</v>
      </c>
      <c r="AB38" s="75">
        <v>0</v>
      </c>
      <c r="AC38" s="158"/>
      <c r="AD38" s="159">
        <f t="shared" si="37"/>
        <v>0</v>
      </c>
      <c r="AE38" s="160">
        <v>0</v>
      </c>
      <c r="AF38" s="77">
        <f t="shared" si="25"/>
        <v>244231.38359374242</v>
      </c>
      <c r="AG38" s="77">
        <f t="shared" si="4"/>
        <v>202468.21045459402</v>
      </c>
      <c r="AH38" s="77">
        <f t="shared" si="38"/>
        <v>879448.87879743613</v>
      </c>
      <c r="AI38" s="77">
        <f t="shared" si="39"/>
        <v>55065.556136587766</v>
      </c>
      <c r="AJ38" s="159">
        <f t="shared" si="7"/>
        <v>33975.906808499203</v>
      </c>
      <c r="AK38" s="159">
        <f t="shared" ref="AK38:AK62" si="46">SUM(AL38,AM38,AN38)</f>
        <v>367801659.00001371</v>
      </c>
      <c r="AL38" s="159">
        <f t="shared" si="27"/>
        <v>0</v>
      </c>
      <c r="AM38" s="160">
        <v>367801659.00001371</v>
      </c>
      <c r="AN38" s="159"/>
      <c r="AO38" s="160"/>
      <c r="AP38" s="160"/>
      <c r="AQ38" s="160"/>
      <c r="AR38" s="159">
        <f t="shared" si="40"/>
        <v>1381765561.7565665</v>
      </c>
      <c r="AS38" s="159">
        <f t="shared" si="41"/>
        <v>990265319.25887263</v>
      </c>
      <c r="AT38" s="160">
        <v>23029426.02927611</v>
      </c>
      <c r="AU38" s="161">
        <f t="shared" si="28"/>
        <v>16504421.987647878</v>
      </c>
      <c r="AV38" s="159">
        <f t="shared" si="42"/>
        <v>852560861.11225808</v>
      </c>
      <c r="AW38" s="162">
        <f t="shared" si="43"/>
        <v>852560861.11225808</v>
      </c>
      <c r="AX38" s="160">
        <v>14209347.685204303</v>
      </c>
      <c r="AY38" s="159">
        <f t="shared" si="12"/>
        <v>89041.462945086983</v>
      </c>
      <c r="AZ38" s="159">
        <f t="shared" si="13"/>
        <v>37238773.714480415</v>
      </c>
      <c r="BA38" s="81">
        <f t="shared" si="44"/>
        <v>8</v>
      </c>
      <c r="BB38" s="163">
        <v>8.3272929401398734</v>
      </c>
      <c r="BC38" s="83" t="s">
        <v>150</v>
      </c>
      <c r="BD38" s="17" t="s">
        <v>121</v>
      </c>
      <c r="BE38" s="84">
        <v>45809</v>
      </c>
      <c r="BF38" s="85">
        <f t="shared" si="15"/>
        <v>45809</v>
      </c>
      <c r="BG38" s="62" t="s">
        <v>98</v>
      </c>
      <c r="BH38" s="86" t="s">
        <v>163</v>
      </c>
      <c r="BI38" s="87">
        <v>0.19</v>
      </c>
      <c r="BJ38" s="88" t="s">
        <v>151</v>
      </c>
      <c r="BK38" s="89">
        <v>10</v>
      </c>
      <c r="BL38" s="90"/>
      <c r="BM38" s="90"/>
      <c r="BN38" s="91" t="s">
        <v>115</v>
      </c>
      <c r="BO38" s="92"/>
      <c r="BP38" s="92"/>
    </row>
    <row r="39" spans="3:68" ht="40.15" customHeight="1" outlineLevel="1" x14ac:dyDescent="0.25">
      <c r="C39" s="93"/>
      <c r="D39" s="101"/>
      <c r="E39" s="153">
        <v>3</v>
      </c>
      <c r="F39" s="61" t="s">
        <v>103</v>
      </c>
      <c r="G39" s="154" t="s">
        <v>155</v>
      </c>
      <c r="H39" s="155">
        <v>679.94</v>
      </c>
      <c r="I39" s="64">
        <f t="shared" si="16"/>
        <v>205.68185</v>
      </c>
      <c r="J39" s="65">
        <v>253.99</v>
      </c>
      <c r="K39" s="64">
        <f t="shared" si="17"/>
        <v>76.831975</v>
      </c>
      <c r="L39" s="66">
        <f t="shared" ref="L39:L62" si="47">J39/H39</f>
        <v>0.3735476659705268</v>
      </c>
      <c r="M39" s="17">
        <v>44562</v>
      </c>
      <c r="N39" s="164">
        <v>44562</v>
      </c>
      <c r="O39" s="164">
        <v>46173</v>
      </c>
      <c r="P39" s="156">
        <f t="shared" ref="P39:P62" si="48">Q39/$P$1</f>
        <v>4.416666666666667</v>
      </c>
      <c r="Q39" s="68">
        <f t="shared" si="20"/>
        <v>53</v>
      </c>
      <c r="R39" s="69">
        <f t="shared" si="45"/>
        <v>24</v>
      </c>
      <c r="S39" s="70">
        <f t="shared" si="34"/>
        <v>1.8301369863013699</v>
      </c>
      <c r="T39" s="17">
        <v>45657</v>
      </c>
      <c r="U39" s="156">
        <f t="shared" ref="U39:U61" si="49">V39/$P$1</f>
        <v>3</v>
      </c>
      <c r="V39" s="68">
        <f t="shared" si="35"/>
        <v>36</v>
      </c>
      <c r="W39" s="68">
        <f t="shared" si="1"/>
        <v>7</v>
      </c>
      <c r="X39" s="71">
        <v>3</v>
      </c>
      <c r="Y39" s="72">
        <f t="shared" si="24"/>
        <v>46081</v>
      </c>
      <c r="Z39" s="157">
        <v>15</v>
      </c>
      <c r="AA39" s="74">
        <f t="shared" si="36"/>
        <v>3.3962264150943398</v>
      </c>
      <c r="AB39" s="157">
        <v>1.5</v>
      </c>
      <c r="AC39" s="158"/>
      <c r="AD39" s="159">
        <f t="shared" si="37"/>
        <v>0</v>
      </c>
      <c r="AE39" s="160">
        <v>0</v>
      </c>
      <c r="AF39" s="77">
        <f t="shared" si="25"/>
        <v>244236.98596840704</v>
      </c>
      <c r="AG39" s="77">
        <f t="shared" si="4"/>
        <v>198348.44090406614</v>
      </c>
      <c r="AH39" s="77">
        <f t="shared" si="38"/>
        <v>879435.88605411712</v>
      </c>
      <c r="AI39" s="77">
        <f t="shared" si="39"/>
        <v>55060.764962975583</v>
      </c>
      <c r="AJ39" s="159">
        <f t="shared" si="7"/>
        <v>33974.801374063878</v>
      </c>
      <c r="AK39" s="159">
        <f t="shared" si="46"/>
        <v>180884000</v>
      </c>
      <c r="AL39" s="159">
        <f t="shared" si="27"/>
        <v>0</v>
      </c>
      <c r="AM39" s="160">
        <v>180884000</v>
      </c>
      <c r="AN39" s="159"/>
      <c r="AO39" s="160"/>
      <c r="AP39" s="160"/>
      <c r="AQ39" s="160"/>
      <c r="AR39" s="159">
        <f t="shared" si="40"/>
        <v>600225000</v>
      </c>
      <c r="AS39" s="159">
        <f t="shared" si="41"/>
        <v>413362500</v>
      </c>
      <c r="AT39" s="160">
        <v>11325000</v>
      </c>
      <c r="AU39" s="161">
        <f t="shared" si="28"/>
        <v>7799292.4528301889</v>
      </c>
      <c r="AV39" s="159">
        <f t="shared" si="42"/>
        <v>370364000</v>
      </c>
      <c r="AW39" s="162">
        <f t="shared" si="43"/>
        <v>370364000</v>
      </c>
      <c r="AX39" s="160">
        <v>6988000</v>
      </c>
      <c r="AY39" s="159">
        <f t="shared" si="12"/>
        <v>89035.566337039461</v>
      </c>
      <c r="AZ39" s="159">
        <f t="shared" si="13"/>
        <v>18313000</v>
      </c>
      <c r="BA39" s="81">
        <f t="shared" si="44"/>
        <v>4</v>
      </c>
      <c r="BB39" s="165">
        <v>7</v>
      </c>
      <c r="BC39" s="83" t="s">
        <v>150</v>
      </c>
      <c r="BD39" s="17" t="s">
        <v>108</v>
      </c>
      <c r="BE39" s="84">
        <v>45809</v>
      </c>
      <c r="BF39" s="85">
        <f t="shared" si="15"/>
        <v>45809</v>
      </c>
      <c r="BG39" s="62" t="s">
        <v>98</v>
      </c>
      <c r="BH39" s="86" t="s">
        <v>137</v>
      </c>
      <c r="BI39" s="87">
        <v>0.19</v>
      </c>
      <c r="BJ39" s="88" t="s">
        <v>164</v>
      </c>
      <c r="BK39" s="89">
        <v>10</v>
      </c>
      <c r="BL39" s="90"/>
      <c r="BM39" s="90"/>
      <c r="BN39" s="91" t="s">
        <v>102</v>
      </c>
      <c r="BO39" s="92"/>
      <c r="BP39" s="92"/>
    </row>
    <row r="40" spans="3:68" ht="40.15" customHeight="1" outlineLevel="1" x14ac:dyDescent="0.25">
      <c r="C40" s="93"/>
      <c r="D40" s="61">
        <v>27</v>
      </c>
      <c r="E40" s="61"/>
      <c r="F40" s="61" t="s">
        <v>109</v>
      </c>
      <c r="G40" s="62" t="s">
        <v>165</v>
      </c>
      <c r="H40" s="63">
        <v>2597.09</v>
      </c>
      <c r="I40" s="64">
        <f t="shared" si="16"/>
        <v>785.61972500000002</v>
      </c>
      <c r="J40" s="65">
        <v>973.77</v>
      </c>
      <c r="K40" s="64">
        <f t="shared" si="17"/>
        <v>294.565425</v>
      </c>
      <c r="L40" s="66">
        <f t="shared" si="47"/>
        <v>0.3749465748202796</v>
      </c>
      <c r="M40" s="17">
        <v>44166</v>
      </c>
      <c r="N40" s="17">
        <v>45261</v>
      </c>
      <c r="O40" s="17">
        <v>46356</v>
      </c>
      <c r="P40" s="156">
        <f t="shared" si="48"/>
        <v>3</v>
      </c>
      <c r="Q40" s="68">
        <f t="shared" si="20"/>
        <v>36</v>
      </c>
      <c r="R40" s="69">
        <f t="shared" si="45"/>
        <v>30</v>
      </c>
      <c r="S40" s="70">
        <f t="shared" si="34"/>
        <v>2.331506849315069</v>
      </c>
      <c r="T40" s="17">
        <v>45626</v>
      </c>
      <c r="U40" s="156">
        <f t="shared" si="49"/>
        <v>1</v>
      </c>
      <c r="V40" s="68">
        <f t="shared" si="35"/>
        <v>12</v>
      </c>
      <c r="W40" s="68">
        <f t="shared" si="1"/>
        <v>6</v>
      </c>
      <c r="X40" s="71">
        <v>3</v>
      </c>
      <c r="Y40" s="72">
        <f t="shared" si="24"/>
        <v>46264</v>
      </c>
      <c r="Z40" s="73">
        <v>6</v>
      </c>
      <c r="AA40" s="166">
        <f t="shared" si="36"/>
        <v>2</v>
      </c>
      <c r="AB40" s="75">
        <v>0</v>
      </c>
      <c r="AC40" s="76"/>
      <c r="AD40" s="77">
        <f t="shared" si="37"/>
        <v>0</v>
      </c>
      <c r="AE40" s="78">
        <v>0</v>
      </c>
      <c r="AF40" s="77">
        <f t="shared" si="25"/>
        <v>245080.29812012854</v>
      </c>
      <c r="AG40" s="77">
        <f t="shared" si="4"/>
        <v>221833.28828548934</v>
      </c>
      <c r="AH40" s="77">
        <f t="shared" si="38"/>
        <v>1199618.4611460159</v>
      </c>
      <c r="AI40" s="77">
        <f t="shared" si="39"/>
        <v>52298.320273867925</v>
      </c>
      <c r="AJ40" s="77">
        <f t="shared" si="7"/>
        <v>36594.651909342247</v>
      </c>
      <c r="AK40" s="77">
        <f t="shared" si="46"/>
        <v>942443925.55045617</v>
      </c>
      <c r="AL40" s="77">
        <f t="shared" si="27"/>
        <v>0</v>
      </c>
      <c r="AM40" s="78">
        <v>942443925.55045617</v>
      </c>
      <c r="AN40" s="78"/>
      <c r="AO40" s="78"/>
      <c r="AP40" s="78"/>
      <c r="AQ40" s="78"/>
      <c r="AR40" s="77">
        <f t="shared" si="40"/>
        <v>1479117311.6946497</v>
      </c>
      <c r="AS40" s="77">
        <f t="shared" si="41"/>
        <v>1232597759.7455413</v>
      </c>
      <c r="AT40" s="78">
        <v>41086591.991518043</v>
      </c>
      <c r="AU40" s="79">
        <f t="shared" si="28"/>
        <v>34238826.659598373</v>
      </c>
      <c r="AV40" s="77">
        <f t="shared" si="42"/>
        <v>1034981293.3015746</v>
      </c>
      <c r="AW40" s="80">
        <f t="shared" si="43"/>
        <v>1034981293.3015746</v>
      </c>
      <c r="AX40" s="78">
        <v>28749480.36948818</v>
      </c>
      <c r="AY40" s="77">
        <f t="shared" si="12"/>
        <v>88892.972183210179</v>
      </c>
      <c r="AZ40" s="77">
        <f t="shared" si="13"/>
        <v>69836072.36100623</v>
      </c>
      <c r="BA40" s="81">
        <f t="shared" si="44"/>
        <v>16</v>
      </c>
      <c r="BB40" s="82">
        <v>16.863010515308197</v>
      </c>
      <c r="BC40" s="83" t="s">
        <v>166</v>
      </c>
      <c r="BD40" s="17" t="s">
        <v>97</v>
      </c>
      <c r="BE40" s="84">
        <v>45636</v>
      </c>
      <c r="BF40" s="85">
        <f t="shared" si="15"/>
        <v>45636</v>
      </c>
      <c r="BG40" s="62" t="s">
        <v>130</v>
      </c>
      <c r="BH40" s="86" t="s">
        <v>167</v>
      </c>
      <c r="BI40" s="87">
        <v>0.19</v>
      </c>
      <c r="BJ40" s="88" t="s">
        <v>168</v>
      </c>
      <c r="BK40" s="89">
        <v>10</v>
      </c>
      <c r="BL40" s="90"/>
      <c r="BM40" s="90"/>
      <c r="BN40" s="91" t="s">
        <v>102</v>
      </c>
      <c r="BO40" s="92"/>
      <c r="BP40" s="92"/>
    </row>
    <row r="41" spans="3:68" ht="40.15" customHeight="1" outlineLevel="1" x14ac:dyDescent="0.25">
      <c r="C41" s="93"/>
      <c r="D41" s="61">
        <v>26</v>
      </c>
      <c r="E41" s="61"/>
      <c r="F41" s="61" t="s">
        <v>94</v>
      </c>
      <c r="G41" s="62" t="s">
        <v>165</v>
      </c>
      <c r="H41" s="63">
        <v>2122.56</v>
      </c>
      <c r="I41" s="64">
        <f t="shared" si="16"/>
        <v>642.07439999999997</v>
      </c>
      <c r="J41" s="65">
        <v>767.7</v>
      </c>
      <c r="K41" s="64">
        <f t="shared" si="17"/>
        <v>232.22925000000001</v>
      </c>
      <c r="L41" s="66">
        <f t="shared" si="47"/>
        <v>0.36168588873812757</v>
      </c>
      <c r="M41" s="17">
        <v>44166</v>
      </c>
      <c r="N41" s="17">
        <v>45261</v>
      </c>
      <c r="O41" s="17">
        <v>46356</v>
      </c>
      <c r="P41" s="156">
        <f t="shared" si="48"/>
        <v>3</v>
      </c>
      <c r="Q41" s="68">
        <f t="shared" si="20"/>
        <v>36</v>
      </c>
      <c r="R41" s="69">
        <f t="shared" si="45"/>
        <v>30</v>
      </c>
      <c r="S41" s="70">
        <f t="shared" si="34"/>
        <v>2.3315068493150686</v>
      </c>
      <c r="T41" s="17">
        <v>45626</v>
      </c>
      <c r="U41" s="156">
        <f t="shared" si="49"/>
        <v>1</v>
      </c>
      <c r="V41" s="68">
        <f t="shared" si="35"/>
        <v>12</v>
      </c>
      <c r="W41" s="68">
        <f t="shared" si="1"/>
        <v>6</v>
      </c>
      <c r="X41" s="71">
        <v>3</v>
      </c>
      <c r="Y41" s="72">
        <f t="shared" si="24"/>
        <v>46264</v>
      </c>
      <c r="Z41" s="73">
        <v>6</v>
      </c>
      <c r="AA41" s="166">
        <f t="shared" si="36"/>
        <v>2</v>
      </c>
      <c r="AB41" s="75">
        <v>0</v>
      </c>
      <c r="AC41" s="76"/>
      <c r="AD41" s="77">
        <f t="shared" si="37"/>
        <v>0</v>
      </c>
      <c r="AE41" s="78">
        <v>0</v>
      </c>
      <c r="AF41" s="77">
        <f t="shared" si="25"/>
        <v>254065.81013341114</v>
      </c>
      <c r="AG41" s="77">
        <f t="shared" si="4"/>
        <v>229966.48255742641</v>
      </c>
      <c r="AH41" s="77">
        <f t="shared" si="38"/>
        <v>1199618.4611460157</v>
      </c>
      <c r="AI41" s="77">
        <f t="shared" si="39"/>
        <v>52298.320273867917</v>
      </c>
      <c r="AJ41" s="77">
        <f t="shared" si="7"/>
        <v>36594.651909342247</v>
      </c>
      <c r="AK41" s="77">
        <f t="shared" si="46"/>
        <v>770244303.66925132</v>
      </c>
      <c r="AL41" s="77">
        <f t="shared" si="27"/>
        <v>0</v>
      </c>
      <c r="AM41" s="78">
        <v>770244303.66925132</v>
      </c>
      <c r="AN41" s="78"/>
      <c r="AO41" s="78"/>
      <c r="AP41" s="78"/>
      <c r="AQ41" s="78"/>
      <c r="AR41" s="77">
        <f t="shared" si="40"/>
        <v>1208858853.9906566</v>
      </c>
      <c r="AS41" s="77">
        <f t="shared" si="41"/>
        <v>1007382378.3255473</v>
      </c>
      <c r="AT41" s="78">
        <v>33579412.610851578</v>
      </c>
      <c r="AU41" s="79">
        <f t="shared" si="28"/>
        <v>27982843.842376314</v>
      </c>
      <c r="AV41" s="77">
        <f t="shared" si="42"/>
        <v>845873610.04439187</v>
      </c>
      <c r="AW41" s="80">
        <f t="shared" si="43"/>
        <v>845873610.04439187</v>
      </c>
      <c r="AX41" s="78">
        <v>23496489.167899776</v>
      </c>
      <c r="AY41" s="77">
        <f t="shared" si="12"/>
        <v>88892.972183210179</v>
      </c>
      <c r="AZ41" s="77">
        <f t="shared" si="13"/>
        <v>57075901.778751358</v>
      </c>
      <c r="BA41" s="81">
        <f t="shared" si="44"/>
        <v>13</v>
      </c>
      <c r="BB41" s="82">
        <v>13.781868013573872</v>
      </c>
      <c r="BC41" s="83" t="s">
        <v>169</v>
      </c>
      <c r="BD41" s="17" t="s">
        <v>121</v>
      </c>
      <c r="BE41" s="84">
        <v>45636</v>
      </c>
      <c r="BF41" s="85">
        <f t="shared" si="15"/>
        <v>45636</v>
      </c>
      <c r="BG41" s="62" t="s">
        <v>130</v>
      </c>
      <c r="BH41" s="86" t="s">
        <v>170</v>
      </c>
      <c r="BI41" s="87">
        <v>0.19</v>
      </c>
      <c r="BJ41" s="88" t="s">
        <v>171</v>
      </c>
      <c r="BK41" s="89">
        <v>10</v>
      </c>
      <c r="BL41" s="90"/>
      <c r="BM41" s="90"/>
      <c r="BN41" s="91" t="s">
        <v>102</v>
      </c>
      <c r="BO41" s="92"/>
      <c r="BP41" s="92"/>
    </row>
    <row r="42" spans="3:68" ht="40.15" customHeight="1" outlineLevel="1" x14ac:dyDescent="0.25">
      <c r="C42" s="93"/>
      <c r="D42" s="98">
        <v>25</v>
      </c>
      <c r="E42" s="61">
        <v>1</v>
      </c>
      <c r="F42" s="61" t="s">
        <v>94</v>
      </c>
      <c r="G42" s="62" t="s">
        <v>95</v>
      </c>
      <c r="H42" s="63">
        <v>245.63</v>
      </c>
      <c r="I42" s="64">
        <f t="shared" si="16"/>
        <v>74.303074999999993</v>
      </c>
      <c r="J42" s="65">
        <v>92.1</v>
      </c>
      <c r="K42" s="64">
        <f t="shared" si="17"/>
        <v>27.860249999999997</v>
      </c>
      <c r="L42" s="66">
        <f t="shared" si="47"/>
        <v>0.37495419940561003</v>
      </c>
      <c r="M42" s="17">
        <v>43374</v>
      </c>
      <c r="N42" s="17">
        <v>43831</v>
      </c>
      <c r="O42" s="17">
        <v>45657</v>
      </c>
      <c r="P42" s="156">
        <f t="shared" si="48"/>
        <v>5</v>
      </c>
      <c r="Q42" s="68">
        <f t="shared" si="20"/>
        <v>60</v>
      </c>
      <c r="R42" s="69">
        <f t="shared" si="45"/>
        <v>7</v>
      </c>
      <c r="S42" s="70">
        <f t="shared" si="34"/>
        <v>0.41643835616438357</v>
      </c>
      <c r="T42" s="17">
        <v>45657</v>
      </c>
      <c r="U42" s="156">
        <f t="shared" si="49"/>
        <v>5</v>
      </c>
      <c r="V42" s="68">
        <f t="shared" si="35"/>
        <v>60</v>
      </c>
      <c r="W42" s="68">
        <f t="shared" si="1"/>
        <v>7</v>
      </c>
      <c r="X42" s="71">
        <v>6</v>
      </c>
      <c r="Y42" s="72">
        <f t="shared" si="24"/>
        <v>45473</v>
      </c>
      <c r="Z42" s="73">
        <v>14</v>
      </c>
      <c r="AA42" s="74">
        <f t="shared" si="36"/>
        <v>2.8</v>
      </c>
      <c r="AB42" s="75">
        <v>0</v>
      </c>
      <c r="AC42" s="76"/>
      <c r="AD42" s="77">
        <f t="shared" si="37"/>
        <v>0</v>
      </c>
      <c r="AE42" s="78"/>
      <c r="AF42" s="77">
        <f t="shared" si="25"/>
        <v>235772.05985601991</v>
      </c>
      <c r="AG42" s="77">
        <f t="shared" si="4"/>
        <v>201430.44353005104</v>
      </c>
      <c r="AH42" s="77">
        <f t="shared" si="38"/>
        <v>318375.794770982</v>
      </c>
      <c r="AI42" s="77">
        <f t="shared" si="39"/>
        <v>55185.142524849791</v>
      </c>
      <c r="AJ42" s="77">
        <f t="shared" si="7"/>
        <v>32422.641933748273</v>
      </c>
      <c r="AK42" s="77">
        <f t="shared" si="46"/>
        <v>23656300.557052881</v>
      </c>
      <c r="AL42" s="77">
        <f t="shared" si="27"/>
        <v>0</v>
      </c>
      <c r="AM42" s="78">
        <v>23656300.557052881</v>
      </c>
      <c r="AN42" s="78"/>
      <c r="AO42" s="78"/>
      <c r="AP42" s="78"/>
      <c r="AQ42" s="78"/>
      <c r="AR42" s="77">
        <f t="shared" si="40"/>
        <v>246025547.03457618</v>
      </c>
      <c r="AS42" s="77">
        <f t="shared" si="41"/>
        <v>188619586.05984175</v>
      </c>
      <c r="AT42" s="78">
        <v>4100425.783909603</v>
      </c>
      <c r="AU42" s="79">
        <f t="shared" si="28"/>
        <v>3143659.7676640293</v>
      </c>
      <c r="AV42" s="77">
        <f t="shared" si="42"/>
        <v>144546119.71808657</v>
      </c>
      <c r="AW42" s="80">
        <f t="shared" si="43"/>
        <v>144546119.71808657</v>
      </c>
      <c r="AX42" s="78">
        <v>2409101.9953014427</v>
      </c>
      <c r="AY42" s="77">
        <f t="shared" si="12"/>
        <v>87607.784458598064</v>
      </c>
      <c r="AZ42" s="77">
        <f t="shared" si="13"/>
        <v>6509527.7792110462</v>
      </c>
      <c r="BA42" s="81">
        <f t="shared" si="44"/>
        <v>1</v>
      </c>
      <c r="BB42" s="82">
        <v>1.5222878803165039</v>
      </c>
      <c r="BC42" s="83" t="s">
        <v>124</v>
      </c>
      <c r="BD42" s="17" t="s">
        <v>121</v>
      </c>
      <c r="BE42" s="84"/>
      <c r="BF42" s="85">
        <f t="shared" si="15"/>
        <v>0</v>
      </c>
      <c r="BG42" s="62" t="s">
        <v>98</v>
      </c>
      <c r="BH42" s="86" t="s">
        <v>137</v>
      </c>
      <c r="BI42" s="87">
        <v>0.19</v>
      </c>
      <c r="BJ42" s="88" t="s">
        <v>140</v>
      </c>
      <c r="BK42" s="89">
        <v>15</v>
      </c>
      <c r="BL42" s="18" t="s">
        <v>120</v>
      </c>
      <c r="BM42" s="90"/>
      <c r="BN42" s="91" t="s">
        <v>118</v>
      </c>
      <c r="BO42" s="92"/>
      <c r="BP42" s="92"/>
    </row>
    <row r="43" spans="3:68" ht="40.15" customHeight="1" outlineLevel="1" x14ac:dyDescent="0.25">
      <c r="C43" s="93"/>
      <c r="D43" s="100"/>
      <c r="E43" s="61">
        <v>2</v>
      </c>
      <c r="F43" s="61" t="s">
        <v>94</v>
      </c>
      <c r="G43" s="62" t="s">
        <v>95</v>
      </c>
      <c r="H43" s="63">
        <v>260.41000000000003</v>
      </c>
      <c r="I43" s="64">
        <f t="shared" si="16"/>
        <v>78.774025000000009</v>
      </c>
      <c r="J43" s="65">
        <v>97.64</v>
      </c>
      <c r="K43" s="64">
        <f t="shared" si="17"/>
        <v>29.536099999999998</v>
      </c>
      <c r="L43" s="66">
        <f t="shared" si="47"/>
        <v>0.37494719864828535</v>
      </c>
      <c r="M43" s="17">
        <v>43374</v>
      </c>
      <c r="N43" s="17">
        <v>43831</v>
      </c>
      <c r="O43" s="17">
        <v>45657</v>
      </c>
      <c r="P43" s="156">
        <f t="shared" si="48"/>
        <v>5</v>
      </c>
      <c r="Q43" s="68">
        <f t="shared" si="20"/>
        <v>60</v>
      </c>
      <c r="R43" s="69">
        <f t="shared" si="45"/>
        <v>7</v>
      </c>
      <c r="S43" s="70">
        <f t="shared" si="34"/>
        <v>0.41643835616438357</v>
      </c>
      <c r="T43" s="17">
        <v>45657</v>
      </c>
      <c r="U43" s="156">
        <f t="shared" si="49"/>
        <v>5</v>
      </c>
      <c r="V43" s="68">
        <f t="shared" si="35"/>
        <v>60</v>
      </c>
      <c r="W43" s="68">
        <f t="shared" si="1"/>
        <v>7</v>
      </c>
      <c r="X43" s="71">
        <v>6</v>
      </c>
      <c r="Y43" s="72">
        <f t="shared" si="24"/>
        <v>45473</v>
      </c>
      <c r="Z43" s="73">
        <v>14</v>
      </c>
      <c r="AA43" s="74">
        <f t="shared" si="36"/>
        <v>2.8</v>
      </c>
      <c r="AB43" s="75">
        <v>0</v>
      </c>
      <c r="AC43" s="76"/>
      <c r="AD43" s="77">
        <f t="shared" si="37"/>
        <v>0</v>
      </c>
      <c r="AE43" s="78"/>
      <c r="AF43" s="77">
        <f t="shared" si="25"/>
        <v>235776.4620304619</v>
      </c>
      <c r="AG43" s="77">
        <f t="shared" si="4"/>
        <v>201434.20450135058</v>
      </c>
      <c r="AH43" s="77">
        <f t="shared" si="38"/>
        <v>318375.79477098194</v>
      </c>
      <c r="AI43" s="77">
        <f t="shared" si="39"/>
        <v>55185.142524849784</v>
      </c>
      <c r="AJ43" s="77">
        <f t="shared" si="7"/>
        <v>32422.641933748269</v>
      </c>
      <c r="AK43" s="77">
        <f t="shared" si="46"/>
        <v>25079742.816684205</v>
      </c>
      <c r="AL43" s="77">
        <f t="shared" si="27"/>
        <v>0</v>
      </c>
      <c r="AM43" s="78">
        <v>25079742.816684205</v>
      </c>
      <c r="AN43" s="78"/>
      <c r="AO43" s="78"/>
      <c r="AP43" s="78"/>
      <c r="AQ43" s="78"/>
      <c r="AR43" s="77">
        <f t="shared" si="40"/>
        <v>260829347.81286484</v>
      </c>
      <c r="AS43" s="77">
        <f t="shared" si="41"/>
        <v>199969166.65652969</v>
      </c>
      <c r="AT43" s="78">
        <v>4347155.7968810806</v>
      </c>
      <c r="AU43" s="79">
        <f t="shared" si="28"/>
        <v>3332819.4442754951</v>
      </c>
      <c r="AV43" s="77">
        <f t="shared" si="42"/>
        <v>153243720.3753081</v>
      </c>
      <c r="AW43" s="80">
        <f t="shared" si="43"/>
        <v>153243720.3753081</v>
      </c>
      <c r="AX43" s="78">
        <v>2554062.0062551349</v>
      </c>
      <c r="AY43" s="77">
        <f t="shared" si="12"/>
        <v>87607.784458598064</v>
      </c>
      <c r="AZ43" s="77">
        <f t="shared" si="13"/>
        <v>6901217.8031362155</v>
      </c>
      <c r="BA43" s="81">
        <f t="shared" si="44"/>
        <v>2</v>
      </c>
      <c r="BB43" s="82">
        <v>1.6138866869406052</v>
      </c>
      <c r="BC43" s="83" t="s">
        <v>124</v>
      </c>
      <c r="BD43" s="17" t="s">
        <v>121</v>
      </c>
      <c r="BE43" s="84"/>
      <c r="BF43" s="85">
        <f t="shared" si="15"/>
        <v>0</v>
      </c>
      <c r="BG43" s="62" t="s">
        <v>130</v>
      </c>
      <c r="BH43" s="86" t="s">
        <v>137</v>
      </c>
      <c r="BI43" s="87">
        <v>0.19</v>
      </c>
      <c r="BJ43" s="88" t="s">
        <v>140</v>
      </c>
      <c r="BK43" s="89">
        <v>15</v>
      </c>
      <c r="BL43" s="18" t="s">
        <v>120</v>
      </c>
      <c r="BM43" s="90"/>
      <c r="BN43" s="91" t="s">
        <v>102</v>
      </c>
      <c r="BO43" s="92"/>
      <c r="BP43" s="92"/>
    </row>
    <row r="44" spans="3:68" ht="40.15" customHeight="1" outlineLevel="1" x14ac:dyDescent="0.25">
      <c r="C44" s="93"/>
      <c r="D44" s="100"/>
      <c r="E44" s="61">
        <v>3</v>
      </c>
      <c r="F44" s="61" t="s">
        <v>94</v>
      </c>
      <c r="G44" s="62" t="s">
        <v>172</v>
      </c>
      <c r="H44" s="63">
        <v>625.72</v>
      </c>
      <c r="I44" s="64">
        <f t="shared" si="16"/>
        <v>189.28030000000001</v>
      </c>
      <c r="J44" s="65">
        <v>234.61</v>
      </c>
      <c r="K44" s="64">
        <f t="shared" si="17"/>
        <v>70.969525000000004</v>
      </c>
      <c r="L44" s="66">
        <f t="shared" si="47"/>
        <v>0.37494406443776768</v>
      </c>
      <c r="M44" s="17">
        <v>44166</v>
      </c>
      <c r="N44" s="17">
        <v>45261</v>
      </c>
      <c r="O44" s="17">
        <v>46356</v>
      </c>
      <c r="P44" s="156">
        <f t="shared" si="48"/>
        <v>3</v>
      </c>
      <c r="Q44" s="68">
        <f t="shared" si="20"/>
        <v>36</v>
      </c>
      <c r="R44" s="69">
        <f t="shared" si="45"/>
        <v>30</v>
      </c>
      <c r="S44" s="70">
        <f t="shared" si="34"/>
        <v>2.3315068493150681</v>
      </c>
      <c r="T44" s="17">
        <v>45626</v>
      </c>
      <c r="U44" s="156">
        <f t="shared" si="49"/>
        <v>1</v>
      </c>
      <c r="V44" s="68">
        <f t="shared" si="35"/>
        <v>12</v>
      </c>
      <c r="W44" s="68">
        <f t="shared" si="1"/>
        <v>6</v>
      </c>
      <c r="X44" s="71">
        <v>3</v>
      </c>
      <c r="Y44" s="72">
        <f t="shared" si="24"/>
        <v>46264</v>
      </c>
      <c r="Z44" s="73">
        <v>6</v>
      </c>
      <c r="AA44" s="166">
        <f t="shared" si="36"/>
        <v>2</v>
      </c>
      <c r="AB44" s="75">
        <v>0</v>
      </c>
      <c r="AC44" s="76"/>
      <c r="AD44" s="77">
        <f t="shared" si="37"/>
        <v>0</v>
      </c>
      <c r="AE44" s="78">
        <v>0</v>
      </c>
      <c r="AF44" s="77">
        <f t="shared" si="25"/>
        <v>245081.93901900586</v>
      </c>
      <c r="AG44" s="77">
        <f t="shared" si="4"/>
        <v>221834.77353745166</v>
      </c>
      <c r="AH44" s="77">
        <f t="shared" si="38"/>
        <v>1199618.4611460157</v>
      </c>
      <c r="AI44" s="77">
        <f t="shared" si="39"/>
        <v>52298.320273867917</v>
      </c>
      <c r="AJ44" s="77">
        <f t="shared" si="7"/>
        <v>36594.651909342239</v>
      </c>
      <c r="AK44" s="77">
        <f t="shared" si="46"/>
        <v>227064142.21125621</v>
      </c>
      <c r="AL44" s="77">
        <f t="shared" si="27"/>
        <v>0</v>
      </c>
      <c r="AM44" s="78">
        <v>227064142.21125621</v>
      </c>
      <c r="AN44" s="78"/>
      <c r="AO44" s="78"/>
      <c r="AP44" s="78"/>
      <c r="AQ44" s="78"/>
      <c r="AR44" s="77">
        <f t="shared" si="40"/>
        <v>356365503.03361684</v>
      </c>
      <c r="AS44" s="77">
        <f t="shared" si="41"/>
        <v>296971252.52801406</v>
      </c>
      <c r="AT44" s="78">
        <v>9899041.7509338018</v>
      </c>
      <c r="AU44" s="79">
        <f t="shared" si="28"/>
        <v>8249201.4591115015</v>
      </c>
      <c r="AV44" s="77">
        <f t="shared" si="42"/>
        <v>249359280.90465137</v>
      </c>
      <c r="AW44" s="80">
        <f t="shared" si="43"/>
        <v>249359280.90465137</v>
      </c>
      <c r="AX44" s="78">
        <v>6926646.6917958725</v>
      </c>
      <c r="AY44" s="77">
        <f t="shared" si="12"/>
        <v>88892.97218321015</v>
      </c>
      <c r="AZ44" s="77">
        <f t="shared" si="13"/>
        <v>16825688.442729674</v>
      </c>
      <c r="BA44" s="81">
        <f t="shared" si="44"/>
        <v>4</v>
      </c>
      <c r="BB44" s="82">
        <v>4.0628252927848649</v>
      </c>
      <c r="BC44" s="83" t="s">
        <v>169</v>
      </c>
      <c r="BD44" s="17" t="s">
        <v>121</v>
      </c>
      <c r="BE44" s="84"/>
      <c r="BF44" s="85">
        <f t="shared" si="15"/>
        <v>0</v>
      </c>
      <c r="BG44" s="62" t="s">
        <v>130</v>
      </c>
      <c r="BH44" s="86" t="s">
        <v>167</v>
      </c>
      <c r="BI44" s="87">
        <v>0.19</v>
      </c>
      <c r="BJ44" s="88" t="s">
        <v>168</v>
      </c>
      <c r="BK44" s="89">
        <v>10</v>
      </c>
      <c r="BL44" s="90"/>
      <c r="BM44" s="90"/>
      <c r="BN44" s="91" t="s">
        <v>118</v>
      </c>
      <c r="BO44" s="92"/>
      <c r="BP44" s="92"/>
    </row>
    <row r="45" spans="3:68" ht="40.15" customHeight="1" outlineLevel="1" x14ac:dyDescent="0.25">
      <c r="C45" s="93"/>
      <c r="D45" s="100"/>
      <c r="E45" s="61">
        <v>4</v>
      </c>
      <c r="F45" s="61" t="s">
        <v>94</v>
      </c>
      <c r="G45" s="62" t="s">
        <v>172</v>
      </c>
      <c r="H45" s="63">
        <v>507.05</v>
      </c>
      <c r="I45" s="64">
        <f t="shared" si="16"/>
        <v>153.38262499999999</v>
      </c>
      <c r="J45" s="65">
        <v>190.12</v>
      </c>
      <c r="K45" s="64">
        <f t="shared" si="17"/>
        <v>57.511299999999999</v>
      </c>
      <c r="L45" s="66">
        <f t="shared" si="47"/>
        <v>0.37495316043782667</v>
      </c>
      <c r="M45" s="17">
        <v>44166</v>
      </c>
      <c r="N45" s="17">
        <v>45261</v>
      </c>
      <c r="O45" s="17">
        <v>46356</v>
      </c>
      <c r="P45" s="156">
        <f t="shared" si="48"/>
        <v>3</v>
      </c>
      <c r="Q45" s="68">
        <f t="shared" si="20"/>
        <v>36</v>
      </c>
      <c r="R45" s="69">
        <f t="shared" si="45"/>
        <v>30</v>
      </c>
      <c r="S45" s="70">
        <f t="shared" si="34"/>
        <v>2.3315068493150686</v>
      </c>
      <c r="T45" s="17">
        <v>45626</v>
      </c>
      <c r="U45" s="156">
        <f t="shared" si="49"/>
        <v>1</v>
      </c>
      <c r="V45" s="68">
        <f t="shared" si="35"/>
        <v>12</v>
      </c>
      <c r="W45" s="68">
        <f t="shared" si="1"/>
        <v>6</v>
      </c>
      <c r="X45" s="71">
        <v>3</v>
      </c>
      <c r="Y45" s="72">
        <f t="shared" si="24"/>
        <v>46264</v>
      </c>
      <c r="Z45" s="73">
        <v>6</v>
      </c>
      <c r="AA45" s="166">
        <f t="shared" si="36"/>
        <v>2</v>
      </c>
      <c r="AB45" s="75">
        <v>0</v>
      </c>
      <c r="AC45" s="76"/>
      <c r="AD45" s="77">
        <f t="shared" si="37"/>
        <v>0</v>
      </c>
      <c r="AE45" s="78">
        <v>0</v>
      </c>
      <c r="AF45" s="77">
        <f t="shared" si="25"/>
        <v>245075.99356883514</v>
      </c>
      <c r="AG45" s="77">
        <f t="shared" si="4"/>
        <v>221829.3920409714</v>
      </c>
      <c r="AH45" s="77">
        <f t="shared" si="38"/>
        <v>1199618.4611460157</v>
      </c>
      <c r="AI45" s="77">
        <f t="shared" si="39"/>
        <v>52298.320273867925</v>
      </c>
      <c r="AJ45" s="77">
        <f t="shared" si="7"/>
        <v>36594.651909342247</v>
      </c>
      <c r="AK45" s="77">
        <f t="shared" si="46"/>
        <v>184000628.56903639</v>
      </c>
      <c r="AL45" s="77">
        <f t="shared" si="27"/>
        <v>0</v>
      </c>
      <c r="AM45" s="78">
        <v>184000628.56903639</v>
      </c>
      <c r="AN45" s="78"/>
      <c r="AO45" s="78"/>
      <c r="AP45" s="78"/>
      <c r="AQ45" s="78"/>
      <c r="AR45" s="77">
        <f t="shared" si="40"/>
        <v>288779531.28107691</v>
      </c>
      <c r="AS45" s="77">
        <f t="shared" si="41"/>
        <v>240649609.40089741</v>
      </c>
      <c r="AT45" s="78">
        <v>8021653.6466965806</v>
      </c>
      <c r="AU45" s="79">
        <f t="shared" si="28"/>
        <v>6684711.3722471502</v>
      </c>
      <c r="AV45" s="77">
        <f t="shared" si="42"/>
        <v>202067415.74938232</v>
      </c>
      <c r="AW45" s="80">
        <f t="shared" si="43"/>
        <v>202067415.74938232</v>
      </c>
      <c r="AX45" s="78">
        <v>5612983.7708161753</v>
      </c>
      <c r="AY45" s="77">
        <f t="shared" si="12"/>
        <v>88892.972183210164</v>
      </c>
      <c r="AZ45" s="77">
        <f t="shared" si="13"/>
        <v>13634637.417512756</v>
      </c>
      <c r="BA45" s="81">
        <f t="shared" si="44"/>
        <v>3</v>
      </c>
      <c r="BB45" s="82">
        <v>3.2922961783330655</v>
      </c>
      <c r="BC45" s="83" t="s">
        <v>169</v>
      </c>
      <c r="BD45" s="17" t="s">
        <v>97</v>
      </c>
      <c r="BE45" s="84"/>
      <c r="BF45" s="85">
        <f t="shared" si="15"/>
        <v>0</v>
      </c>
      <c r="BG45" s="62" t="s">
        <v>130</v>
      </c>
      <c r="BH45" s="86" t="s">
        <v>167</v>
      </c>
      <c r="BI45" s="87">
        <v>0.19</v>
      </c>
      <c r="BJ45" s="88" t="s">
        <v>168</v>
      </c>
      <c r="BK45" s="89">
        <v>10</v>
      </c>
      <c r="BL45" s="90"/>
      <c r="BM45" s="90"/>
      <c r="BN45" s="91" t="s">
        <v>118</v>
      </c>
      <c r="BO45" s="92"/>
      <c r="BP45" s="92"/>
    </row>
    <row r="46" spans="3:68" ht="40.15" customHeight="1" outlineLevel="1" x14ac:dyDescent="0.25">
      <c r="C46" s="93"/>
      <c r="D46" s="100"/>
      <c r="E46" s="61">
        <v>5</v>
      </c>
      <c r="F46" s="61" t="s">
        <v>94</v>
      </c>
      <c r="G46" s="62" t="s">
        <v>173</v>
      </c>
      <c r="H46" s="63">
        <v>322.05</v>
      </c>
      <c r="I46" s="64">
        <f t="shared" si="16"/>
        <v>97.420124999999999</v>
      </c>
      <c r="J46" s="65">
        <v>120.73585287</v>
      </c>
      <c r="K46" s="64">
        <f t="shared" si="17"/>
        <v>36.522595493174997</v>
      </c>
      <c r="L46" s="66">
        <f t="shared" si="47"/>
        <v>0.37489785086166744</v>
      </c>
      <c r="M46" s="17">
        <v>43983</v>
      </c>
      <c r="N46" s="17">
        <v>43983</v>
      </c>
      <c r="O46" s="17">
        <v>45808</v>
      </c>
      <c r="P46" s="156">
        <f t="shared" si="48"/>
        <v>5</v>
      </c>
      <c r="Q46" s="68">
        <f t="shared" si="20"/>
        <v>60</v>
      </c>
      <c r="R46" s="69">
        <f t="shared" si="45"/>
        <v>12</v>
      </c>
      <c r="S46" s="70">
        <f t="shared" si="34"/>
        <v>0.83013698630136989</v>
      </c>
      <c r="T46" s="17">
        <v>44712</v>
      </c>
      <c r="U46" s="156">
        <f t="shared" si="49"/>
        <v>2</v>
      </c>
      <c r="V46" s="68">
        <f t="shared" si="35"/>
        <v>24</v>
      </c>
      <c r="W46" s="68" t="str">
        <f t="shared" si="1"/>
        <v>만료</v>
      </c>
      <c r="X46" s="71">
        <v>3</v>
      </c>
      <c r="Y46" s="72">
        <f t="shared" si="24"/>
        <v>45716</v>
      </c>
      <c r="Z46" s="73">
        <v>20</v>
      </c>
      <c r="AA46" s="166">
        <f t="shared" si="36"/>
        <v>4</v>
      </c>
      <c r="AB46" s="75">
        <v>0</v>
      </c>
      <c r="AC46" s="167">
        <v>0</v>
      </c>
      <c r="AD46" s="77">
        <f t="shared" si="37"/>
        <v>0</v>
      </c>
      <c r="AE46" s="78">
        <v>0</v>
      </c>
      <c r="AF46" s="77">
        <f t="shared" si="25"/>
        <v>244860.79450928333</v>
      </c>
      <c r="AG46" s="77">
        <f t="shared" si="4"/>
        <v>194482.84878860851</v>
      </c>
      <c r="AH46" s="77">
        <f t="shared" si="38"/>
        <v>549996.21484780486</v>
      </c>
      <c r="AI46" s="77">
        <f t="shared" si="39"/>
        <v>56659.750744520192</v>
      </c>
      <c r="AJ46" s="77">
        <f t="shared" si="7"/>
        <v>33763.044340170985</v>
      </c>
      <c r="AK46" s="77">
        <f t="shared" si="46"/>
        <v>53580700</v>
      </c>
      <c r="AL46" s="77">
        <f t="shared" si="27"/>
        <v>0</v>
      </c>
      <c r="AM46" s="78">
        <v>53580700</v>
      </c>
      <c r="AN46" s="78"/>
      <c r="AO46" s="78"/>
      <c r="AP46" s="78"/>
      <c r="AQ46" s="78"/>
      <c r="AR46" s="77">
        <f t="shared" si="40"/>
        <v>331188000</v>
      </c>
      <c r="AS46" s="77">
        <f t="shared" si="41"/>
        <v>220792000</v>
      </c>
      <c r="AT46" s="78">
        <v>5519800</v>
      </c>
      <c r="AU46" s="79">
        <f t="shared" si="28"/>
        <v>3679866.6666666665</v>
      </c>
      <c r="AV46" s="77">
        <f t="shared" si="42"/>
        <v>197351999.99999997</v>
      </c>
      <c r="AW46" s="80">
        <f t="shared" si="43"/>
        <v>197351999.99999997</v>
      </c>
      <c r="AX46" s="78">
        <v>3289200</v>
      </c>
      <c r="AY46" s="77">
        <f t="shared" si="12"/>
        <v>90422.795084691184</v>
      </c>
      <c r="AZ46" s="77">
        <f t="shared" si="13"/>
        <v>8809000</v>
      </c>
      <c r="BA46" s="81">
        <f t="shared" si="44"/>
        <v>2</v>
      </c>
      <c r="BB46" s="82">
        <v>2</v>
      </c>
      <c r="BC46" s="83" t="s">
        <v>174</v>
      </c>
      <c r="BD46" s="17" t="s">
        <v>121</v>
      </c>
      <c r="BE46" s="84"/>
      <c r="BF46" s="85">
        <f t="shared" si="15"/>
        <v>0</v>
      </c>
      <c r="BG46" s="62" t="s">
        <v>98</v>
      </c>
      <c r="BH46" s="86" t="s">
        <v>137</v>
      </c>
      <c r="BI46" s="87">
        <v>0.19</v>
      </c>
      <c r="BJ46" s="88" t="s">
        <v>175</v>
      </c>
      <c r="BK46" s="89">
        <v>10</v>
      </c>
      <c r="BL46" s="90"/>
      <c r="BM46" s="90"/>
      <c r="BN46" s="91" t="s">
        <v>102</v>
      </c>
      <c r="BO46" s="92"/>
      <c r="BP46" s="92"/>
    </row>
    <row r="47" spans="3:68" ht="40.15" customHeight="1" outlineLevel="1" x14ac:dyDescent="0.25">
      <c r="C47" s="93"/>
      <c r="D47" s="101"/>
      <c r="E47" s="61">
        <v>6</v>
      </c>
      <c r="F47" s="61" t="s">
        <v>94</v>
      </c>
      <c r="G47" s="62" t="s">
        <v>176</v>
      </c>
      <c r="H47" s="63">
        <v>636.23</v>
      </c>
      <c r="I47" s="64">
        <f t="shared" si="16"/>
        <v>192.459575</v>
      </c>
      <c r="J47" s="65">
        <v>238.56414713000001</v>
      </c>
      <c r="K47" s="64">
        <f t="shared" si="17"/>
        <v>72.165654506825007</v>
      </c>
      <c r="L47" s="66">
        <f t="shared" si="47"/>
        <v>0.3749652596230923</v>
      </c>
      <c r="M47" s="17">
        <v>44201</v>
      </c>
      <c r="N47" s="17">
        <v>44109</v>
      </c>
      <c r="O47" s="17">
        <v>46026</v>
      </c>
      <c r="P47" s="156">
        <f t="shared" si="48"/>
        <v>5.25</v>
      </c>
      <c r="Q47" s="68">
        <f t="shared" si="20"/>
        <v>63</v>
      </c>
      <c r="R47" s="69">
        <f t="shared" si="45"/>
        <v>19</v>
      </c>
      <c r="S47" s="70">
        <f t="shared" si="34"/>
        <v>1.4273972602739726</v>
      </c>
      <c r="T47" s="17">
        <v>45295</v>
      </c>
      <c r="U47" s="156">
        <f t="shared" si="49"/>
        <v>3.25</v>
      </c>
      <c r="V47" s="68">
        <f t="shared" si="35"/>
        <v>39</v>
      </c>
      <c r="W47" s="68" t="str">
        <f t="shared" si="1"/>
        <v>만료</v>
      </c>
      <c r="X47" s="71">
        <v>3</v>
      </c>
      <c r="Y47" s="72">
        <f t="shared" si="24"/>
        <v>45934</v>
      </c>
      <c r="Z47" s="73">
        <v>0</v>
      </c>
      <c r="AA47" s="166">
        <f t="shared" si="36"/>
        <v>0</v>
      </c>
      <c r="AB47" s="75">
        <v>3</v>
      </c>
      <c r="AC47" s="76"/>
      <c r="AD47" s="77">
        <f t="shared" si="37"/>
        <v>0</v>
      </c>
      <c r="AE47" s="78">
        <v>0</v>
      </c>
      <c r="AF47" s="77">
        <f t="shared" si="25"/>
        <v>191764.66415462503</v>
      </c>
      <c r="AG47" s="77">
        <f t="shared" si="4"/>
        <v>186969.29501752087</v>
      </c>
      <c r="AH47" s="77">
        <f t="shared" si="38"/>
        <v>550001.21454076783</v>
      </c>
      <c r="AI47" s="77">
        <f t="shared" si="39"/>
        <v>37760.033503139552</v>
      </c>
      <c r="AJ47" s="77">
        <f t="shared" si="7"/>
        <v>32770.050541782606</v>
      </c>
      <c r="AK47" s="77">
        <f t="shared" si="46"/>
        <v>105853000</v>
      </c>
      <c r="AL47" s="77">
        <f t="shared" si="27"/>
        <v>0</v>
      </c>
      <c r="AM47" s="78">
        <v>105853000</v>
      </c>
      <c r="AN47" s="78"/>
      <c r="AO47" s="78"/>
      <c r="AP47" s="78"/>
      <c r="AQ47" s="78"/>
      <c r="AR47" s="77">
        <f t="shared" si="40"/>
        <v>457838639.99999994</v>
      </c>
      <c r="AS47" s="77">
        <f t="shared" si="41"/>
        <v>436036800</v>
      </c>
      <c r="AT47" s="78">
        <v>7267280</v>
      </c>
      <c r="AU47" s="79">
        <f t="shared" si="28"/>
        <v>6921219.0476190476</v>
      </c>
      <c r="AV47" s="77">
        <f t="shared" si="42"/>
        <v>397335330</v>
      </c>
      <c r="AW47" s="80">
        <f t="shared" si="43"/>
        <v>397335330</v>
      </c>
      <c r="AX47" s="78">
        <v>6306910</v>
      </c>
      <c r="AY47" s="77">
        <f t="shared" si="12"/>
        <v>70530.084044922158</v>
      </c>
      <c r="AZ47" s="77">
        <f t="shared" si="13"/>
        <v>13574190</v>
      </c>
      <c r="BA47" s="81">
        <f t="shared" si="44"/>
        <v>4</v>
      </c>
      <c r="BB47" s="82">
        <v>4</v>
      </c>
      <c r="BC47" s="83" t="s">
        <v>177</v>
      </c>
      <c r="BD47" s="17" t="s">
        <v>121</v>
      </c>
      <c r="BE47" s="84">
        <v>45662</v>
      </c>
      <c r="BF47" s="85">
        <f t="shared" si="15"/>
        <v>45662</v>
      </c>
      <c r="BG47" s="62" t="s">
        <v>130</v>
      </c>
      <c r="BH47" s="86" t="s">
        <v>137</v>
      </c>
      <c r="BI47" s="87">
        <v>0.19</v>
      </c>
      <c r="BJ47" s="97"/>
      <c r="BK47" s="89">
        <v>10</v>
      </c>
      <c r="BL47" s="90" t="s">
        <v>178</v>
      </c>
      <c r="BM47" s="90"/>
      <c r="BN47" s="91" t="s">
        <v>118</v>
      </c>
      <c r="BO47" s="92"/>
      <c r="BP47" s="92"/>
    </row>
    <row r="48" spans="3:68" ht="40.15" customHeight="1" outlineLevel="1" x14ac:dyDescent="0.25">
      <c r="C48" s="93"/>
      <c r="D48" s="98">
        <v>24</v>
      </c>
      <c r="E48" s="61">
        <v>1</v>
      </c>
      <c r="F48" s="61" t="s">
        <v>109</v>
      </c>
      <c r="G48" s="62" t="s">
        <v>179</v>
      </c>
      <c r="H48" s="63">
        <v>1927.58</v>
      </c>
      <c r="I48" s="64">
        <f t="shared" si="16"/>
        <v>583.09294999999997</v>
      </c>
      <c r="J48" s="65">
        <v>722.74</v>
      </c>
      <c r="K48" s="64">
        <f t="shared" si="17"/>
        <v>218.62885</v>
      </c>
      <c r="L48" s="66">
        <f t="shared" si="47"/>
        <v>0.37494682451571404</v>
      </c>
      <c r="M48" s="17">
        <v>44348</v>
      </c>
      <c r="N48" s="17">
        <v>44348</v>
      </c>
      <c r="O48" s="17">
        <v>46173</v>
      </c>
      <c r="P48" s="156">
        <f t="shared" si="48"/>
        <v>5</v>
      </c>
      <c r="Q48" s="68">
        <f t="shared" si="20"/>
        <v>60</v>
      </c>
      <c r="R48" s="69">
        <f t="shared" si="45"/>
        <v>24</v>
      </c>
      <c r="S48" s="70">
        <f t="shared" si="34"/>
        <v>1.8301369863013699</v>
      </c>
      <c r="T48" s="17">
        <v>45443</v>
      </c>
      <c r="U48" s="156">
        <f t="shared" si="49"/>
        <v>3</v>
      </c>
      <c r="V48" s="68">
        <f t="shared" si="35"/>
        <v>36</v>
      </c>
      <c r="W48" s="68">
        <f t="shared" si="1"/>
        <v>0</v>
      </c>
      <c r="X48" s="71">
        <v>3</v>
      </c>
      <c r="Y48" s="72">
        <f t="shared" si="24"/>
        <v>46081</v>
      </c>
      <c r="Z48" s="73">
        <v>20</v>
      </c>
      <c r="AA48" s="166">
        <f t="shared" si="36"/>
        <v>4</v>
      </c>
      <c r="AB48" s="73"/>
      <c r="AC48" s="73">
        <f>-(22+30+31)/30</f>
        <v>-2.7666666666666666</v>
      </c>
      <c r="AD48" s="77">
        <f t="shared" si="37"/>
        <v>0</v>
      </c>
      <c r="AE48" s="78">
        <v>0</v>
      </c>
      <c r="AF48" s="77">
        <f t="shared" si="25"/>
        <v>234899.71245789379</v>
      </c>
      <c r="AG48" s="77">
        <f t="shared" si="4"/>
        <v>188789.1866868338</v>
      </c>
      <c r="AH48" s="77">
        <f t="shared" si="38"/>
        <v>550000.8189088892</v>
      </c>
      <c r="AI48" s="77">
        <f t="shared" si="39"/>
        <v>56099.975141184608</v>
      </c>
      <c r="AJ48" s="77">
        <f t="shared" si="7"/>
        <v>30599.924077284762</v>
      </c>
      <c r="AK48" s="77">
        <f t="shared" si="46"/>
        <v>320701600</v>
      </c>
      <c r="AL48" s="77">
        <f t="shared" si="27"/>
        <v>0</v>
      </c>
      <c r="AM48" s="78">
        <v>320701600</v>
      </c>
      <c r="AN48" s="78"/>
      <c r="AO48" s="78"/>
      <c r="AP48" s="78"/>
      <c r="AQ48" s="78"/>
      <c r="AR48" s="77">
        <f t="shared" si="40"/>
        <v>1962689999.9999998</v>
      </c>
      <c r="AS48" s="77">
        <f t="shared" si="41"/>
        <v>1308460000</v>
      </c>
      <c r="AT48" s="78">
        <v>32711500</v>
      </c>
      <c r="AU48" s="79">
        <f t="shared" si="28"/>
        <v>21807666.666666668</v>
      </c>
      <c r="AV48" s="77">
        <f t="shared" si="42"/>
        <v>1070555999.9999999</v>
      </c>
      <c r="AW48" s="80">
        <f t="shared" si="43"/>
        <v>1119920526.6666667</v>
      </c>
      <c r="AX48" s="78">
        <v>17842600</v>
      </c>
      <c r="AY48" s="77">
        <f t="shared" si="12"/>
        <v>86699.899218469378</v>
      </c>
      <c r="AZ48" s="77">
        <f t="shared" si="13"/>
        <v>50554100</v>
      </c>
      <c r="BA48" s="81">
        <f t="shared" si="44"/>
        <v>12</v>
      </c>
      <c r="BB48" s="82">
        <v>12</v>
      </c>
      <c r="BC48" s="83" t="s">
        <v>180</v>
      </c>
      <c r="BD48" s="17" t="s">
        <v>121</v>
      </c>
      <c r="BE48" s="84">
        <v>45809</v>
      </c>
      <c r="BF48" s="85">
        <f t="shared" si="15"/>
        <v>45809</v>
      </c>
      <c r="BG48" s="62" t="s">
        <v>130</v>
      </c>
      <c r="BH48" s="86" t="s">
        <v>137</v>
      </c>
      <c r="BI48" s="87">
        <v>0.19</v>
      </c>
      <c r="BJ48" s="88" t="s">
        <v>181</v>
      </c>
      <c r="BK48" s="89">
        <v>20</v>
      </c>
      <c r="BL48" s="86" t="s">
        <v>182</v>
      </c>
      <c r="BM48" s="90"/>
      <c r="BN48" s="91" t="s">
        <v>102</v>
      </c>
      <c r="BO48" s="92"/>
      <c r="BP48" s="92"/>
    </row>
    <row r="49" spans="3:68" ht="40.15" customHeight="1" outlineLevel="1" x14ac:dyDescent="0.25">
      <c r="C49" s="93"/>
      <c r="D49" s="101"/>
      <c r="E49" s="61">
        <v>2</v>
      </c>
      <c r="F49" s="61" t="s">
        <v>94</v>
      </c>
      <c r="G49" s="62" t="s">
        <v>183</v>
      </c>
      <c r="H49" s="63">
        <v>669.51</v>
      </c>
      <c r="I49" s="64">
        <f t="shared" si="16"/>
        <v>202.52677499999999</v>
      </c>
      <c r="J49" s="65">
        <v>251.03</v>
      </c>
      <c r="K49" s="64">
        <f t="shared" si="17"/>
        <v>75.936575000000005</v>
      </c>
      <c r="L49" s="66">
        <f t="shared" si="47"/>
        <v>0.3749458559244821</v>
      </c>
      <c r="M49" s="17">
        <v>44470</v>
      </c>
      <c r="N49" s="17">
        <v>44470</v>
      </c>
      <c r="O49" s="17">
        <v>46295</v>
      </c>
      <c r="P49" s="156">
        <f t="shared" si="48"/>
        <v>5</v>
      </c>
      <c r="Q49" s="68">
        <f t="shared" si="20"/>
        <v>60</v>
      </c>
      <c r="R49" s="69">
        <f t="shared" si="45"/>
        <v>28</v>
      </c>
      <c r="S49" s="70">
        <f t="shared" si="34"/>
        <v>2.1643835616438358</v>
      </c>
      <c r="T49" s="17">
        <v>45565</v>
      </c>
      <c r="U49" s="156">
        <f t="shared" si="49"/>
        <v>3</v>
      </c>
      <c r="V49" s="68">
        <f t="shared" si="35"/>
        <v>36</v>
      </c>
      <c r="W49" s="68">
        <f t="shared" si="1"/>
        <v>4</v>
      </c>
      <c r="X49" s="71">
        <v>3</v>
      </c>
      <c r="Y49" s="72">
        <f t="shared" si="24"/>
        <v>46203</v>
      </c>
      <c r="Z49" s="73">
        <v>20</v>
      </c>
      <c r="AA49" s="166">
        <f t="shared" si="36"/>
        <v>4</v>
      </c>
      <c r="AB49" s="73"/>
      <c r="AC49" s="73">
        <f>-(13+30)/30</f>
        <v>-1.4333333333333333</v>
      </c>
      <c r="AD49" s="77">
        <f t="shared" si="37"/>
        <v>0</v>
      </c>
      <c r="AE49" s="78">
        <v>0</v>
      </c>
      <c r="AF49" s="77">
        <f t="shared" si="25"/>
        <v>230369.60450217829</v>
      </c>
      <c r="AG49" s="77">
        <f t="shared" si="4"/>
        <v>183384.51420368467</v>
      </c>
      <c r="AH49" s="77">
        <f t="shared" si="38"/>
        <v>550008.75810124364</v>
      </c>
      <c r="AI49" s="77">
        <f t="shared" si="39"/>
        <v>55000.628929187267</v>
      </c>
      <c r="AJ49" s="77">
        <f t="shared" si="7"/>
        <v>30000.477714613291</v>
      </c>
      <c r="AK49" s="77">
        <f t="shared" si="46"/>
        <v>111391500</v>
      </c>
      <c r="AL49" s="77">
        <f t="shared" si="27"/>
        <v>0</v>
      </c>
      <c r="AM49" s="78">
        <v>111391500</v>
      </c>
      <c r="AN49" s="78"/>
      <c r="AO49" s="78"/>
      <c r="AP49" s="78"/>
      <c r="AQ49" s="78"/>
      <c r="AR49" s="77">
        <f t="shared" si="40"/>
        <v>668346000</v>
      </c>
      <c r="AS49" s="77">
        <f t="shared" si="41"/>
        <v>445564000</v>
      </c>
      <c r="AT49" s="78">
        <v>11139100</v>
      </c>
      <c r="AU49" s="79">
        <f t="shared" si="28"/>
        <v>7426066.666666667</v>
      </c>
      <c r="AV49" s="77">
        <f t="shared" si="42"/>
        <v>364554000</v>
      </c>
      <c r="AW49" s="80">
        <f t="shared" si="43"/>
        <v>373262790</v>
      </c>
      <c r="AX49" s="78">
        <v>6075900</v>
      </c>
      <c r="AY49" s="77">
        <f t="shared" si="12"/>
        <v>85001.106643800566</v>
      </c>
      <c r="AZ49" s="77">
        <f t="shared" si="13"/>
        <v>17215000</v>
      </c>
      <c r="BA49" s="81">
        <f t="shared" si="44"/>
        <v>4</v>
      </c>
      <c r="BB49" s="82">
        <v>4</v>
      </c>
      <c r="BC49" s="83" t="s">
        <v>180</v>
      </c>
      <c r="BD49" s="17" t="s">
        <v>97</v>
      </c>
      <c r="BE49" s="84">
        <v>45566</v>
      </c>
      <c r="BF49" s="85">
        <f t="shared" si="15"/>
        <v>45566</v>
      </c>
      <c r="BG49" s="62" t="s">
        <v>130</v>
      </c>
      <c r="BH49" s="86" t="s">
        <v>106</v>
      </c>
      <c r="BI49" s="87">
        <v>0.19</v>
      </c>
      <c r="BJ49" s="88" t="s">
        <v>184</v>
      </c>
      <c r="BK49" s="89">
        <v>20</v>
      </c>
      <c r="BL49" s="86" t="s">
        <v>182</v>
      </c>
      <c r="BM49" s="90"/>
      <c r="BN49" s="91" t="s">
        <v>102</v>
      </c>
      <c r="BO49" s="92"/>
      <c r="BP49" s="92"/>
    </row>
    <row r="50" spans="3:68" ht="40.15" customHeight="1" outlineLevel="1" x14ac:dyDescent="0.25">
      <c r="C50" s="93"/>
      <c r="D50" s="98">
        <v>23</v>
      </c>
      <c r="E50" s="61">
        <v>1</v>
      </c>
      <c r="F50" s="61" t="s">
        <v>109</v>
      </c>
      <c r="G50" s="62" t="s">
        <v>185</v>
      </c>
      <c r="H50" s="63">
        <v>958.51</v>
      </c>
      <c r="I50" s="64">
        <f t="shared" si="16"/>
        <v>289.949275</v>
      </c>
      <c r="J50" s="65">
        <v>359.39</v>
      </c>
      <c r="K50" s="64">
        <f t="shared" si="17"/>
        <v>108.715475</v>
      </c>
      <c r="L50" s="66">
        <f t="shared" si="47"/>
        <v>0.37494653159591446</v>
      </c>
      <c r="M50" s="17">
        <v>43541</v>
      </c>
      <c r="N50" s="17">
        <v>45368</v>
      </c>
      <c r="O50" s="17">
        <v>46462</v>
      </c>
      <c r="P50" s="156">
        <f t="shared" si="48"/>
        <v>3</v>
      </c>
      <c r="Q50" s="68">
        <f t="shared" si="20"/>
        <v>36</v>
      </c>
      <c r="R50" s="69">
        <f t="shared" si="45"/>
        <v>34</v>
      </c>
      <c r="S50" s="70">
        <f t="shared" si="34"/>
        <v>2.6219178082191781</v>
      </c>
      <c r="T50" s="17">
        <v>46097</v>
      </c>
      <c r="U50" s="156">
        <f t="shared" si="49"/>
        <v>2</v>
      </c>
      <c r="V50" s="68">
        <f t="shared" si="35"/>
        <v>24</v>
      </c>
      <c r="W50" s="68">
        <f t="shared" si="1"/>
        <v>22</v>
      </c>
      <c r="X50" s="71">
        <v>3</v>
      </c>
      <c r="Y50" s="72">
        <f t="shared" si="24"/>
        <v>46372</v>
      </c>
      <c r="Z50" s="73">
        <v>6</v>
      </c>
      <c r="AA50" s="166">
        <f t="shared" si="36"/>
        <v>2</v>
      </c>
      <c r="AB50" s="75">
        <v>0</v>
      </c>
      <c r="AC50" s="76"/>
      <c r="AD50" s="77">
        <f t="shared" si="37"/>
        <v>0</v>
      </c>
      <c r="AE50" s="78">
        <v>0</v>
      </c>
      <c r="AF50" s="77">
        <f t="shared" si="25"/>
        <v>242380.9483185327</v>
      </c>
      <c r="AG50" s="77">
        <f t="shared" si="4"/>
        <v>216904.61772169633</v>
      </c>
      <c r="AH50" s="77">
        <f t="shared" si="38"/>
        <v>535641.59993454616</v>
      </c>
      <c r="AI50" s="77">
        <f t="shared" si="39"/>
        <v>57313.570770448001</v>
      </c>
      <c r="AJ50" s="77">
        <f t="shared" si="7"/>
        <v>32227.221126678061</v>
      </c>
      <c r="AK50" s="77">
        <f t="shared" si="46"/>
        <v>155308893.56086171</v>
      </c>
      <c r="AL50" s="77">
        <f t="shared" si="27"/>
        <v>0</v>
      </c>
      <c r="AM50" s="78">
        <v>155308893.56086171</v>
      </c>
      <c r="AN50" s="78"/>
      <c r="AO50" s="78"/>
      <c r="AP50" s="78"/>
      <c r="AQ50" s="78"/>
      <c r="AR50" s="77">
        <f t="shared" si="40"/>
        <v>598249018.53189325</v>
      </c>
      <c r="AS50" s="77">
        <f t="shared" si="41"/>
        <v>498540848.77657771</v>
      </c>
      <c r="AT50" s="78">
        <v>16618028.29255259</v>
      </c>
      <c r="AU50" s="79">
        <f t="shared" si="28"/>
        <v>13848356.910460493</v>
      </c>
      <c r="AV50" s="77">
        <f t="shared" si="42"/>
        <v>336393338.43401951</v>
      </c>
      <c r="AW50" s="80">
        <f t="shared" si="43"/>
        <v>336393338.43401951</v>
      </c>
      <c r="AX50" s="78">
        <v>9344259.4009449873</v>
      </c>
      <c r="AY50" s="77">
        <f t="shared" si="12"/>
        <v>89540.791897126066</v>
      </c>
      <c r="AZ50" s="77">
        <f t="shared" si="13"/>
        <v>25962287.693497576</v>
      </c>
      <c r="BA50" s="81">
        <f t="shared" si="44"/>
        <v>6</v>
      </c>
      <c r="BB50" s="82">
        <v>8.0873270334120804</v>
      </c>
      <c r="BC50" s="168"/>
      <c r="BD50" s="17" t="s">
        <v>97</v>
      </c>
      <c r="BE50" s="84">
        <v>45733</v>
      </c>
      <c r="BF50" s="85">
        <f t="shared" si="15"/>
        <v>45733</v>
      </c>
      <c r="BG50" s="62" t="s">
        <v>130</v>
      </c>
      <c r="BH50" s="86" t="s">
        <v>106</v>
      </c>
      <c r="BI50" s="87">
        <v>0.19</v>
      </c>
      <c r="BJ50" s="88" t="s">
        <v>186</v>
      </c>
      <c r="BK50" s="89">
        <v>10</v>
      </c>
      <c r="BL50" s="90"/>
      <c r="BM50" s="90"/>
      <c r="BN50" s="91" t="s">
        <v>102</v>
      </c>
      <c r="BO50" s="92"/>
      <c r="BP50" s="92"/>
    </row>
    <row r="51" spans="3:68" ht="40.15" customHeight="1" outlineLevel="1" x14ac:dyDescent="0.25">
      <c r="C51" s="93"/>
      <c r="D51" s="100"/>
      <c r="E51" s="61">
        <v>2</v>
      </c>
      <c r="F51" s="61" t="s">
        <v>94</v>
      </c>
      <c r="G51" s="62" t="s">
        <v>187</v>
      </c>
      <c r="H51" s="63">
        <v>126.6</v>
      </c>
      <c r="I51" s="64">
        <f t="shared" si="16"/>
        <v>38.296499999999995</v>
      </c>
      <c r="J51" s="65">
        <v>47.53</v>
      </c>
      <c r="K51" s="64">
        <f t="shared" si="17"/>
        <v>14.377825</v>
      </c>
      <c r="L51" s="66">
        <f t="shared" si="47"/>
        <v>0.37543443917851504</v>
      </c>
      <c r="M51" s="17">
        <v>44821</v>
      </c>
      <c r="N51" s="17">
        <v>45368</v>
      </c>
      <c r="O51" s="17">
        <v>46462</v>
      </c>
      <c r="P51" s="156">
        <f t="shared" si="48"/>
        <v>3</v>
      </c>
      <c r="Q51" s="68">
        <f t="shared" si="20"/>
        <v>36</v>
      </c>
      <c r="R51" s="69">
        <f t="shared" si="45"/>
        <v>34</v>
      </c>
      <c r="S51" s="70">
        <f t="shared" si="34"/>
        <v>2.6219178082191781</v>
      </c>
      <c r="T51" s="17">
        <v>46097</v>
      </c>
      <c r="U51" s="156">
        <f t="shared" si="49"/>
        <v>2</v>
      </c>
      <c r="V51" s="68">
        <f t="shared" si="35"/>
        <v>24</v>
      </c>
      <c r="W51" s="68">
        <f t="shared" si="1"/>
        <v>22</v>
      </c>
      <c r="X51" s="71">
        <v>3</v>
      </c>
      <c r="Y51" s="72">
        <f t="shared" si="24"/>
        <v>46372</v>
      </c>
      <c r="Z51" s="73">
        <v>6</v>
      </c>
      <c r="AA51" s="166">
        <f t="shared" si="36"/>
        <v>2</v>
      </c>
      <c r="AB51" s="75">
        <v>0</v>
      </c>
      <c r="AC51" s="76"/>
      <c r="AD51" s="77">
        <f t="shared" si="37"/>
        <v>0</v>
      </c>
      <c r="AE51" s="78">
        <v>0</v>
      </c>
      <c r="AF51" s="77">
        <f t="shared" si="25"/>
        <v>249724.83668426902</v>
      </c>
      <c r="AG51" s="77">
        <f t="shared" si="4"/>
        <v>223381.02830805999</v>
      </c>
      <c r="AH51" s="77">
        <f t="shared" si="38"/>
        <v>559842.28323737159</v>
      </c>
      <c r="AI51" s="77">
        <f t="shared" si="39"/>
        <v>59342.23754128968</v>
      </c>
      <c r="AJ51" s="77">
        <f t="shared" si="7"/>
        <v>33013.460760121685</v>
      </c>
      <c r="AK51" s="77">
        <f t="shared" si="46"/>
        <v>21440000</v>
      </c>
      <c r="AL51" s="77">
        <f t="shared" si="27"/>
        <v>0</v>
      </c>
      <c r="AM51" s="78"/>
      <c r="AN51" s="78">
        <v>21440000</v>
      </c>
      <c r="AO51" s="78"/>
      <c r="AP51" s="78"/>
      <c r="AQ51" s="78"/>
      <c r="AR51" s="77">
        <f t="shared" si="40"/>
        <v>81813600</v>
      </c>
      <c r="AS51" s="77">
        <f t="shared" si="41"/>
        <v>68177999.999999985</v>
      </c>
      <c r="AT51" s="78">
        <v>2272600</v>
      </c>
      <c r="AU51" s="79">
        <f t="shared" si="28"/>
        <v>1893833.333333333</v>
      </c>
      <c r="AV51" s="77">
        <f t="shared" si="42"/>
        <v>45514799.999999993</v>
      </c>
      <c r="AW51" s="80">
        <f t="shared" si="43"/>
        <v>45514799.999999993</v>
      </c>
      <c r="AX51" s="78">
        <v>1264300</v>
      </c>
      <c r="AY51" s="77">
        <f t="shared" si="12"/>
        <v>92355.698301411365</v>
      </c>
      <c r="AZ51" s="77">
        <f t="shared" si="13"/>
        <v>3536900</v>
      </c>
      <c r="BA51" s="81">
        <f t="shared" si="44"/>
        <v>1</v>
      </c>
      <c r="BB51" s="82">
        <v>0</v>
      </c>
      <c r="BC51" s="77"/>
      <c r="BD51" s="17" t="s">
        <v>97</v>
      </c>
      <c r="BE51" s="84">
        <v>45733</v>
      </c>
      <c r="BF51" s="85">
        <f t="shared" si="15"/>
        <v>45733</v>
      </c>
      <c r="BG51" s="62" t="s">
        <v>130</v>
      </c>
      <c r="BH51" s="86" t="s">
        <v>188</v>
      </c>
      <c r="BI51" s="87">
        <v>0.19</v>
      </c>
      <c r="BJ51" s="88" t="s">
        <v>189</v>
      </c>
      <c r="BK51" s="89">
        <v>10</v>
      </c>
      <c r="BL51" s="90"/>
      <c r="BM51" s="90"/>
      <c r="BN51" s="91" t="s">
        <v>102</v>
      </c>
      <c r="BO51" s="92"/>
      <c r="BP51" s="92"/>
    </row>
    <row r="52" spans="3:68" ht="40.15" customHeight="1" outlineLevel="1" x14ac:dyDescent="0.25">
      <c r="C52" s="93"/>
      <c r="D52" s="100"/>
      <c r="E52" s="61">
        <v>3</v>
      </c>
      <c r="F52" s="61" t="s">
        <v>94</v>
      </c>
      <c r="G52" s="62" t="s">
        <v>190</v>
      </c>
      <c r="H52" s="63">
        <v>987.1</v>
      </c>
      <c r="I52" s="64">
        <f t="shared" si="16"/>
        <v>298.59775000000002</v>
      </c>
      <c r="J52" s="65">
        <v>370.06</v>
      </c>
      <c r="K52" s="64">
        <f t="shared" si="17"/>
        <v>111.94315</v>
      </c>
      <c r="L52" s="66">
        <f t="shared" si="47"/>
        <v>0.3748961604700638</v>
      </c>
      <c r="M52" s="17">
        <v>44044</v>
      </c>
      <c r="N52" s="17">
        <v>44044</v>
      </c>
      <c r="O52" s="17">
        <v>45869</v>
      </c>
      <c r="P52" s="156">
        <f t="shared" si="48"/>
        <v>5</v>
      </c>
      <c r="Q52" s="68">
        <f t="shared" si="20"/>
        <v>60</v>
      </c>
      <c r="R52" s="69">
        <f t="shared" si="45"/>
        <v>14</v>
      </c>
      <c r="S52" s="70">
        <f t="shared" si="34"/>
        <v>0.99726027397260275</v>
      </c>
      <c r="T52" s="17">
        <v>44773</v>
      </c>
      <c r="U52" s="156">
        <f t="shared" si="49"/>
        <v>2</v>
      </c>
      <c r="V52" s="68">
        <f t="shared" si="35"/>
        <v>24</v>
      </c>
      <c r="W52" s="68" t="str">
        <f t="shared" si="1"/>
        <v>만료</v>
      </c>
      <c r="X52" s="71">
        <v>3</v>
      </c>
      <c r="Y52" s="72">
        <f t="shared" si="24"/>
        <v>45777</v>
      </c>
      <c r="Z52" s="73">
        <v>22</v>
      </c>
      <c r="AA52" s="166">
        <f t="shared" si="36"/>
        <v>4.3999999999999995</v>
      </c>
      <c r="AB52" s="75">
        <v>2</v>
      </c>
      <c r="AC52" s="76"/>
      <c r="AD52" s="77">
        <f t="shared" si="37"/>
        <v>0</v>
      </c>
      <c r="AE52" s="78"/>
      <c r="AF52" s="77">
        <f t="shared" si="25"/>
        <v>244273.76753289503</v>
      </c>
      <c r="AG52" s="77">
        <f t="shared" si="4"/>
        <v>181998.94321358652</v>
      </c>
      <c r="AH52" s="77">
        <f t="shared" si="38"/>
        <v>550004.14437148301</v>
      </c>
      <c r="AI52" s="77">
        <f t="shared" si="39"/>
        <v>58366.481328141286</v>
      </c>
      <c r="AJ52" s="77">
        <f t="shared" si="7"/>
        <v>31835.80586256929</v>
      </c>
      <c r="AK52" s="77">
        <f t="shared" si="46"/>
        <v>164230000</v>
      </c>
      <c r="AL52" s="77">
        <f t="shared" si="27"/>
        <v>0</v>
      </c>
      <c r="AM52" s="78">
        <v>164230000</v>
      </c>
      <c r="AN52" s="78"/>
      <c r="AO52" s="78"/>
      <c r="AP52" s="78"/>
      <c r="AQ52" s="78"/>
      <c r="AR52" s="77">
        <f t="shared" si="40"/>
        <v>1045686000.0000001</v>
      </c>
      <c r="AS52" s="77">
        <f t="shared" si="41"/>
        <v>627411600</v>
      </c>
      <c r="AT52" s="78">
        <v>17428100</v>
      </c>
      <c r="AU52" s="79">
        <f t="shared" si="28"/>
        <v>10456860</v>
      </c>
      <c r="AV52" s="77">
        <f t="shared" si="42"/>
        <v>570366000</v>
      </c>
      <c r="AW52" s="80">
        <f t="shared" si="43"/>
        <v>570366000</v>
      </c>
      <c r="AX52" s="78">
        <v>9506100</v>
      </c>
      <c r="AY52" s="77">
        <f t="shared" si="12"/>
        <v>90202.287190710573</v>
      </c>
      <c r="AZ52" s="77">
        <f t="shared" si="13"/>
        <v>26934200</v>
      </c>
      <c r="BA52" s="81">
        <f t="shared" si="44"/>
        <v>6</v>
      </c>
      <c r="BB52" s="82">
        <v>6</v>
      </c>
      <c r="BC52" s="83" t="s">
        <v>136</v>
      </c>
      <c r="BD52" s="17" t="s">
        <v>121</v>
      </c>
      <c r="BE52" s="84">
        <v>45505</v>
      </c>
      <c r="BF52" s="85">
        <f t="shared" si="15"/>
        <v>45505</v>
      </c>
      <c r="BG52" s="62" t="s">
        <v>130</v>
      </c>
      <c r="BH52" s="86" t="s">
        <v>191</v>
      </c>
      <c r="BI52" s="87">
        <v>0.19</v>
      </c>
      <c r="BJ52" s="88" t="s">
        <v>192</v>
      </c>
      <c r="BK52" s="89">
        <v>10</v>
      </c>
      <c r="BL52" s="90"/>
      <c r="BM52" s="90"/>
      <c r="BN52" s="91" t="s">
        <v>118</v>
      </c>
      <c r="BO52" s="92"/>
      <c r="BP52" s="92"/>
    </row>
    <row r="53" spans="3:68" ht="40.15" customHeight="1" outlineLevel="1" x14ac:dyDescent="0.25">
      <c r="C53" s="93"/>
      <c r="D53" s="101"/>
      <c r="E53" s="61">
        <v>4</v>
      </c>
      <c r="F53" s="61" t="s">
        <v>109</v>
      </c>
      <c r="G53" s="62" t="s">
        <v>193</v>
      </c>
      <c r="H53" s="63">
        <v>524.88</v>
      </c>
      <c r="I53" s="64">
        <f t="shared" si="16"/>
        <v>158.77619999999999</v>
      </c>
      <c r="J53" s="65">
        <v>196.79</v>
      </c>
      <c r="K53" s="64">
        <f t="shared" si="17"/>
        <v>59.528974999999996</v>
      </c>
      <c r="L53" s="66">
        <f t="shared" si="47"/>
        <v>0.37492379210486204</v>
      </c>
      <c r="M53" s="17">
        <v>43556</v>
      </c>
      <c r="N53" s="17">
        <v>45383</v>
      </c>
      <c r="O53" s="17">
        <v>45747</v>
      </c>
      <c r="P53" s="156">
        <f t="shared" si="48"/>
        <v>1</v>
      </c>
      <c r="Q53" s="68">
        <f t="shared" si="20"/>
        <v>12</v>
      </c>
      <c r="R53" s="69">
        <f t="shared" si="45"/>
        <v>10</v>
      </c>
      <c r="S53" s="70">
        <f t="shared" si="34"/>
        <v>0.66301369863013704</v>
      </c>
      <c r="T53" s="17"/>
      <c r="U53" s="156"/>
      <c r="V53" s="68"/>
      <c r="W53" s="68" t="str">
        <f t="shared" si="1"/>
        <v>만료</v>
      </c>
      <c r="X53" s="71">
        <v>3</v>
      </c>
      <c r="Y53" s="72">
        <f t="shared" si="24"/>
        <v>45657</v>
      </c>
      <c r="Z53" s="73">
        <v>3</v>
      </c>
      <c r="AA53" s="166">
        <f t="shared" si="36"/>
        <v>3</v>
      </c>
      <c r="AB53" s="75">
        <v>0</v>
      </c>
      <c r="AC53" s="76"/>
      <c r="AD53" s="77">
        <f t="shared" si="37"/>
        <v>0</v>
      </c>
      <c r="AE53" s="78"/>
      <c r="AF53" s="77">
        <f t="shared" si="25"/>
        <v>269045.7462101439</v>
      </c>
      <c r="AG53" s="77">
        <f t="shared" si="4"/>
        <v>226117.07156052999</v>
      </c>
      <c r="AH53" s="77">
        <f t="shared" si="38"/>
        <v>550000.56683558365</v>
      </c>
      <c r="AI53" s="77">
        <f t="shared" si="39"/>
        <v>64379.925958676431</v>
      </c>
      <c r="AJ53" s="77">
        <f t="shared" si="7"/>
        <v>35116.724043024085</v>
      </c>
      <c r="AK53" s="77">
        <f t="shared" si="46"/>
        <v>87327000</v>
      </c>
      <c r="AL53" s="77">
        <f t="shared" si="27"/>
        <v>0</v>
      </c>
      <c r="AM53" s="78">
        <v>87327000</v>
      </c>
      <c r="AN53" s="78"/>
      <c r="AO53" s="78"/>
      <c r="AP53" s="78"/>
      <c r="AQ53" s="78"/>
      <c r="AR53" s="77">
        <f t="shared" si="40"/>
        <v>122664000</v>
      </c>
      <c r="AS53" s="77">
        <f t="shared" si="41"/>
        <v>91998000</v>
      </c>
      <c r="AT53" s="78">
        <v>10222000</v>
      </c>
      <c r="AU53" s="79">
        <f t="shared" si="28"/>
        <v>7666500</v>
      </c>
      <c r="AV53" s="77">
        <f t="shared" si="42"/>
        <v>66908400</v>
      </c>
      <c r="AW53" s="80">
        <f t="shared" si="43"/>
        <v>66908400</v>
      </c>
      <c r="AX53" s="78">
        <v>5575700</v>
      </c>
      <c r="AY53" s="77">
        <f t="shared" si="12"/>
        <v>99496.650001700516</v>
      </c>
      <c r="AZ53" s="77">
        <f t="shared" si="13"/>
        <v>15797700</v>
      </c>
      <c r="BA53" s="81">
        <f t="shared" si="44"/>
        <v>3</v>
      </c>
      <c r="BB53" s="82">
        <v>3</v>
      </c>
      <c r="BC53" s="77"/>
      <c r="BD53" s="17" t="s">
        <v>121</v>
      </c>
      <c r="BE53" s="84"/>
      <c r="BF53" s="85">
        <f t="shared" si="15"/>
        <v>0</v>
      </c>
      <c r="BG53" s="62"/>
      <c r="BH53" s="86" t="s">
        <v>106</v>
      </c>
      <c r="BI53" s="87">
        <v>0.19</v>
      </c>
      <c r="BJ53" s="88" t="s">
        <v>194</v>
      </c>
      <c r="BK53" s="89">
        <v>10</v>
      </c>
      <c r="BL53" s="90"/>
      <c r="BM53" s="90"/>
      <c r="BN53" s="91" t="s">
        <v>118</v>
      </c>
      <c r="BO53" s="92"/>
      <c r="BP53" s="92"/>
    </row>
    <row r="54" spans="3:68" ht="40.15" customHeight="1" outlineLevel="1" x14ac:dyDescent="0.25">
      <c r="C54" s="93"/>
      <c r="D54" s="61">
        <v>22</v>
      </c>
      <c r="E54" s="61"/>
      <c r="F54" s="61" t="s">
        <v>94</v>
      </c>
      <c r="G54" s="62" t="s">
        <v>187</v>
      </c>
      <c r="H54" s="63">
        <v>2597.09</v>
      </c>
      <c r="I54" s="64">
        <f t="shared" si="16"/>
        <v>785.61972500000002</v>
      </c>
      <c r="J54" s="65">
        <v>1122.6199999999999</v>
      </c>
      <c r="K54" s="64">
        <f t="shared" si="17"/>
        <v>339.59254999999996</v>
      </c>
      <c r="L54" s="66">
        <f t="shared" si="47"/>
        <v>0.43226072257796216</v>
      </c>
      <c r="M54" s="17">
        <v>43541</v>
      </c>
      <c r="N54" s="17">
        <v>45368</v>
      </c>
      <c r="O54" s="17">
        <v>46462</v>
      </c>
      <c r="P54" s="156">
        <f t="shared" si="48"/>
        <v>3</v>
      </c>
      <c r="Q54" s="68">
        <f t="shared" si="20"/>
        <v>36</v>
      </c>
      <c r="R54" s="69">
        <f t="shared" si="45"/>
        <v>34</v>
      </c>
      <c r="S54" s="70">
        <f t="shared" si="34"/>
        <v>2.6219178082191785</v>
      </c>
      <c r="T54" s="17">
        <v>46097</v>
      </c>
      <c r="U54" s="156">
        <f t="shared" si="49"/>
        <v>2</v>
      </c>
      <c r="V54" s="68">
        <f>DATEDIF(N54,T54,"m")+1</f>
        <v>24</v>
      </c>
      <c r="W54" s="68">
        <f t="shared" si="1"/>
        <v>22</v>
      </c>
      <c r="X54" s="71">
        <v>3</v>
      </c>
      <c r="Y54" s="72">
        <f t="shared" si="24"/>
        <v>46372</v>
      </c>
      <c r="Z54" s="73">
        <v>6</v>
      </c>
      <c r="AA54" s="166">
        <f t="shared" si="36"/>
        <v>2</v>
      </c>
      <c r="AB54" s="75">
        <v>0</v>
      </c>
      <c r="AC54" s="76"/>
      <c r="AD54" s="77">
        <f t="shared" si="37"/>
        <v>0</v>
      </c>
      <c r="AE54" s="78">
        <v>0</v>
      </c>
      <c r="AF54" s="77">
        <f t="shared" si="25"/>
        <v>210243.24244627942</v>
      </c>
      <c r="AG54" s="77">
        <f t="shared" si="4"/>
        <v>188144.86224160605</v>
      </c>
      <c r="AH54" s="77">
        <f t="shared" si="38"/>
        <v>535641.59993454628</v>
      </c>
      <c r="AI54" s="77">
        <f t="shared" si="39"/>
        <v>57313.570770448016</v>
      </c>
      <c r="AJ54" s="77">
        <f t="shared" si="7"/>
        <v>32227.221126678065</v>
      </c>
      <c r="AK54" s="77">
        <f t="shared" si="46"/>
        <v>420810606.43913823</v>
      </c>
      <c r="AL54" s="77">
        <f t="shared" si="27"/>
        <v>0</v>
      </c>
      <c r="AM54" s="78">
        <v>420810606.43913823</v>
      </c>
      <c r="AN54" s="78"/>
      <c r="AO54" s="78"/>
      <c r="AP54" s="78"/>
      <c r="AQ54" s="78"/>
      <c r="AR54" s="77">
        <f t="shared" si="40"/>
        <v>1620960181.4681067</v>
      </c>
      <c r="AS54" s="77">
        <f t="shared" si="41"/>
        <v>1350800151.2234223</v>
      </c>
      <c r="AT54" s="78">
        <v>45026671.70744741</v>
      </c>
      <c r="AU54" s="79">
        <f t="shared" si="28"/>
        <v>37522226.422872841</v>
      </c>
      <c r="AV54" s="77">
        <f t="shared" si="42"/>
        <v>911460261.56598055</v>
      </c>
      <c r="AW54" s="80">
        <f t="shared" si="43"/>
        <v>911460261.56598055</v>
      </c>
      <c r="AX54" s="78">
        <v>25318340.599055011</v>
      </c>
      <c r="AY54" s="77">
        <f t="shared" si="12"/>
        <v>89540.791897126081</v>
      </c>
      <c r="AZ54" s="77">
        <f t="shared" si="13"/>
        <v>70345012.306502417</v>
      </c>
      <c r="BA54" s="81">
        <f t="shared" si="44"/>
        <v>16</v>
      </c>
      <c r="BB54" s="82">
        <v>21.912672966587916</v>
      </c>
      <c r="BC54" s="83" t="s">
        <v>145</v>
      </c>
      <c r="BD54" s="17" t="s">
        <v>121</v>
      </c>
      <c r="BE54" s="84">
        <v>45733</v>
      </c>
      <c r="BF54" s="85">
        <f t="shared" si="15"/>
        <v>45733</v>
      </c>
      <c r="BG54" s="62" t="s">
        <v>130</v>
      </c>
      <c r="BH54" s="86" t="s">
        <v>106</v>
      </c>
      <c r="BI54" s="87">
        <v>0.19</v>
      </c>
      <c r="BJ54" s="88" t="s">
        <v>189</v>
      </c>
      <c r="BK54" s="89">
        <v>10</v>
      </c>
      <c r="BL54" s="90"/>
      <c r="BM54" s="90"/>
      <c r="BN54" s="91" t="s">
        <v>102</v>
      </c>
      <c r="BO54" s="92"/>
      <c r="BP54" s="92"/>
    </row>
    <row r="55" spans="3:68" ht="40.15" customHeight="1" outlineLevel="1" x14ac:dyDescent="0.25">
      <c r="C55" s="93"/>
      <c r="D55" s="98">
        <v>21</v>
      </c>
      <c r="E55" s="61">
        <v>1</v>
      </c>
      <c r="F55" s="61" t="s">
        <v>94</v>
      </c>
      <c r="G55" s="62" t="s">
        <v>195</v>
      </c>
      <c r="H55" s="63">
        <v>527.69000000000005</v>
      </c>
      <c r="I55" s="64">
        <f t="shared" si="16"/>
        <v>159.62622500000001</v>
      </c>
      <c r="J55" s="65">
        <v>197.86</v>
      </c>
      <c r="K55" s="64">
        <f t="shared" si="17"/>
        <v>59.852650000000004</v>
      </c>
      <c r="L55" s="66">
        <f t="shared" si="47"/>
        <v>0.37495499251454451</v>
      </c>
      <c r="M55" s="17">
        <v>44024</v>
      </c>
      <c r="N55" s="17">
        <v>44287</v>
      </c>
      <c r="O55" s="17">
        <v>45869</v>
      </c>
      <c r="P55" s="156">
        <f t="shared" si="48"/>
        <v>4.333333333333333</v>
      </c>
      <c r="Q55" s="68">
        <f t="shared" si="20"/>
        <v>52</v>
      </c>
      <c r="R55" s="69">
        <f t="shared" si="45"/>
        <v>14</v>
      </c>
      <c r="S55" s="70">
        <f t="shared" si="34"/>
        <v>0.99726027397260275</v>
      </c>
      <c r="T55" s="17"/>
      <c r="U55" s="156"/>
      <c r="V55" s="68"/>
      <c r="W55" s="68" t="str">
        <f t="shared" si="1"/>
        <v>만료</v>
      </c>
      <c r="X55" s="71">
        <v>3</v>
      </c>
      <c r="Y55" s="72">
        <f t="shared" si="24"/>
        <v>45777</v>
      </c>
      <c r="Z55" s="73">
        <v>15</v>
      </c>
      <c r="AA55" s="166">
        <f t="shared" si="36"/>
        <v>3.4615384615384612</v>
      </c>
      <c r="AB55" s="75">
        <v>0</v>
      </c>
      <c r="AC55" s="76"/>
      <c r="AD55" s="77">
        <f t="shared" si="37"/>
        <v>0</v>
      </c>
      <c r="AE55" s="78"/>
      <c r="AF55" s="77">
        <f t="shared" si="25"/>
        <v>247307.22031522411</v>
      </c>
      <c r="AG55" s="77">
        <f t="shared" si="4"/>
        <v>202402.2296037403</v>
      </c>
      <c r="AH55" s="77">
        <f t="shared" si="38"/>
        <v>440009.15263140498</v>
      </c>
      <c r="AI55" s="77">
        <f t="shared" si="39"/>
        <v>58369.481581112377</v>
      </c>
      <c r="AJ55" s="77">
        <f t="shared" si="7"/>
        <v>33259.572479396789</v>
      </c>
      <c r="AK55" s="77">
        <f t="shared" si="46"/>
        <v>70237000</v>
      </c>
      <c r="AL55" s="77">
        <f t="shared" si="27"/>
        <v>0</v>
      </c>
      <c r="AM55" s="78">
        <v>70237000</v>
      </c>
      <c r="AN55" s="78"/>
      <c r="AO55" s="78"/>
      <c r="AP55" s="78"/>
      <c r="AQ55" s="78"/>
      <c r="AR55" s="77">
        <f t="shared" si="40"/>
        <v>484499600.00000006</v>
      </c>
      <c r="AS55" s="77">
        <f t="shared" si="41"/>
        <v>344740100</v>
      </c>
      <c r="AT55" s="78">
        <v>9317300</v>
      </c>
      <c r="AU55" s="79">
        <f t="shared" si="28"/>
        <v>6629617.307692308</v>
      </c>
      <c r="AV55" s="77">
        <f t="shared" si="42"/>
        <v>276073200</v>
      </c>
      <c r="AW55" s="80">
        <f t="shared" si="43"/>
        <v>276073200</v>
      </c>
      <c r="AX55" s="78">
        <v>5309100</v>
      </c>
      <c r="AY55" s="77">
        <f t="shared" si="12"/>
        <v>91629.054060509166</v>
      </c>
      <c r="AZ55" s="77">
        <f t="shared" si="13"/>
        <v>14626400</v>
      </c>
      <c r="BA55" s="81">
        <f t="shared" si="44"/>
        <v>3</v>
      </c>
      <c r="BB55" s="82">
        <v>3</v>
      </c>
      <c r="BC55" s="83" t="s">
        <v>196</v>
      </c>
      <c r="BD55" s="17" t="s">
        <v>121</v>
      </c>
      <c r="BE55" s="84">
        <v>45505</v>
      </c>
      <c r="BF55" s="85">
        <f t="shared" si="15"/>
        <v>45505</v>
      </c>
      <c r="BG55" s="62" t="s">
        <v>98</v>
      </c>
      <c r="BH55" s="86" t="s">
        <v>137</v>
      </c>
      <c r="BI55" s="87">
        <v>0.19</v>
      </c>
      <c r="BJ55" s="88" t="s">
        <v>143</v>
      </c>
      <c r="BK55" s="89">
        <v>10</v>
      </c>
      <c r="BL55" s="90"/>
      <c r="BM55" s="90"/>
      <c r="BN55" s="91" t="s">
        <v>118</v>
      </c>
      <c r="BO55" s="92"/>
      <c r="BP55" s="92"/>
    </row>
    <row r="56" spans="3:68" ht="40.15" customHeight="1" outlineLevel="1" x14ac:dyDescent="0.25">
      <c r="C56" s="93"/>
      <c r="D56" s="101"/>
      <c r="E56" s="61">
        <v>2</v>
      </c>
      <c r="F56" s="61" t="s">
        <v>94</v>
      </c>
      <c r="G56" s="62" t="s">
        <v>135</v>
      </c>
      <c r="H56" s="63">
        <v>2069.4</v>
      </c>
      <c r="I56" s="64">
        <f t="shared" si="16"/>
        <v>625.99350000000004</v>
      </c>
      <c r="J56" s="65">
        <v>775.91</v>
      </c>
      <c r="K56" s="64">
        <f t="shared" si="17"/>
        <v>234.71277499999999</v>
      </c>
      <c r="L56" s="66">
        <f t="shared" si="47"/>
        <v>0.37494442833671593</v>
      </c>
      <c r="M56" s="17">
        <v>44024</v>
      </c>
      <c r="N56" s="17">
        <v>44604</v>
      </c>
      <c r="O56" s="17">
        <v>45869</v>
      </c>
      <c r="P56" s="156">
        <f t="shared" si="48"/>
        <v>3.5</v>
      </c>
      <c r="Q56" s="68">
        <f t="shared" si="20"/>
        <v>42</v>
      </c>
      <c r="R56" s="69">
        <f t="shared" si="45"/>
        <v>14</v>
      </c>
      <c r="S56" s="70">
        <f t="shared" si="34"/>
        <v>0.99726027397260275</v>
      </c>
      <c r="T56" s="17">
        <v>45333</v>
      </c>
      <c r="U56" s="156">
        <f t="shared" si="49"/>
        <v>2</v>
      </c>
      <c r="V56" s="68">
        <f t="shared" ref="V56:V61" si="50">DATEDIF(N56,T56,"m")+1</f>
        <v>24</v>
      </c>
      <c r="W56" s="68" t="str">
        <f t="shared" si="1"/>
        <v>만료</v>
      </c>
      <c r="X56" s="71">
        <v>3</v>
      </c>
      <c r="Y56" s="72">
        <f t="shared" si="24"/>
        <v>45777</v>
      </c>
      <c r="Z56" s="73">
        <v>9</v>
      </c>
      <c r="AA56" s="166">
        <f t="shared" si="36"/>
        <v>2.5714285714285712</v>
      </c>
      <c r="AB56" s="75">
        <v>0</v>
      </c>
      <c r="AC56" s="76"/>
      <c r="AD56" s="77">
        <f t="shared" si="37"/>
        <v>0</v>
      </c>
      <c r="AE56" s="78">
        <v>0</v>
      </c>
      <c r="AF56" s="77">
        <f t="shared" si="25"/>
        <v>242505.98204550223</v>
      </c>
      <c r="AG56" s="77">
        <f t="shared" si="4"/>
        <v>209803.30655506198</v>
      </c>
      <c r="AH56" s="77">
        <f t="shared" si="38"/>
        <v>439994.98397347576</v>
      </c>
      <c r="AI56" s="77">
        <f t="shared" si="39"/>
        <v>57221.201178606483</v>
      </c>
      <c r="AJ56" s="77">
        <f t="shared" si="7"/>
        <v>32605.078167744552</v>
      </c>
      <c r="AK56" s="77">
        <f t="shared" si="46"/>
        <v>275434000</v>
      </c>
      <c r="AL56" s="77">
        <f t="shared" si="27"/>
        <v>0</v>
      </c>
      <c r="AM56" s="78">
        <v>275434000</v>
      </c>
      <c r="AN56" s="78"/>
      <c r="AO56" s="78"/>
      <c r="AP56" s="78"/>
      <c r="AQ56" s="78"/>
      <c r="AR56" s="77">
        <f t="shared" si="40"/>
        <v>1504444200</v>
      </c>
      <c r="AS56" s="77">
        <f t="shared" si="41"/>
        <v>1182063300</v>
      </c>
      <c r="AT56" s="78">
        <v>35820100</v>
      </c>
      <c r="AU56" s="79">
        <f t="shared" si="28"/>
        <v>28144364.285714287</v>
      </c>
      <c r="AV56" s="77">
        <f t="shared" si="42"/>
        <v>857243814</v>
      </c>
      <c r="AW56" s="80">
        <f t="shared" si="43"/>
        <v>857243814</v>
      </c>
      <c r="AX56" s="78">
        <v>20410567</v>
      </c>
      <c r="AY56" s="77">
        <f t="shared" si="12"/>
        <v>89826.279346351032</v>
      </c>
      <c r="AZ56" s="77">
        <f t="shared" si="13"/>
        <v>56230667</v>
      </c>
      <c r="BA56" s="81">
        <f t="shared" si="44"/>
        <v>13</v>
      </c>
      <c r="BB56" s="82">
        <v>12</v>
      </c>
      <c r="BC56" s="83" t="s">
        <v>196</v>
      </c>
      <c r="BD56" s="17" t="s">
        <v>121</v>
      </c>
      <c r="BE56" s="84">
        <v>45505</v>
      </c>
      <c r="BF56" s="85">
        <f t="shared" si="15"/>
        <v>45505</v>
      </c>
      <c r="BG56" s="62" t="s">
        <v>130</v>
      </c>
      <c r="BH56" s="86" t="s">
        <v>106</v>
      </c>
      <c r="BI56" s="87">
        <v>0.19</v>
      </c>
      <c r="BJ56" s="88" t="s">
        <v>138</v>
      </c>
      <c r="BK56" s="89">
        <v>10</v>
      </c>
      <c r="BL56" s="90"/>
      <c r="BM56" s="90"/>
      <c r="BN56" s="91" t="s">
        <v>118</v>
      </c>
      <c r="BO56" s="92"/>
      <c r="BP56" s="92"/>
    </row>
    <row r="57" spans="3:68" ht="40.15" customHeight="1" outlineLevel="1" x14ac:dyDescent="0.25">
      <c r="C57" s="93"/>
      <c r="D57" s="61">
        <v>20</v>
      </c>
      <c r="E57" s="61"/>
      <c r="F57" s="61" t="s">
        <v>94</v>
      </c>
      <c r="G57" s="62" t="s">
        <v>197</v>
      </c>
      <c r="H57" s="63">
        <v>2534.4899999999998</v>
      </c>
      <c r="I57" s="64">
        <f t="shared" si="16"/>
        <v>766.68322499999988</v>
      </c>
      <c r="J57" s="65">
        <v>973.84</v>
      </c>
      <c r="K57" s="64">
        <f t="shared" si="17"/>
        <v>294.58659999999998</v>
      </c>
      <c r="L57" s="66">
        <f t="shared" si="47"/>
        <v>0.38423509266164008</v>
      </c>
      <c r="M57" s="17">
        <v>44541</v>
      </c>
      <c r="N57" s="17">
        <v>44541</v>
      </c>
      <c r="O57" s="17">
        <v>46366</v>
      </c>
      <c r="P57" s="156">
        <f t="shared" si="48"/>
        <v>5</v>
      </c>
      <c r="Q57" s="68">
        <f t="shared" si="20"/>
        <v>60</v>
      </c>
      <c r="R57" s="69">
        <f t="shared" si="45"/>
        <v>30</v>
      </c>
      <c r="S57" s="70">
        <f t="shared" si="34"/>
        <v>2.3589041095890408</v>
      </c>
      <c r="T57" s="17">
        <v>45636</v>
      </c>
      <c r="U57" s="156">
        <f t="shared" si="49"/>
        <v>3</v>
      </c>
      <c r="V57" s="68">
        <f t="shared" si="50"/>
        <v>36</v>
      </c>
      <c r="W57" s="68">
        <f t="shared" si="1"/>
        <v>6</v>
      </c>
      <c r="X57" s="71">
        <v>3</v>
      </c>
      <c r="Y57" s="72">
        <f t="shared" si="24"/>
        <v>46275</v>
      </c>
      <c r="Z57" s="73">
        <v>20</v>
      </c>
      <c r="AA57" s="166">
        <f t="shared" si="36"/>
        <v>4</v>
      </c>
      <c r="AB57" s="75">
        <v>-3</v>
      </c>
      <c r="AC57" s="76"/>
      <c r="AD57" s="77">
        <f t="shared" si="37"/>
        <v>0</v>
      </c>
      <c r="AE57" s="78">
        <v>0</v>
      </c>
      <c r="AF57" s="77">
        <f t="shared" si="25"/>
        <v>231228.1506112671</v>
      </c>
      <c r="AG57" s="77">
        <f t="shared" si="4"/>
        <v>189033.12024074138</v>
      </c>
      <c r="AH57" s="77">
        <f t="shared" si="38"/>
        <v>164998.39258964383</v>
      </c>
      <c r="AI57" s="77">
        <f t="shared" si="39"/>
        <v>57221.68730922242</v>
      </c>
      <c r="AJ57" s="77">
        <f t="shared" si="7"/>
        <v>31211.78658540337</v>
      </c>
      <c r="AK57" s="77">
        <f t="shared" si="46"/>
        <v>126501499.75044422</v>
      </c>
      <c r="AL57" s="77">
        <f t="shared" si="27"/>
        <v>0</v>
      </c>
      <c r="AM57" s="78"/>
      <c r="AN57" s="78">
        <v>126501499.75044422</v>
      </c>
      <c r="AO57" s="78"/>
      <c r="AP57" s="78"/>
      <c r="AQ57" s="78"/>
      <c r="AR57" s="77">
        <f t="shared" si="40"/>
        <v>2632254465.9705725</v>
      </c>
      <c r="AS57" s="77">
        <f t="shared" si="41"/>
        <v>1886449033.9455769</v>
      </c>
      <c r="AT57" s="78">
        <v>43870907.766176209</v>
      </c>
      <c r="AU57" s="79">
        <f t="shared" si="28"/>
        <v>31440817.232426282</v>
      </c>
      <c r="AV57" s="77">
        <f t="shared" si="42"/>
        <v>1435773191.8385272</v>
      </c>
      <c r="AW57" s="80">
        <f t="shared" si="43"/>
        <v>1435773191.8385272</v>
      </c>
      <c r="AX57" s="78">
        <v>23929553.19730879</v>
      </c>
      <c r="AY57" s="77">
        <f t="shared" si="12"/>
        <v>88433.4738946258</v>
      </c>
      <c r="AZ57" s="77">
        <f t="shared" si="13"/>
        <v>67800460.963485003</v>
      </c>
      <c r="BA57" s="81">
        <f t="shared" si="44"/>
        <v>15</v>
      </c>
      <c r="BB57" s="82">
        <v>24.577012917007728</v>
      </c>
      <c r="BC57" s="83" t="s">
        <v>196</v>
      </c>
      <c r="BD57" s="17" t="s">
        <v>121</v>
      </c>
      <c r="BE57" s="84">
        <v>45637</v>
      </c>
      <c r="BF57" s="85">
        <f t="shared" si="15"/>
        <v>45637</v>
      </c>
      <c r="BG57" s="62" t="s">
        <v>98</v>
      </c>
      <c r="BH57" s="86" t="s">
        <v>137</v>
      </c>
      <c r="BI57" s="87">
        <v>0.19</v>
      </c>
      <c r="BJ57" s="88" t="s">
        <v>198</v>
      </c>
      <c r="BK57" s="89">
        <v>10</v>
      </c>
      <c r="BL57" s="90"/>
      <c r="BM57" s="90"/>
      <c r="BN57" s="91" t="s">
        <v>102</v>
      </c>
      <c r="BO57" s="92"/>
      <c r="BP57" s="92"/>
    </row>
    <row r="58" spans="3:68" ht="40.15" customHeight="1" outlineLevel="1" x14ac:dyDescent="0.25">
      <c r="C58" s="93"/>
      <c r="D58" s="169">
        <v>19</v>
      </c>
      <c r="E58" s="61">
        <v>1</v>
      </c>
      <c r="F58" s="61" t="s">
        <v>94</v>
      </c>
      <c r="G58" s="62" t="s">
        <v>197</v>
      </c>
      <c r="H58" s="63">
        <v>971.74</v>
      </c>
      <c r="I58" s="64">
        <f t="shared" si="16"/>
        <v>293.95134999999999</v>
      </c>
      <c r="J58" s="65">
        <v>368.66</v>
      </c>
      <c r="K58" s="64">
        <f t="shared" si="17"/>
        <v>111.51965</v>
      </c>
      <c r="L58" s="66">
        <f t="shared" si="47"/>
        <v>0.37938131598987385</v>
      </c>
      <c r="M58" s="17">
        <v>44541</v>
      </c>
      <c r="N58" s="17">
        <v>44541</v>
      </c>
      <c r="O58" s="17">
        <v>46366</v>
      </c>
      <c r="P58" s="156">
        <f t="shared" si="48"/>
        <v>5</v>
      </c>
      <c r="Q58" s="68">
        <f t="shared" si="20"/>
        <v>60</v>
      </c>
      <c r="R58" s="69">
        <f t="shared" si="45"/>
        <v>30</v>
      </c>
      <c r="S58" s="70">
        <f t="shared" si="34"/>
        <v>2.3589041095890413</v>
      </c>
      <c r="T58" s="17">
        <v>45636</v>
      </c>
      <c r="U58" s="156">
        <f t="shared" si="49"/>
        <v>3</v>
      </c>
      <c r="V58" s="68">
        <f t="shared" si="50"/>
        <v>36</v>
      </c>
      <c r="W58" s="68">
        <f t="shared" si="1"/>
        <v>6</v>
      </c>
      <c r="X58" s="71">
        <v>3</v>
      </c>
      <c r="Y58" s="72">
        <f t="shared" si="24"/>
        <v>46275</v>
      </c>
      <c r="Z58" s="73">
        <v>20</v>
      </c>
      <c r="AA58" s="166">
        <f t="shared" si="36"/>
        <v>4</v>
      </c>
      <c r="AB58" s="75">
        <v>-3</v>
      </c>
      <c r="AC58" s="76"/>
      <c r="AD58" s="77">
        <f t="shared" si="37"/>
        <v>0</v>
      </c>
      <c r="AE58" s="78">
        <v>0</v>
      </c>
      <c r="AF58" s="77">
        <f t="shared" si="25"/>
        <v>234186.46657462514</v>
      </c>
      <c r="AG58" s="77">
        <f t="shared" si="4"/>
        <v>191451.59608692717</v>
      </c>
      <c r="AH58" s="77">
        <f t="shared" si="38"/>
        <v>164998.39258964383</v>
      </c>
      <c r="AI58" s="77">
        <f t="shared" si="39"/>
        <v>57221.687309222412</v>
      </c>
      <c r="AJ58" s="77">
        <f t="shared" si="7"/>
        <v>31211.78658540337</v>
      </c>
      <c r="AK58" s="77">
        <f t="shared" si="46"/>
        <v>48501500.249555796</v>
      </c>
      <c r="AL58" s="77">
        <f t="shared" si="27"/>
        <v>0</v>
      </c>
      <c r="AM58" s="78"/>
      <c r="AN58" s="78">
        <v>48501500.249555796</v>
      </c>
      <c r="AO58" s="78"/>
      <c r="AP58" s="78"/>
      <c r="AQ58" s="78"/>
      <c r="AR58" s="77">
        <f t="shared" si="40"/>
        <v>1009223534.0294276</v>
      </c>
      <c r="AS58" s="77">
        <f t="shared" si="41"/>
        <v>723276866.05442321</v>
      </c>
      <c r="AT58" s="78">
        <v>16820392.233823795</v>
      </c>
      <c r="AU58" s="79">
        <f t="shared" si="28"/>
        <v>12054614.434240388</v>
      </c>
      <c r="AV58" s="77">
        <f t="shared" si="42"/>
        <v>550484808.16147256</v>
      </c>
      <c r="AW58" s="80">
        <f t="shared" si="43"/>
        <v>550484808.16147256</v>
      </c>
      <c r="AX58" s="78">
        <v>9174746.8026912101</v>
      </c>
      <c r="AY58" s="77">
        <f t="shared" si="12"/>
        <v>88433.473894625786</v>
      </c>
      <c r="AZ58" s="79">
        <f t="shared" si="13"/>
        <v>25995139.036515005</v>
      </c>
      <c r="BA58" s="81">
        <f t="shared" si="44"/>
        <v>6</v>
      </c>
      <c r="BB58" s="82">
        <v>9.4229870829922753</v>
      </c>
      <c r="BC58" s="83" t="s">
        <v>136</v>
      </c>
      <c r="BD58" s="17" t="s">
        <v>121</v>
      </c>
      <c r="BE58" s="84">
        <v>45637</v>
      </c>
      <c r="BF58" s="85">
        <f t="shared" si="15"/>
        <v>45637</v>
      </c>
      <c r="BG58" s="62" t="s">
        <v>130</v>
      </c>
      <c r="BH58" s="86" t="s">
        <v>137</v>
      </c>
      <c r="BI58" s="87">
        <v>0.19</v>
      </c>
      <c r="BJ58" s="88" t="s">
        <v>199</v>
      </c>
      <c r="BK58" s="89">
        <v>10</v>
      </c>
      <c r="BL58" s="90"/>
      <c r="BM58" s="90"/>
      <c r="BN58" s="91" t="s">
        <v>118</v>
      </c>
      <c r="BO58" s="92"/>
      <c r="BP58" s="92"/>
    </row>
    <row r="59" spans="3:68" ht="40.15" customHeight="1" outlineLevel="1" x14ac:dyDescent="0.25">
      <c r="C59" s="93"/>
      <c r="D59" s="170"/>
      <c r="E59" s="61">
        <v>2</v>
      </c>
      <c r="F59" s="61" t="s">
        <v>109</v>
      </c>
      <c r="G59" s="62" t="s">
        <v>200</v>
      </c>
      <c r="H59" s="63">
        <v>499.72</v>
      </c>
      <c r="I59" s="64">
        <f t="shared" si="16"/>
        <v>151.1653</v>
      </c>
      <c r="J59" s="65">
        <v>189.59</v>
      </c>
      <c r="K59" s="64">
        <f t="shared" si="17"/>
        <v>57.350974999999998</v>
      </c>
      <c r="L59" s="66">
        <f t="shared" si="47"/>
        <v>0.37939245977747538</v>
      </c>
      <c r="M59" s="17">
        <v>43306</v>
      </c>
      <c r="N59" s="17">
        <v>45139</v>
      </c>
      <c r="O59" s="17">
        <v>46234</v>
      </c>
      <c r="P59" s="156">
        <f t="shared" si="48"/>
        <v>3</v>
      </c>
      <c r="Q59" s="68">
        <f t="shared" si="20"/>
        <v>36</v>
      </c>
      <c r="R59" s="69">
        <f t="shared" si="45"/>
        <v>26</v>
      </c>
      <c r="S59" s="70">
        <f t="shared" si="34"/>
        <v>1.9972602739726026</v>
      </c>
      <c r="T59" s="17">
        <v>45504</v>
      </c>
      <c r="U59" s="156">
        <f t="shared" si="49"/>
        <v>1</v>
      </c>
      <c r="V59" s="68">
        <f t="shared" si="50"/>
        <v>12</v>
      </c>
      <c r="W59" s="68">
        <f t="shared" si="1"/>
        <v>2</v>
      </c>
      <c r="X59" s="71">
        <v>3</v>
      </c>
      <c r="Y59" s="72">
        <f t="shared" si="24"/>
        <v>46142</v>
      </c>
      <c r="Z59" s="73">
        <v>9</v>
      </c>
      <c r="AA59" s="166">
        <f t="shared" si="36"/>
        <v>3</v>
      </c>
      <c r="AB59" s="75">
        <v>0</v>
      </c>
      <c r="AC59" s="76"/>
      <c r="AD59" s="77">
        <f t="shared" si="37"/>
        <v>0</v>
      </c>
      <c r="AE59" s="78">
        <v>0</v>
      </c>
      <c r="AF59" s="77">
        <f t="shared" si="25"/>
        <v>257133.37916225489</v>
      </c>
      <c r="AG59" s="77">
        <f t="shared" si="4"/>
        <v>217034.23525057771</v>
      </c>
      <c r="AH59" s="77">
        <f t="shared" si="38"/>
        <v>499982.46952177514</v>
      </c>
      <c r="AI59" s="77">
        <f t="shared" si="39"/>
        <v>60853.251374488718</v>
      </c>
      <c r="AJ59" s="77">
        <f t="shared" si="7"/>
        <v>35451.25766296895</v>
      </c>
      <c r="AK59" s="77">
        <f t="shared" si="46"/>
        <v>75580000</v>
      </c>
      <c r="AL59" s="77">
        <f t="shared" si="27"/>
        <v>0</v>
      </c>
      <c r="AM59" s="78">
        <v>75580000</v>
      </c>
      <c r="AN59" s="78"/>
      <c r="AO59" s="78"/>
      <c r="AP59" s="78"/>
      <c r="AQ59" s="78"/>
      <c r="AR59" s="77">
        <f t="shared" si="40"/>
        <v>331160400</v>
      </c>
      <c r="AS59" s="77">
        <f t="shared" si="41"/>
        <v>248370299.99999997</v>
      </c>
      <c r="AT59" s="78">
        <v>9198900</v>
      </c>
      <c r="AU59" s="79">
        <f t="shared" si="28"/>
        <v>6899174.9999999991</v>
      </c>
      <c r="AV59" s="77">
        <f t="shared" si="42"/>
        <v>192924000.00000003</v>
      </c>
      <c r="AW59" s="80">
        <f t="shared" si="43"/>
        <v>192924000.00000003</v>
      </c>
      <c r="AX59" s="78">
        <v>5359000</v>
      </c>
      <c r="AY59" s="77">
        <f t="shared" si="12"/>
        <v>96304.509037457668</v>
      </c>
      <c r="AZ59" s="77">
        <f t="shared" si="13"/>
        <v>14557900</v>
      </c>
      <c r="BA59" s="81">
        <f t="shared" si="44"/>
        <v>3</v>
      </c>
      <c r="BB59" s="82">
        <v>3</v>
      </c>
      <c r="BC59" s="83" t="s">
        <v>201</v>
      </c>
      <c r="BD59" s="17" t="s">
        <v>121</v>
      </c>
      <c r="BE59" s="84">
        <v>45505</v>
      </c>
      <c r="BF59" s="85">
        <f t="shared" si="15"/>
        <v>45505</v>
      </c>
      <c r="BG59" s="62" t="s">
        <v>202</v>
      </c>
      <c r="BH59" s="86" t="s">
        <v>137</v>
      </c>
      <c r="BI59" s="87">
        <v>0.19</v>
      </c>
      <c r="BJ59" s="88" t="s">
        <v>203</v>
      </c>
      <c r="BK59" s="89">
        <v>10</v>
      </c>
      <c r="BL59" s="90"/>
      <c r="BM59" s="90"/>
      <c r="BN59" s="91" t="s">
        <v>118</v>
      </c>
      <c r="BO59" s="92"/>
      <c r="BP59" s="92"/>
    </row>
    <row r="60" spans="3:68" ht="40.15" customHeight="1" outlineLevel="1" x14ac:dyDescent="0.25">
      <c r="C60" s="93"/>
      <c r="D60" s="170"/>
      <c r="E60" s="61">
        <v>3</v>
      </c>
      <c r="F60" s="61" t="s">
        <v>94</v>
      </c>
      <c r="G60" s="62" t="s">
        <v>200</v>
      </c>
      <c r="H60" s="63">
        <v>425.82</v>
      </c>
      <c r="I60" s="64">
        <f t="shared" si="16"/>
        <v>128.81055000000001</v>
      </c>
      <c r="J60" s="65">
        <v>161.55000000000001</v>
      </c>
      <c r="K60" s="64">
        <f t="shared" si="17"/>
        <v>48.868875000000003</v>
      </c>
      <c r="L60" s="66">
        <f t="shared" si="47"/>
        <v>0.37938565591094831</v>
      </c>
      <c r="M60" s="17">
        <v>43306</v>
      </c>
      <c r="N60" s="17">
        <v>45139</v>
      </c>
      <c r="O60" s="17">
        <v>46234</v>
      </c>
      <c r="P60" s="156">
        <f t="shared" si="48"/>
        <v>3</v>
      </c>
      <c r="Q60" s="68">
        <f t="shared" si="20"/>
        <v>36</v>
      </c>
      <c r="R60" s="69">
        <f t="shared" si="45"/>
        <v>26</v>
      </c>
      <c r="S60" s="70">
        <f t="shared" si="34"/>
        <v>1.9972602739726024</v>
      </c>
      <c r="T60" s="17">
        <v>45504</v>
      </c>
      <c r="U60" s="156">
        <f t="shared" si="49"/>
        <v>1</v>
      </c>
      <c r="V60" s="68">
        <f t="shared" si="50"/>
        <v>12</v>
      </c>
      <c r="W60" s="68">
        <v>3</v>
      </c>
      <c r="X60" s="71">
        <v>3</v>
      </c>
      <c r="Y60" s="72">
        <f t="shared" si="24"/>
        <v>46142</v>
      </c>
      <c r="Z60" s="73">
        <v>9</v>
      </c>
      <c r="AA60" s="166">
        <f t="shared" si="36"/>
        <v>3</v>
      </c>
      <c r="AB60" s="75">
        <v>0</v>
      </c>
      <c r="AC60" s="76"/>
      <c r="AD60" s="77">
        <f t="shared" si="37"/>
        <v>0</v>
      </c>
      <c r="AE60" s="78">
        <v>0</v>
      </c>
      <c r="AF60" s="77">
        <f t="shared" si="25"/>
        <v>268389.92610327125</v>
      </c>
      <c r="AG60" s="77">
        <f t="shared" si="4"/>
        <v>225560.00624119135</v>
      </c>
      <c r="AH60" s="77">
        <f t="shared" si="38"/>
        <v>549997.6515898736</v>
      </c>
      <c r="AI60" s="77">
        <f t="shared" si="39"/>
        <v>64996.228957954139</v>
      </c>
      <c r="AJ60" s="77">
        <f t="shared" si="7"/>
        <v>35452.065067651674</v>
      </c>
      <c r="AK60" s="77">
        <f t="shared" si="46"/>
        <v>70845500</v>
      </c>
      <c r="AL60" s="77">
        <f t="shared" si="27"/>
        <v>0</v>
      </c>
      <c r="AM60" s="78">
        <v>70845500</v>
      </c>
      <c r="AN60" s="78"/>
      <c r="AO60" s="78"/>
      <c r="AP60" s="78"/>
      <c r="AQ60" s="78"/>
      <c r="AR60" s="77">
        <f t="shared" si="40"/>
        <v>301399200</v>
      </c>
      <c r="AS60" s="77">
        <f t="shared" si="41"/>
        <v>226049400</v>
      </c>
      <c r="AT60" s="78">
        <v>8372200</v>
      </c>
      <c r="AU60" s="79">
        <f t="shared" si="28"/>
        <v>6279150</v>
      </c>
      <c r="AV60" s="77">
        <f t="shared" si="42"/>
        <v>164397599.99999997</v>
      </c>
      <c r="AW60" s="80">
        <f t="shared" si="43"/>
        <v>164397599.99999997</v>
      </c>
      <c r="AX60" s="78">
        <v>4566600</v>
      </c>
      <c r="AY60" s="77">
        <f t="shared" si="12"/>
        <v>100448.29402560582</v>
      </c>
      <c r="AZ60" s="77">
        <f t="shared" si="13"/>
        <v>12938800</v>
      </c>
      <c r="BA60" s="81">
        <f t="shared" si="44"/>
        <v>3</v>
      </c>
      <c r="BB60" s="82">
        <v>3</v>
      </c>
      <c r="BC60" s="83" t="s">
        <v>145</v>
      </c>
      <c r="BD60" s="17" t="s">
        <v>121</v>
      </c>
      <c r="BE60" s="84">
        <v>45505</v>
      </c>
      <c r="BF60" s="85">
        <f t="shared" si="15"/>
        <v>45505</v>
      </c>
      <c r="BG60" s="62" t="s">
        <v>202</v>
      </c>
      <c r="BH60" s="86" t="s">
        <v>137</v>
      </c>
      <c r="BI60" s="87">
        <v>0.19</v>
      </c>
      <c r="BJ60" s="88" t="s">
        <v>203</v>
      </c>
      <c r="BK60" s="89">
        <v>10</v>
      </c>
      <c r="BL60" s="90"/>
      <c r="BM60" s="90"/>
      <c r="BN60" s="91" t="s">
        <v>118</v>
      </c>
      <c r="BO60" s="92"/>
      <c r="BP60" s="92"/>
    </row>
    <row r="61" spans="3:68" ht="40.15" customHeight="1" outlineLevel="1" x14ac:dyDescent="0.25">
      <c r="C61" s="93"/>
      <c r="D61" s="170"/>
      <c r="E61" s="61">
        <v>4</v>
      </c>
      <c r="F61" s="61" t="s">
        <v>94</v>
      </c>
      <c r="G61" s="62" t="s">
        <v>200</v>
      </c>
      <c r="H61" s="63">
        <v>476.81</v>
      </c>
      <c r="I61" s="64">
        <f t="shared" si="16"/>
        <v>144.23502500000001</v>
      </c>
      <c r="J61" s="65">
        <v>180.89</v>
      </c>
      <c r="K61" s="64">
        <f t="shared" si="17"/>
        <v>54.719224999999994</v>
      </c>
      <c r="L61" s="66">
        <f t="shared" si="47"/>
        <v>0.37937543256223649</v>
      </c>
      <c r="M61" s="17">
        <v>43960</v>
      </c>
      <c r="N61" s="17">
        <v>45078</v>
      </c>
      <c r="O61" s="17">
        <v>46234</v>
      </c>
      <c r="P61" s="156">
        <f t="shared" si="48"/>
        <v>3.1666666666666665</v>
      </c>
      <c r="Q61" s="68">
        <f t="shared" si="20"/>
        <v>38</v>
      </c>
      <c r="R61" s="69">
        <f t="shared" si="45"/>
        <v>26</v>
      </c>
      <c r="S61" s="70">
        <f t="shared" si="34"/>
        <v>1.9972602739726026</v>
      </c>
      <c r="T61" s="17">
        <v>45443</v>
      </c>
      <c r="U61" s="156">
        <f t="shared" si="49"/>
        <v>1</v>
      </c>
      <c r="V61" s="68">
        <f t="shared" si="50"/>
        <v>12</v>
      </c>
      <c r="W61" s="68">
        <f t="shared" si="1"/>
        <v>0</v>
      </c>
      <c r="X61" s="71">
        <v>3</v>
      </c>
      <c r="Y61" s="72">
        <f t="shared" si="24"/>
        <v>46142</v>
      </c>
      <c r="Z61" s="73">
        <v>9</v>
      </c>
      <c r="AA61" s="166">
        <f t="shared" si="36"/>
        <v>2.8421052631578947</v>
      </c>
      <c r="AB61" s="75">
        <v>0</v>
      </c>
      <c r="AC61" s="76"/>
      <c r="AD61" s="77">
        <f t="shared" si="37"/>
        <v>0</v>
      </c>
      <c r="AE61" s="78">
        <v>0</v>
      </c>
      <c r="AF61" s="77">
        <f t="shared" si="25"/>
        <v>261591.65265955427</v>
      </c>
      <c r="AG61" s="77">
        <f t="shared" si="4"/>
        <v>222835.90985569853</v>
      </c>
      <c r="AH61" s="77">
        <f t="shared" si="38"/>
        <v>509980.1521856428</v>
      </c>
      <c r="AI61" s="77">
        <f t="shared" si="39"/>
        <v>62079.234915375091</v>
      </c>
      <c r="AJ61" s="77">
        <f t="shared" si="7"/>
        <v>35887.261086549537</v>
      </c>
      <c r="AK61" s="77">
        <f t="shared" si="46"/>
        <v>73557000</v>
      </c>
      <c r="AL61" s="77">
        <f t="shared" si="27"/>
        <v>0</v>
      </c>
      <c r="AM61" s="78">
        <v>73557000</v>
      </c>
      <c r="AN61" s="78"/>
      <c r="AO61" s="78"/>
      <c r="AP61" s="78"/>
      <c r="AQ61" s="78"/>
      <c r="AR61" s="77">
        <f t="shared" si="40"/>
        <v>340251999.99999994</v>
      </c>
      <c r="AS61" s="77">
        <f t="shared" si="41"/>
        <v>259666000</v>
      </c>
      <c r="AT61" s="78">
        <v>8954000</v>
      </c>
      <c r="AU61" s="79">
        <f t="shared" si="28"/>
        <v>6833315.7894736845</v>
      </c>
      <c r="AV61" s="77">
        <f t="shared" si="42"/>
        <v>196695599.99999997</v>
      </c>
      <c r="AW61" s="80">
        <f t="shared" si="43"/>
        <v>196695599.99999997</v>
      </c>
      <c r="AX61" s="78">
        <v>5176200</v>
      </c>
      <c r="AY61" s="77">
        <f t="shared" si="12"/>
        <v>97966.496001924635</v>
      </c>
      <c r="AZ61" s="77">
        <f t="shared" si="13"/>
        <v>14130200</v>
      </c>
      <c r="BA61" s="81">
        <f t="shared" si="44"/>
        <v>3</v>
      </c>
      <c r="BB61" s="82">
        <v>4</v>
      </c>
      <c r="BC61" s="83" t="s">
        <v>145</v>
      </c>
      <c r="BD61" s="17" t="s">
        <v>121</v>
      </c>
      <c r="BE61" s="84">
        <v>45809</v>
      </c>
      <c r="BF61" s="85">
        <f t="shared" si="15"/>
        <v>45809</v>
      </c>
      <c r="BG61" s="62" t="s">
        <v>202</v>
      </c>
      <c r="BH61" s="86" t="s">
        <v>137</v>
      </c>
      <c r="BI61" s="87">
        <v>0.19</v>
      </c>
      <c r="BJ61" s="88" t="s">
        <v>204</v>
      </c>
      <c r="BK61" s="89">
        <v>10</v>
      </c>
      <c r="BL61" s="90"/>
      <c r="BM61" s="90"/>
      <c r="BN61" s="91" t="s">
        <v>118</v>
      </c>
      <c r="BO61" s="92"/>
      <c r="BP61" s="92"/>
    </row>
    <row r="62" spans="3:68" ht="40.15" customHeight="1" outlineLevel="1" x14ac:dyDescent="0.25">
      <c r="C62" s="93"/>
      <c r="D62" s="171"/>
      <c r="E62" s="61">
        <v>5</v>
      </c>
      <c r="F62" s="61" t="s">
        <v>94</v>
      </c>
      <c r="G62" s="62" t="s">
        <v>205</v>
      </c>
      <c r="H62" s="63">
        <v>173.66</v>
      </c>
      <c r="I62" s="64">
        <f t="shared" si="16"/>
        <v>52.532149999999994</v>
      </c>
      <c r="J62" s="65">
        <v>65.88</v>
      </c>
      <c r="K62" s="64">
        <f t="shared" si="17"/>
        <v>19.928699999999999</v>
      </c>
      <c r="L62" s="66">
        <f t="shared" si="47"/>
        <v>0.37936197166877805</v>
      </c>
      <c r="M62" s="17">
        <v>43780</v>
      </c>
      <c r="N62" s="17">
        <v>44876</v>
      </c>
      <c r="O62" s="17">
        <v>45971</v>
      </c>
      <c r="P62" s="156">
        <f t="shared" si="48"/>
        <v>3</v>
      </c>
      <c r="Q62" s="68">
        <f t="shared" si="20"/>
        <v>36</v>
      </c>
      <c r="R62" s="69">
        <f t="shared" si="45"/>
        <v>17</v>
      </c>
      <c r="S62" s="70">
        <f t="shared" si="34"/>
        <v>1.2767123287671234</v>
      </c>
      <c r="T62" s="17"/>
      <c r="U62" s="156"/>
      <c r="V62" s="68"/>
      <c r="W62" s="68" t="str">
        <f t="shared" si="1"/>
        <v>만료</v>
      </c>
      <c r="X62" s="71">
        <v>3</v>
      </c>
      <c r="Y62" s="72">
        <f t="shared" si="24"/>
        <v>45879</v>
      </c>
      <c r="Z62" s="73">
        <v>4.5</v>
      </c>
      <c r="AA62" s="166">
        <f t="shared" si="36"/>
        <v>1.5</v>
      </c>
      <c r="AB62" s="75">
        <v>0</v>
      </c>
      <c r="AC62" s="76"/>
      <c r="AD62" s="77">
        <f t="shared" si="37"/>
        <v>0</v>
      </c>
      <c r="AE62" s="78">
        <v>0</v>
      </c>
      <c r="AF62" s="77">
        <f t="shared" si="25"/>
        <v>257195.02526507</v>
      </c>
      <c r="AG62" s="77">
        <f t="shared" si="4"/>
        <v>237323.55848600261</v>
      </c>
      <c r="AH62" s="77">
        <f t="shared" si="38"/>
        <v>499979.53634107881</v>
      </c>
      <c r="AI62" s="77">
        <f t="shared" si="39"/>
        <v>60307.830538060982</v>
      </c>
      <c r="AJ62" s="77">
        <f t="shared" si="7"/>
        <v>36012.232509044465</v>
      </c>
      <c r="AK62" s="77">
        <f t="shared" si="46"/>
        <v>26265000</v>
      </c>
      <c r="AL62" s="77">
        <f t="shared" si="27"/>
        <v>0</v>
      </c>
      <c r="AM62" s="78">
        <v>26265000</v>
      </c>
      <c r="AN62" s="78"/>
      <c r="AO62" s="78"/>
      <c r="AP62" s="78"/>
      <c r="AQ62" s="78"/>
      <c r="AR62" s="77">
        <f t="shared" si="40"/>
        <v>114051600</v>
      </c>
      <c r="AS62" s="77">
        <f t="shared" si="41"/>
        <v>99795150</v>
      </c>
      <c r="AT62" s="78">
        <v>3168100</v>
      </c>
      <c r="AU62" s="79">
        <f t="shared" si="28"/>
        <v>2772087.5</v>
      </c>
      <c r="AV62" s="77">
        <f t="shared" si="42"/>
        <v>68104800</v>
      </c>
      <c r="AW62" s="80">
        <f t="shared" si="43"/>
        <v>68104800</v>
      </c>
      <c r="AX62" s="78">
        <v>1891800</v>
      </c>
      <c r="AY62" s="77">
        <f t="shared" si="12"/>
        <v>96320.063047105446</v>
      </c>
      <c r="AZ62" s="77">
        <f t="shared" si="13"/>
        <v>5059900</v>
      </c>
      <c r="BA62" s="81">
        <f t="shared" si="44"/>
        <v>1</v>
      </c>
      <c r="BB62" s="82">
        <v>1</v>
      </c>
      <c r="BC62" s="83" t="s">
        <v>206</v>
      </c>
      <c r="BD62" s="17" t="s">
        <v>121</v>
      </c>
      <c r="BE62" s="84">
        <v>45607</v>
      </c>
      <c r="BF62" s="85">
        <f t="shared" si="15"/>
        <v>45607</v>
      </c>
      <c r="BG62" s="62" t="s">
        <v>130</v>
      </c>
      <c r="BH62" s="86" t="s">
        <v>106</v>
      </c>
      <c r="BI62" s="87">
        <v>0.19</v>
      </c>
      <c r="BJ62" s="88" t="s">
        <v>207</v>
      </c>
      <c r="BK62" s="89">
        <v>10</v>
      </c>
      <c r="BL62" s="90"/>
      <c r="BM62" s="90"/>
      <c r="BN62" s="91" t="s">
        <v>118</v>
      </c>
      <c r="BO62" s="92"/>
      <c r="BP62" s="92"/>
    </row>
    <row r="63" spans="3:68" ht="30" customHeight="1" x14ac:dyDescent="0.25">
      <c r="C63" s="93"/>
      <c r="D63" s="115"/>
      <c r="E63" s="116"/>
      <c r="F63" s="117"/>
      <c r="G63" s="118" t="s">
        <v>208</v>
      </c>
      <c r="H63" s="119">
        <f>H65-H64</f>
        <v>25121.580000000005</v>
      </c>
      <c r="I63" s="119">
        <f t="shared" ref="I63:K63" si="51">I65-I64</f>
        <v>7599.2779499999997</v>
      </c>
      <c r="J63" s="119">
        <f t="shared" si="51"/>
        <v>9571.5799999999981</v>
      </c>
      <c r="K63" s="119">
        <f t="shared" si="51"/>
        <v>2895.4029499999997</v>
      </c>
      <c r="L63" s="120">
        <f>J63/H63</f>
        <v>0.38101027085079825</v>
      </c>
      <c r="M63" s="121"/>
      <c r="N63" s="172"/>
      <c r="O63" s="172"/>
      <c r="P63" s="123"/>
      <c r="Q63" s="124"/>
      <c r="R63" s="125"/>
      <c r="S63" s="126"/>
      <c r="T63" s="127"/>
      <c r="U63" s="125"/>
      <c r="V63" s="125"/>
      <c r="W63" s="124"/>
      <c r="X63" s="124"/>
      <c r="Y63" s="128"/>
      <c r="Z63" s="129"/>
      <c r="AA63" s="129"/>
      <c r="AB63" s="130"/>
      <c r="AC63" s="131"/>
      <c r="AD63" s="132">
        <f t="shared" si="37"/>
        <v>0</v>
      </c>
      <c r="AE63" s="134">
        <f>SUM(AE37:AE62)</f>
        <v>0</v>
      </c>
      <c r="AF63" s="132"/>
      <c r="AG63" s="132"/>
      <c r="AH63" s="132">
        <f t="shared" si="38"/>
        <v>650364.960314914</v>
      </c>
      <c r="AI63" s="132">
        <f>AT63/$I$63</f>
        <v>55771.060145269039</v>
      </c>
      <c r="AJ63" s="132">
        <f>AX63/$I$63</f>
        <v>33404.869562214248</v>
      </c>
      <c r="AK63" s="134">
        <f>SUM(AK37:AK62)</f>
        <v>4942304102.3737507</v>
      </c>
      <c r="AL63" s="134">
        <f t="shared" ref="AL63:AQ63" si="52">SUM(AL37:AL62)</f>
        <v>0</v>
      </c>
      <c r="AM63" s="134">
        <f t="shared" si="52"/>
        <v>4732296502.3737507</v>
      </c>
      <c r="AN63" s="134">
        <f t="shared" si="52"/>
        <v>210007600.00000003</v>
      </c>
      <c r="AO63" s="134">
        <f t="shared" si="52"/>
        <v>0</v>
      </c>
      <c r="AP63" s="134">
        <f t="shared" si="52"/>
        <v>0</v>
      </c>
      <c r="AQ63" s="134">
        <f t="shared" si="52"/>
        <v>0</v>
      </c>
      <c r="AR63" s="132">
        <f>SUM(AR37:AR62)</f>
        <v>19710933096.604008</v>
      </c>
      <c r="AS63" s="132">
        <f>SUM(AS37:AS62)</f>
        <v>14776173121.975245</v>
      </c>
      <c r="AT63" s="134">
        <f t="shared" ref="AT63:AU63" si="53">SUM(AT37:AT62)</f>
        <v>423819787.61006677</v>
      </c>
      <c r="AU63" s="134">
        <f t="shared" si="53"/>
        <v>323347580.91625029</v>
      </c>
      <c r="AV63" s="132">
        <f>SUM(AV37:AV62)</f>
        <v>11709087445.205652</v>
      </c>
      <c r="AW63" s="132">
        <f>SUM(AW37:AW62)</f>
        <v>11774858461.872318</v>
      </c>
      <c r="AX63" s="134">
        <f t="shared" ref="AX63" si="54">SUM(AX37:AX62)</f>
        <v>253852888.6867609</v>
      </c>
      <c r="AY63" s="132">
        <f>AZ63/$I$63</f>
        <v>89175.929707483287</v>
      </c>
      <c r="AZ63" s="134">
        <f t="shared" ref="AZ63:BB63" si="55">SUM(AZ37:AZ62)</f>
        <v>677672676.29682767</v>
      </c>
      <c r="BA63" s="135">
        <f t="shared" si="55"/>
        <v>154</v>
      </c>
      <c r="BB63" s="135">
        <f t="shared" si="55"/>
        <v>178.46346750739698</v>
      </c>
      <c r="BC63" s="132"/>
      <c r="BD63" s="121"/>
      <c r="BE63" s="136"/>
      <c r="BF63" s="137"/>
      <c r="BG63" s="118"/>
      <c r="BH63" s="138"/>
      <c r="BI63" s="139"/>
      <c r="BJ63" s="140"/>
      <c r="BK63" s="141"/>
      <c r="BL63" s="138"/>
      <c r="BM63" s="138"/>
      <c r="BN63" s="122"/>
      <c r="BO63" s="142"/>
      <c r="BP63" s="142"/>
    </row>
    <row r="64" spans="3:68" ht="30" customHeight="1" x14ac:dyDescent="0.25">
      <c r="C64" s="93"/>
      <c r="D64" s="143" t="s">
        <v>209</v>
      </c>
      <c r="E64" s="144"/>
      <c r="F64" s="145"/>
      <c r="G64" s="118" t="s">
        <v>210</v>
      </c>
      <c r="H64" s="119">
        <f>SUMIF($G$37:$G$62,$G$64,H37:H62)</f>
        <v>0</v>
      </c>
      <c r="I64" s="119">
        <f>SUMIF($G$37:$G$62,$G$64,I37:I62)</f>
        <v>0</v>
      </c>
      <c r="J64" s="119">
        <f>SUMIF($G$37:$G$62,$G$64,J37:J62)</f>
        <v>0</v>
      </c>
      <c r="K64" s="119">
        <f>SUMIF($G$37:$G$62,$G$64,K37:K62)</f>
        <v>0</v>
      </c>
      <c r="L64" s="120" t="e">
        <f t="shared" ref="L64:L65" si="56">J64/H64</f>
        <v>#DIV/0!</v>
      </c>
      <c r="M64" s="121"/>
      <c r="N64" s="122"/>
      <c r="O64" s="122"/>
      <c r="P64" s="123"/>
      <c r="Q64" s="124"/>
      <c r="R64" s="125"/>
      <c r="S64" s="125"/>
      <c r="T64" s="127"/>
      <c r="U64" s="125"/>
      <c r="V64" s="125"/>
      <c r="W64" s="124"/>
      <c r="X64" s="124"/>
      <c r="Y64" s="128"/>
      <c r="Z64" s="129"/>
      <c r="AA64" s="129"/>
      <c r="AB64" s="130"/>
      <c r="AC64" s="131"/>
      <c r="AD64" s="132"/>
      <c r="AE64" s="133"/>
      <c r="AF64" s="132"/>
      <c r="AG64" s="132"/>
      <c r="AH64" s="132"/>
      <c r="AI64" s="132"/>
      <c r="AJ64" s="132"/>
      <c r="AK64" s="132"/>
      <c r="AL64" s="132"/>
      <c r="AM64" s="133"/>
      <c r="AN64" s="133"/>
      <c r="AO64" s="133"/>
      <c r="AP64" s="133"/>
      <c r="AQ64" s="133"/>
      <c r="AR64" s="132"/>
      <c r="AS64" s="132"/>
      <c r="AT64" s="133"/>
      <c r="AU64" s="134"/>
      <c r="AV64" s="132"/>
      <c r="AW64" s="146"/>
      <c r="AX64" s="133"/>
      <c r="AY64" s="132"/>
      <c r="AZ64" s="132"/>
      <c r="BA64" s="147"/>
      <c r="BB64" s="148"/>
      <c r="BC64" s="132"/>
      <c r="BD64" s="121"/>
      <c r="BE64" s="136"/>
      <c r="BF64" s="137"/>
      <c r="BG64" s="118"/>
      <c r="BH64" s="138"/>
      <c r="BI64" s="139"/>
      <c r="BJ64" s="140"/>
      <c r="BK64" s="141"/>
      <c r="BL64" s="138"/>
      <c r="BM64" s="138"/>
      <c r="BN64" s="122"/>
      <c r="BO64" s="142"/>
      <c r="BP64" s="142"/>
    </row>
    <row r="65" spans="3:68" ht="30" customHeight="1" x14ac:dyDescent="0.25">
      <c r="C65" s="149"/>
      <c r="D65" s="150"/>
      <c r="E65" s="151"/>
      <c r="F65" s="152"/>
      <c r="G65" s="118" t="s">
        <v>211</v>
      </c>
      <c r="H65" s="119">
        <f>SUM(H37:H62)</f>
        <v>25121.580000000005</v>
      </c>
      <c r="I65" s="119">
        <f>SUM(I37:I62)</f>
        <v>7599.2779499999997</v>
      </c>
      <c r="J65" s="119">
        <f>SUM(J37:J62)</f>
        <v>9571.5799999999981</v>
      </c>
      <c r="K65" s="119">
        <f>SUM(K37:K62)</f>
        <v>2895.4029499999997</v>
      </c>
      <c r="L65" s="120">
        <f t="shared" si="56"/>
        <v>0.38101027085079825</v>
      </c>
      <c r="M65" s="121"/>
      <c r="N65" s="122"/>
      <c r="O65" s="122"/>
      <c r="P65" s="123"/>
      <c r="Q65" s="124"/>
      <c r="R65" s="125"/>
      <c r="S65" s="125"/>
      <c r="T65" s="127"/>
      <c r="U65" s="125"/>
      <c r="V65" s="125"/>
      <c r="W65" s="124"/>
      <c r="X65" s="124"/>
      <c r="Y65" s="128"/>
      <c r="Z65" s="129"/>
      <c r="AA65" s="129"/>
      <c r="AB65" s="130"/>
      <c r="AC65" s="131"/>
      <c r="AD65" s="132"/>
      <c r="AE65" s="133"/>
      <c r="AF65" s="132"/>
      <c r="AG65" s="132"/>
      <c r="AH65" s="132"/>
      <c r="AI65" s="132"/>
      <c r="AJ65" s="132"/>
      <c r="AK65" s="132"/>
      <c r="AL65" s="132"/>
      <c r="AM65" s="133"/>
      <c r="AN65" s="133"/>
      <c r="AO65" s="133"/>
      <c r="AP65" s="133"/>
      <c r="AQ65" s="133"/>
      <c r="AR65" s="132"/>
      <c r="AS65" s="132"/>
      <c r="AT65" s="133"/>
      <c r="AU65" s="134"/>
      <c r="AV65" s="132"/>
      <c r="AW65" s="146"/>
      <c r="AX65" s="133"/>
      <c r="AY65" s="132"/>
      <c r="AZ65" s="132"/>
      <c r="BA65" s="147"/>
      <c r="BB65" s="148"/>
      <c r="BC65" s="132"/>
      <c r="BD65" s="121"/>
      <c r="BE65" s="136"/>
      <c r="BF65" s="137"/>
      <c r="BG65" s="118"/>
      <c r="BH65" s="138"/>
      <c r="BI65" s="139"/>
      <c r="BJ65" s="140"/>
      <c r="BK65" s="141"/>
      <c r="BL65" s="138"/>
      <c r="BM65" s="138"/>
      <c r="BN65" s="122"/>
      <c r="BO65" s="142"/>
      <c r="BP65" s="142"/>
    </row>
    <row r="66" spans="3:68" ht="40.15" customHeight="1" outlineLevel="1" x14ac:dyDescent="0.25">
      <c r="C66" s="93" t="s">
        <v>212</v>
      </c>
      <c r="D66" s="153">
        <v>18</v>
      </c>
      <c r="E66" s="153"/>
      <c r="F66" s="153" t="s">
        <v>213</v>
      </c>
      <c r="G66" s="154" t="s">
        <v>214</v>
      </c>
      <c r="H66" s="155">
        <v>2544.83</v>
      </c>
      <c r="I66" s="173">
        <f t="shared" si="16"/>
        <v>769.81107499999996</v>
      </c>
      <c r="J66" s="174">
        <v>1143.77</v>
      </c>
      <c r="K66" s="173">
        <f t="shared" si="17"/>
        <v>345.99042499999996</v>
      </c>
      <c r="L66" s="175">
        <f>J66/H66</f>
        <v>0.44944848968300438</v>
      </c>
      <c r="M66" s="164"/>
      <c r="N66" s="164">
        <v>45004</v>
      </c>
      <c r="O66" s="164">
        <v>46099</v>
      </c>
      <c r="P66" s="156">
        <f>Q66/$P$1</f>
        <v>3</v>
      </c>
      <c r="Q66" s="176">
        <f t="shared" si="20"/>
        <v>36</v>
      </c>
      <c r="R66" s="177">
        <f t="shared" ref="R66:R104" si="57">IFERROR(DATEDIF($R$1,O66,"m"),0)</f>
        <v>22</v>
      </c>
      <c r="S66" s="178">
        <f t="shared" ref="S66:S104" si="58">(O66-$G$4)*$H66/$H66/$S$1</f>
        <v>1.6273972602739726</v>
      </c>
      <c r="T66" s="164">
        <v>46099</v>
      </c>
      <c r="U66" s="156">
        <f>V66/$P$1</f>
        <v>3</v>
      </c>
      <c r="V66" s="176">
        <f t="shared" ref="V66:V82" si="59">DATEDIF(N66,T66,"m")+1</f>
        <v>36</v>
      </c>
      <c r="W66" s="176">
        <f t="shared" si="1"/>
        <v>22</v>
      </c>
      <c r="X66" s="179">
        <v>3</v>
      </c>
      <c r="Y66" s="180">
        <f t="shared" si="24"/>
        <v>46009</v>
      </c>
      <c r="Z66" s="157">
        <v>12</v>
      </c>
      <c r="AA66" s="181">
        <f t="shared" ref="AA66:AA104" si="60">Z66/Q66*12</f>
        <v>4</v>
      </c>
      <c r="AB66" s="182">
        <v>0</v>
      </c>
      <c r="AC66" s="158"/>
      <c r="AD66" s="159">
        <f t="shared" ref="AD66:AD110" si="61">AE66/K66</f>
        <v>0</v>
      </c>
      <c r="AE66" s="160">
        <v>0</v>
      </c>
      <c r="AF66" s="159">
        <f t="shared" si="25"/>
        <v>217773.68948949696</v>
      </c>
      <c r="AG66" s="159">
        <f t="shared" si="4"/>
        <v>171961.31045084438</v>
      </c>
      <c r="AH66" s="159">
        <f t="shared" ref="AH66:AH105" si="62">AK66/I66</f>
        <v>192568.90745605604</v>
      </c>
      <c r="AI66" s="159">
        <f t="shared" ref="AI66:AI104" si="63">AT66/I66</f>
        <v>61770.913703123217</v>
      </c>
      <c r="AJ66" s="159">
        <f t="shared" ref="AJ66:AJ104" si="64">AX66/I66</f>
        <v>35625.719861986618</v>
      </c>
      <c r="AK66" s="159">
        <f t="shared" ref="AK66:AK104" si="65">SUM(AL66,AM66,AN66)</f>
        <v>148241677.66032201</v>
      </c>
      <c r="AL66" s="159">
        <f t="shared" si="27"/>
        <v>0</v>
      </c>
      <c r="AM66" s="160">
        <v>148241677.66032201</v>
      </c>
      <c r="AN66" s="160"/>
      <c r="AO66" s="160"/>
      <c r="AP66" s="160"/>
      <c r="AQ66" s="160"/>
      <c r="AR66" s="159">
        <f t="shared" ref="AR66:AR104" si="66">Q66*I66*AI66</f>
        <v>1711869605.3352063</v>
      </c>
      <c r="AS66" s="159">
        <f t="shared" ref="AS66:AS104" si="67">(Q66-Z66-AB66)*I66*AI66</f>
        <v>1141246403.5568042</v>
      </c>
      <c r="AT66" s="160">
        <v>47551933.481533512</v>
      </c>
      <c r="AU66" s="161">
        <f t="shared" si="28"/>
        <v>31701288.987689003</v>
      </c>
      <c r="AV66" s="159">
        <f t="shared" ref="AV66:AV104" si="68">Q66*I66*AJ66</f>
        <v>987302653.36577165</v>
      </c>
      <c r="AW66" s="162">
        <f t="shared" ref="AW66:AW104" si="69">(Q66-AC66)*I66*AJ66</f>
        <v>987302653.36577165</v>
      </c>
      <c r="AX66" s="160">
        <v>27425073.704604767</v>
      </c>
      <c r="AY66" s="159">
        <f t="shared" ref="AY66:AY104" si="70">AZ66/I66</f>
        <v>97396.63356510982</v>
      </c>
      <c r="AZ66" s="159">
        <f t="shared" ref="AZ66:AZ107" si="71">SUM(AT66,AX66)</f>
        <v>74977007.186138272</v>
      </c>
      <c r="BA66" s="183">
        <f t="shared" ref="BA66:BA104" si="72">ROUND(I66/$BA$1,)</f>
        <v>15</v>
      </c>
      <c r="BB66" s="163">
        <v>23.253596495736744</v>
      </c>
      <c r="BC66" s="184" t="s">
        <v>215</v>
      </c>
      <c r="BD66" s="164" t="s">
        <v>216</v>
      </c>
      <c r="BE66" s="185">
        <v>45735</v>
      </c>
      <c r="BF66" s="186">
        <f t="shared" si="15"/>
        <v>45735</v>
      </c>
      <c r="BG66" s="154" t="s">
        <v>217</v>
      </c>
      <c r="BH66" s="187" t="s">
        <v>218</v>
      </c>
      <c r="BI66" s="188">
        <v>0.19</v>
      </c>
      <c r="BJ66" s="189" t="s">
        <v>219</v>
      </c>
      <c r="BK66" s="190">
        <v>10</v>
      </c>
      <c r="BL66" s="191" t="s">
        <v>220</v>
      </c>
      <c r="BM66" s="187" t="s">
        <v>221</v>
      </c>
      <c r="BN66" s="192" t="s">
        <v>115</v>
      </c>
      <c r="BO66" s="92"/>
      <c r="BP66" s="92"/>
    </row>
    <row r="67" spans="3:68" ht="40.15" customHeight="1" outlineLevel="1" x14ac:dyDescent="0.25">
      <c r="C67" s="93"/>
      <c r="D67" s="61">
        <v>17</v>
      </c>
      <c r="E67" s="61"/>
      <c r="F67" s="61" t="s">
        <v>103</v>
      </c>
      <c r="G67" s="62" t="s">
        <v>222</v>
      </c>
      <c r="H67" s="63">
        <v>2544.86</v>
      </c>
      <c r="I67" s="64">
        <f t="shared" si="16"/>
        <v>769.82015000000001</v>
      </c>
      <c r="J67" s="65">
        <v>966.57</v>
      </c>
      <c r="K67" s="64">
        <f t="shared" si="17"/>
        <v>292.38742500000001</v>
      </c>
      <c r="L67" s="66">
        <f t="shared" ref="L67:L104" si="73">J67/H67</f>
        <v>0.37981264195279896</v>
      </c>
      <c r="M67" s="17">
        <v>43488</v>
      </c>
      <c r="N67" s="17">
        <v>44584</v>
      </c>
      <c r="O67" s="17">
        <v>46409</v>
      </c>
      <c r="P67" s="67">
        <f t="shared" ref="P67:P104" si="74">Q67/$P$1</f>
        <v>5</v>
      </c>
      <c r="Q67" s="68">
        <f t="shared" si="20"/>
        <v>60</v>
      </c>
      <c r="R67" s="69">
        <f t="shared" si="57"/>
        <v>32</v>
      </c>
      <c r="S67" s="70">
        <f t="shared" si="58"/>
        <v>2.4767123287671229</v>
      </c>
      <c r="T67" s="17">
        <v>45679</v>
      </c>
      <c r="U67" s="67">
        <f t="shared" ref="U67:U104" si="75">V67/$P$1</f>
        <v>3</v>
      </c>
      <c r="V67" s="68">
        <f t="shared" si="59"/>
        <v>36</v>
      </c>
      <c r="W67" s="68">
        <f t="shared" si="1"/>
        <v>8</v>
      </c>
      <c r="X67" s="71">
        <v>3</v>
      </c>
      <c r="Y67" s="72">
        <f t="shared" si="24"/>
        <v>46317</v>
      </c>
      <c r="Z67" s="73">
        <v>20</v>
      </c>
      <c r="AA67" s="166">
        <f t="shared" si="60"/>
        <v>4</v>
      </c>
      <c r="AB67" s="75">
        <v>0</v>
      </c>
      <c r="AC67" s="76"/>
      <c r="AD67" s="77">
        <f t="shared" si="61"/>
        <v>0</v>
      </c>
      <c r="AE67" s="78"/>
      <c r="AF67" s="77">
        <f t="shared" si="25"/>
        <v>237686.51302291814</v>
      </c>
      <c r="AG67" s="77">
        <f t="shared" si="4"/>
        <v>188885.85068253192</v>
      </c>
      <c r="AH67" s="77">
        <f t="shared" si="62"/>
        <v>158763.0565398944</v>
      </c>
      <c r="AI67" s="77">
        <f t="shared" si="63"/>
        <v>55605.325477645652</v>
      </c>
      <c r="AJ67" s="77">
        <f t="shared" si="64"/>
        <v>34274.109348787504</v>
      </c>
      <c r="AK67" s="77">
        <f t="shared" si="65"/>
        <v>122219000</v>
      </c>
      <c r="AL67" s="77">
        <f t="shared" si="27"/>
        <v>0</v>
      </c>
      <c r="AM67" s="78">
        <v>122219000</v>
      </c>
      <c r="AN67" s="78"/>
      <c r="AO67" s="78"/>
      <c r="AP67" s="78"/>
      <c r="AQ67" s="78"/>
      <c r="AR67" s="77">
        <f t="shared" si="66"/>
        <v>2568366000</v>
      </c>
      <c r="AS67" s="77">
        <f t="shared" si="67"/>
        <v>1712244000</v>
      </c>
      <c r="AT67" s="78">
        <v>42806100</v>
      </c>
      <c r="AU67" s="79">
        <f t="shared" si="28"/>
        <v>28537400</v>
      </c>
      <c r="AV67" s="77">
        <f t="shared" si="68"/>
        <v>1583094000</v>
      </c>
      <c r="AW67" s="80">
        <f t="shared" si="69"/>
        <v>1583094000</v>
      </c>
      <c r="AX67" s="78">
        <v>26384900</v>
      </c>
      <c r="AY67" s="77">
        <f t="shared" si="70"/>
        <v>89879.434826433164</v>
      </c>
      <c r="AZ67" s="77">
        <f t="shared" si="71"/>
        <v>69191000</v>
      </c>
      <c r="BA67" s="81">
        <f t="shared" si="72"/>
        <v>15</v>
      </c>
      <c r="BB67" s="82">
        <v>16</v>
      </c>
      <c r="BC67" s="83" t="s">
        <v>223</v>
      </c>
      <c r="BD67" s="17" t="s">
        <v>108</v>
      </c>
      <c r="BE67" s="84">
        <v>45680</v>
      </c>
      <c r="BF67" s="85">
        <f t="shared" si="15"/>
        <v>45680</v>
      </c>
      <c r="BG67" s="62" t="s">
        <v>105</v>
      </c>
      <c r="BH67" s="86" t="s">
        <v>99</v>
      </c>
      <c r="BI67" s="87"/>
      <c r="BJ67" s="88" t="s">
        <v>224</v>
      </c>
      <c r="BK67" s="89">
        <v>10</v>
      </c>
      <c r="BL67" s="90"/>
      <c r="BM67" s="90"/>
      <c r="BN67" s="91"/>
      <c r="BO67" s="92"/>
      <c r="BP67" s="92"/>
    </row>
    <row r="68" spans="3:68" ht="40.15" customHeight="1" outlineLevel="1" x14ac:dyDescent="0.25">
      <c r="C68" s="93"/>
      <c r="D68" s="98">
        <v>16</v>
      </c>
      <c r="E68" s="61">
        <v>1</v>
      </c>
      <c r="F68" s="61" t="s">
        <v>103</v>
      </c>
      <c r="G68" s="62" t="s">
        <v>225</v>
      </c>
      <c r="H68" s="63">
        <v>897.9</v>
      </c>
      <c r="I68" s="64">
        <f t="shared" si="16"/>
        <v>271.61474999999996</v>
      </c>
      <c r="J68" s="65">
        <v>330.26</v>
      </c>
      <c r="K68" s="64">
        <f t="shared" si="17"/>
        <v>99.903649999999999</v>
      </c>
      <c r="L68" s="66">
        <f t="shared" si="73"/>
        <v>0.36781378772691836</v>
      </c>
      <c r="M68" s="17">
        <v>43760</v>
      </c>
      <c r="N68" s="17">
        <v>43760</v>
      </c>
      <c r="O68" s="17">
        <v>45586</v>
      </c>
      <c r="P68" s="67">
        <f t="shared" si="74"/>
        <v>5</v>
      </c>
      <c r="Q68" s="68">
        <f t="shared" si="20"/>
        <v>60</v>
      </c>
      <c r="R68" s="69">
        <f t="shared" si="57"/>
        <v>5</v>
      </c>
      <c r="S68" s="70">
        <f t="shared" si="58"/>
        <v>0.22191780821917809</v>
      </c>
      <c r="T68" s="17">
        <v>44855</v>
      </c>
      <c r="U68" s="67">
        <f t="shared" si="75"/>
        <v>3</v>
      </c>
      <c r="V68" s="68">
        <f t="shared" si="59"/>
        <v>36</v>
      </c>
      <c r="W68" s="68" t="str">
        <f t="shared" si="1"/>
        <v>만료</v>
      </c>
      <c r="X68" s="71">
        <v>3</v>
      </c>
      <c r="Y68" s="72">
        <f t="shared" si="24"/>
        <v>45494</v>
      </c>
      <c r="Z68" s="73">
        <v>20</v>
      </c>
      <c r="AA68" s="166">
        <f t="shared" si="60"/>
        <v>4</v>
      </c>
      <c r="AB68" s="75">
        <v>3</v>
      </c>
      <c r="AC68" s="76"/>
      <c r="AD68" s="77">
        <f t="shared" si="61"/>
        <v>0</v>
      </c>
      <c r="AE68" s="78">
        <v>0</v>
      </c>
      <c r="AF68" s="77">
        <f t="shared" si="25"/>
        <v>248971.52156102404</v>
      </c>
      <c r="AG68" s="77">
        <f t="shared" si="4"/>
        <v>188143.84743033245</v>
      </c>
      <c r="AH68" s="77">
        <f t="shared" si="62"/>
        <v>549990.3815974649</v>
      </c>
      <c r="AI68" s="77">
        <f t="shared" si="63"/>
        <v>58365.018836421819</v>
      </c>
      <c r="AJ68" s="77">
        <f t="shared" si="64"/>
        <v>31835.163591078912</v>
      </c>
      <c r="AK68" s="77">
        <f t="shared" si="65"/>
        <v>149385500</v>
      </c>
      <c r="AL68" s="77">
        <f t="shared" si="27"/>
        <v>0</v>
      </c>
      <c r="AM68" s="78"/>
      <c r="AN68" s="78">
        <v>149385500</v>
      </c>
      <c r="AO68" s="78"/>
      <c r="AP68" s="78"/>
      <c r="AQ68" s="78"/>
      <c r="AR68" s="77">
        <f t="shared" si="66"/>
        <v>951168000.00000012</v>
      </c>
      <c r="AS68" s="77">
        <f t="shared" si="67"/>
        <v>586553600</v>
      </c>
      <c r="AT68" s="78">
        <v>15852800</v>
      </c>
      <c r="AU68" s="79">
        <f t="shared" si="28"/>
        <v>9775893.333333334</v>
      </c>
      <c r="AV68" s="77">
        <f t="shared" si="68"/>
        <v>518814000</v>
      </c>
      <c r="AW68" s="80">
        <f t="shared" si="69"/>
        <v>518814000</v>
      </c>
      <c r="AX68" s="78">
        <v>8646900</v>
      </c>
      <c r="AY68" s="77">
        <f t="shared" si="70"/>
        <v>90200.182427500724</v>
      </c>
      <c r="AZ68" s="77">
        <f t="shared" si="71"/>
        <v>24499700</v>
      </c>
      <c r="BA68" s="81">
        <f t="shared" si="72"/>
        <v>5</v>
      </c>
      <c r="BB68" s="82">
        <v>5</v>
      </c>
      <c r="BC68" s="83" t="s">
        <v>226</v>
      </c>
      <c r="BD68" s="17" t="s">
        <v>108</v>
      </c>
      <c r="BE68" s="84"/>
      <c r="BF68" s="85">
        <f t="shared" si="15"/>
        <v>0</v>
      </c>
      <c r="BG68" s="62" t="s">
        <v>105</v>
      </c>
      <c r="BH68" s="86" t="s">
        <v>99</v>
      </c>
      <c r="BI68" s="87">
        <v>0.19</v>
      </c>
      <c r="BJ68" s="88" t="s">
        <v>227</v>
      </c>
      <c r="BK68" s="89">
        <v>10</v>
      </c>
      <c r="BL68" s="90"/>
      <c r="BM68" s="90"/>
      <c r="BN68" s="91" t="s">
        <v>115</v>
      </c>
      <c r="BO68" s="92"/>
      <c r="BP68" s="92"/>
    </row>
    <row r="69" spans="3:68" ht="40.15" customHeight="1" outlineLevel="1" x14ac:dyDescent="0.25">
      <c r="C69" s="93"/>
      <c r="D69" s="100"/>
      <c r="E69" s="61">
        <v>2</v>
      </c>
      <c r="F69" s="61" t="s">
        <v>94</v>
      </c>
      <c r="G69" s="62" t="s">
        <v>228</v>
      </c>
      <c r="H69" s="63">
        <v>762</v>
      </c>
      <c r="I69" s="64">
        <f t="shared" si="16"/>
        <v>230.505</v>
      </c>
      <c r="J69" s="65">
        <v>280.26</v>
      </c>
      <c r="K69" s="64">
        <f t="shared" si="17"/>
        <v>84.778649999999999</v>
      </c>
      <c r="L69" s="66">
        <f t="shared" si="73"/>
        <v>0.3677952755905512</v>
      </c>
      <c r="M69" s="17">
        <v>43922</v>
      </c>
      <c r="N69" s="17">
        <v>45017</v>
      </c>
      <c r="O69" s="17">
        <v>46843</v>
      </c>
      <c r="P69" s="67">
        <f t="shared" si="74"/>
        <v>5</v>
      </c>
      <c r="Q69" s="68">
        <f t="shared" si="20"/>
        <v>60</v>
      </c>
      <c r="R69" s="69">
        <f t="shared" si="57"/>
        <v>46</v>
      </c>
      <c r="S69" s="70">
        <f t="shared" si="58"/>
        <v>3.6657534246575341</v>
      </c>
      <c r="T69" s="17">
        <v>45382</v>
      </c>
      <c r="U69" s="67">
        <f t="shared" si="75"/>
        <v>1</v>
      </c>
      <c r="V69" s="68">
        <f t="shared" si="59"/>
        <v>12</v>
      </c>
      <c r="W69" s="68" t="str">
        <f t="shared" si="1"/>
        <v>만료</v>
      </c>
      <c r="X69" s="71">
        <v>3</v>
      </c>
      <c r="Y69" s="72">
        <f t="shared" si="24"/>
        <v>46752</v>
      </c>
      <c r="Z69" s="73">
        <v>20</v>
      </c>
      <c r="AA69" s="166">
        <f t="shared" si="60"/>
        <v>4</v>
      </c>
      <c r="AB69" s="75">
        <v>0</v>
      </c>
      <c r="AC69" s="76"/>
      <c r="AD69" s="77">
        <f t="shared" si="61"/>
        <v>0</v>
      </c>
      <c r="AE69" s="78">
        <v>0</v>
      </c>
      <c r="AF69" s="77">
        <f t="shared" si="25"/>
        <v>277267.92063803802</v>
      </c>
      <c r="AG69" s="77">
        <f t="shared" si="4"/>
        <v>217057.79304891819</v>
      </c>
      <c r="AH69" s="77">
        <f t="shared" si="62"/>
        <v>0</v>
      </c>
      <c r="AI69" s="77">
        <f t="shared" si="63"/>
        <v>66435.001409947727</v>
      </c>
      <c r="AJ69" s="77">
        <f t="shared" si="64"/>
        <v>35542.829873538532</v>
      </c>
      <c r="AK69" s="77">
        <f t="shared" si="65"/>
        <v>0</v>
      </c>
      <c r="AL69" s="77">
        <f t="shared" si="27"/>
        <v>0</v>
      </c>
      <c r="AM69" s="78"/>
      <c r="AN69" s="78"/>
      <c r="AO69" s="78"/>
      <c r="AP69" s="78"/>
      <c r="AQ69" s="78"/>
      <c r="AR69" s="77">
        <f t="shared" si="66"/>
        <v>918816000</v>
      </c>
      <c r="AS69" s="77">
        <f t="shared" si="67"/>
        <v>612544000.00000012</v>
      </c>
      <c r="AT69" s="78">
        <v>15313600</v>
      </c>
      <c r="AU69" s="79">
        <f t="shared" si="28"/>
        <v>10209066.666666668</v>
      </c>
      <c r="AV69" s="77">
        <f t="shared" si="68"/>
        <v>491567999.99999994</v>
      </c>
      <c r="AW69" s="80">
        <f t="shared" si="69"/>
        <v>491567999.99999994</v>
      </c>
      <c r="AX69" s="78">
        <v>8192800</v>
      </c>
      <c r="AY69" s="77">
        <f t="shared" si="70"/>
        <v>101977.83128348626</v>
      </c>
      <c r="AZ69" s="77">
        <f t="shared" si="71"/>
        <v>23506400</v>
      </c>
      <c r="BA69" s="81">
        <f t="shared" si="72"/>
        <v>5</v>
      </c>
      <c r="BB69" s="82">
        <v>5</v>
      </c>
      <c r="BC69" s="83" t="s">
        <v>229</v>
      </c>
      <c r="BD69" s="17" t="s">
        <v>108</v>
      </c>
      <c r="BE69" s="84">
        <v>45748</v>
      </c>
      <c r="BF69" s="85">
        <f t="shared" si="15"/>
        <v>45748</v>
      </c>
      <c r="BG69" s="62" t="s">
        <v>130</v>
      </c>
      <c r="BH69" s="86" t="s">
        <v>137</v>
      </c>
      <c r="BI69" s="87">
        <v>0.19</v>
      </c>
      <c r="BJ69" s="88" t="s">
        <v>230</v>
      </c>
      <c r="BK69" s="89">
        <v>10</v>
      </c>
      <c r="BL69" s="90"/>
      <c r="BM69" s="90"/>
      <c r="BN69" s="91" t="s">
        <v>115</v>
      </c>
      <c r="BO69" s="92"/>
      <c r="BP69" s="92"/>
    </row>
    <row r="70" spans="3:68" ht="40.15" customHeight="1" outlineLevel="1" x14ac:dyDescent="0.25">
      <c r="C70" s="93"/>
      <c r="D70" s="61">
        <v>15</v>
      </c>
      <c r="E70" s="61"/>
      <c r="F70" s="61" t="s">
        <v>94</v>
      </c>
      <c r="G70" s="62" t="s">
        <v>231</v>
      </c>
      <c r="H70" s="63">
        <v>2553.04</v>
      </c>
      <c r="I70" s="64">
        <f t="shared" si="16"/>
        <v>772.29459999999995</v>
      </c>
      <c r="J70" s="65">
        <f>820.23+146.34</f>
        <v>966.57</v>
      </c>
      <c r="K70" s="64">
        <f t="shared" si="17"/>
        <v>292.38742500000001</v>
      </c>
      <c r="L70" s="66">
        <f t="shared" si="73"/>
        <v>0.37859571334565856</v>
      </c>
      <c r="M70" s="17">
        <v>43922</v>
      </c>
      <c r="N70" s="17">
        <v>45017</v>
      </c>
      <c r="O70" s="17">
        <v>46843</v>
      </c>
      <c r="P70" s="67">
        <f t="shared" si="74"/>
        <v>5</v>
      </c>
      <c r="Q70" s="68">
        <f t="shared" si="20"/>
        <v>60</v>
      </c>
      <c r="R70" s="69">
        <f t="shared" si="57"/>
        <v>46</v>
      </c>
      <c r="S70" s="70">
        <f t="shared" si="58"/>
        <v>3.6657534246575341</v>
      </c>
      <c r="T70" s="17">
        <v>45382</v>
      </c>
      <c r="U70" s="67">
        <f t="shared" si="75"/>
        <v>1</v>
      </c>
      <c r="V70" s="68">
        <f t="shared" si="59"/>
        <v>12</v>
      </c>
      <c r="W70" s="68" t="str">
        <f t="shared" si="1"/>
        <v>만료</v>
      </c>
      <c r="X70" s="71">
        <v>3</v>
      </c>
      <c r="Y70" s="72">
        <f t="shared" si="24"/>
        <v>46752</v>
      </c>
      <c r="Z70" s="73">
        <v>20</v>
      </c>
      <c r="AA70" s="166">
        <f t="shared" si="60"/>
        <v>4</v>
      </c>
      <c r="AB70" s="75">
        <v>0</v>
      </c>
      <c r="AC70" s="76"/>
      <c r="AD70" s="77">
        <f t="shared" si="61"/>
        <v>0</v>
      </c>
      <c r="AE70" s="78">
        <v>0</v>
      </c>
      <c r="AF70" s="77">
        <f t="shared" si="25"/>
        <v>275478.17762682511</v>
      </c>
      <c r="AG70" s="77">
        <f t="shared" si="4"/>
        <v>214486.04250564697</v>
      </c>
      <c r="AH70" s="77">
        <f t="shared" si="62"/>
        <v>509160.62342013011</v>
      </c>
      <c r="AI70" s="77">
        <f t="shared" si="63"/>
        <v>69274.082714031669</v>
      </c>
      <c r="AJ70" s="77">
        <f t="shared" si="64"/>
        <v>33747.872897207882</v>
      </c>
      <c r="AK70" s="77">
        <f t="shared" si="65"/>
        <v>393222000</v>
      </c>
      <c r="AL70" s="77">
        <f t="shared" si="27"/>
        <v>0</v>
      </c>
      <c r="AM70" s="78"/>
      <c r="AN70" s="78">
        <v>393222000</v>
      </c>
      <c r="AO70" s="78"/>
      <c r="AP70" s="78"/>
      <c r="AQ70" s="78"/>
      <c r="AR70" s="77">
        <f t="shared" si="66"/>
        <v>3210000000</v>
      </c>
      <c r="AS70" s="77">
        <f t="shared" si="67"/>
        <v>2140000000</v>
      </c>
      <c r="AT70" s="78">
        <v>53500000</v>
      </c>
      <c r="AU70" s="79">
        <f t="shared" si="28"/>
        <v>35666666.666666664</v>
      </c>
      <c r="AV70" s="77">
        <f t="shared" si="68"/>
        <v>1563798000.0000002</v>
      </c>
      <c r="AW70" s="80">
        <f t="shared" si="69"/>
        <v>1563798000.0000002</v>
      </c>
      <c r="AX70" s="78">
        <v>26063300</v>
      </c>
      <c r="AY70" s="77">
        <f t="shared" si="70"/>
        <v>103021.95561123955</v>
      </c>
      <c r="AZ70" s="77">
        <f t="shared" si="71"/>
        <v>79563300</v>
      </c>
      <c r="BA70" s="81">
        <f t="shared" si="72"/>
        <v>15</v>
      </c>
      <c r="BB70" s="82">
        <v>15</v>
      </c>
      <c r="BC70" s="83" t="s">
        <v>232</v>
      </c>
      <c r="BD70" s="17" t="s">
        <v>108</v>
      </c>
      <c r="BE70" s="84">
        <v>45748</v>
      </c>
      <c r="BF70" s="85">
        <f t="shared" si="15"/>
        <v>45748</v>
      </c>
      <c r="BG70" s="62" t="s">
        <v>105</v>
      </c>
      <c r="BH70" s="86" t="s">
        <v>99</v>
      </c>
      <c r="BI70" s="87">
        <v>0.19</v>
      </c>
      <c r="BJ70" s="88" t="s">
        <v>230</v>
      </c>
      <c r="BK70" s="89">
        <v>10</v>
      </c>
      <c r="BL70" s="90"/>
      <c r="BM70" s="90"/>
      <c r="BN70" s="91" t="s">
        <v>233</v>
      </c>
      <c r="BO70" s="92"/>
      <c r="BP70" s="92"/>
    </row>
    <row r="71" spans="3:68" ht="40.15" customHeight="1" outlineLevel="1" x14ac:dyDescent="0.25">
      <c r="C71" s="93"/>
      <c r="D71" s="61">
        <v>14</v>
      </c>
      <c r="E71" s="61"/>
      <c r="F71" s="61" t="s">
        <v>234</v>
      </c>
      <c r="G71" s="62" t="s">
        <v>149</v>
      </c>
      <c r="H71" s="63">
        <v>2900.86</v>
      </c>
      <c r="I71" s="64">
        <f t="shared" si="16"/>
        <v>877.51015000000007</v>
      </c>
      <c r="J71" s="65">
        <v>1184.26</v>
      </c>
      <c r="K71" s="64">
        <f t="shared" si="17"/>
        <v>358.23865000000001</v>
      </c>
      <c r="L71" s="66">
        <f t="shared" si="73"/>
        <v>0.4082444516453741</v>
      </c>
      <c r="M71" s="17">
        <v>44348</v>
      </c>
      <c r="N71" s="17">
        <v>44348</v>
      </c>
      <c r="O71" s="17">
        <v>46173</v>
      </c>
      <c r="P71" s="67">
        <f t="shared" si="74"/>
        <v>5</v>
      </c>
      <c r="Q71" s="68">
        <f t="shared" si="20"/>
        <v>60</v>
      </c>
      <c r="R71" s="69">
        <f t="shared" si="57"/>
        <v>24</v>
      </c>
      <c r="S71" s="70">
        <f t="shared" si="58"/>
        <v>1.8301369863013699</v>
      </c>
      <c r="T71" s="17">
        <v>45443</v>
      </c>
      <c r="U71" s="67">
        <f t="shared" si="75"/>
        <v>3</v>
      </c>
      <c r="V71" s="68">
        <f t="shared" si="59"/>
        <v>36</v>
      </c>
      <c r="W71" s="68">
        <f t="shared" si="1"/>
        <v>0</v>
      </c>
      <c r="X71" s="71">
        <v>3</v>
      </c>
      <c r="Y71" s="72">
        <f t="shared" si="24"/>
        <v>46081</v>
      </c>
      <c r="Z71" s="73">
        <v>17</v>
      </c>
      <c r="AA71" s="166">
        <f t="shared" si="60"/>
        <v>3.4</v>
      </c>
      <c r="AB71" s="75">
        <v>0</v>
      </c>
      <c r="AC71" s="76"/>
      <c r="AD71" s="77">
        <f t="shared" si="61"/>
        <v>0</v>
      </c>
      <c r="AE71" s="78">
        <v>0</v>
      </c>
      <c r="AF71" s="77">
        <f t="shared" si="25"/>
        <v>223493.75423070599</v>
      </c>
      <c r="AG71" s="77">
        <f t="shared" si="4"/>
        <v>185276.68230443282</v>
      </c>
      <c r="AH71" s="77">
        <f t="shared" si="62"/>
        <v>879448.87879743613</v>
      </c>
      <c r="AI71" s="77">
        <f t="shared" si="63"/>
        <v>55065.556136587773</v>
      </c>
      <c r="AJ71" s="77">
        <f t="shared" si="64"/>
        <v>33975.90680849921</v>
      </c>
      <c r="AK71" s="77">
        <f t="shared" si="65"/>
        <v>771725317.55087006</v>
      </c>
      <c r="AL71" s="77">
        <f t="shared" si="27"/>
        <v>0</v>
      </c>
      <c r="AM71" s="78">
        <v>771725317.55087006</v>
      </c>
      <c r="AN71" s="78"/>
      <c r="AO71" s="78"/>
      <c r="AP71" s="78"/>
      <c r="AQ71" s="78"/>
      <c r="AR71" s="77">
        <f t="shared" si="66"/>
        <v>2899235065.5150337</v>
      </c>
      <c r="AS71" s="77">
        <f t="shared" si="67"/>
        <v>2077785130.285774</v>
      </c>
      <c r="AT71" s="78">
        <v>48320584.42525056</v>
      </c>
      <c r="AU71" s="79">
        <f t="shared" si="28"/>
        <v>34629752.171429567</v>
      </c>
      <c r="AV71" s="77">
        <f t="shared" si="68"/>
        <v>1788852184.7947299</v>
      </c>
      <c r="AW71" s="80">
        <f t="shared" si="69"/>
        <v>1788852184.7947299</v>
      </c>
      <c r="AX71" s="78">
        <v>29814203.079912163</v>
      </c>
      <c r="AY71" s="77">
        <f t="shared" si="70"/>
        <v>89041.462945086969</v>
      </c>
      <c r="AZ71" s="77">
        <f t="shared" si="71"/>
        <v>78134787.505162716</v>
      </c>
      <c r="BA71" s="81">
        <f t="shared" si="72"/>
        <v>18</v>
      </c>
      <c r="BB71" s="94">
        <v>17.472413816840131</v>
      </c>
      <c r="BC71" s="83" t="s">
        <v>235</v>
      </c>
      <c r="BD71" s="17" t="s">
        <v>236</v>
      </c>
      <c r="BE71" s="84">
        <v>45809</v>
      </c>
      <c r="BF71" s="85">
        <f t="shared" si="15"/>
        <v>45809</v>
      </c>
      <c r="BG71" s="62" t="s">
        <v>139</v>
      </c>
      <c r="BH71" s="86" t="s">
        <v>142</v>
      </c>
      <c r="BI71" s="87">
        <v>0.19</v>
      </c>
      <c r="BJ71" s="88" t="s">
        <v>237</v>
      </c>
      <c r="BK71" s="89">
        <v>10</v>
      </c>
      <c r="BL71" s="90"/>
      <c r="BM71" s="90"/>
      <c r="BN71" s="91" t="s">
        <v>233</v>
      </c>
      <c r="BO71" s="92"/>
      <c r="BP71" s="92"/>
    </row>
    <row r="72" spans="3:68" ht="40.15" customHeight="1" outlineLevel="1" x14ac:dyDescent="0.25">
      <c r="C72" s="93"/>
      <c r="D72" s="61">
        <v>13</v>
      </c>
      <c r="E72" s="61"/>
      <c r="F72" s="61" t="s">
        <v>213</v>
      </c>
      <c r="G72" s="62" t="s">
        <v>238</v>
      </c>
      <c r="H72" s="63">
        <v>2441.9499999999998</v>
      </c>
      <c r="I72" s="64">
        <f t="shared" si="16"/>
        <v>738.68987499999992</v>
      </c>
      <c r="J72" s="65">
        <v>994.16</v>
      </c>
      <c r="K72" s="64">
        <f t="shared" si="17"/>
        <v>300.73339999999996</v>
      </c>
      <c r="L72" s="66">
        <f t="shared" si="73"/>
        <v>0.40711726284321959</v>
      </c>
      <c r="M72" s="17">
        <v>41548</v>
      </c>
      <c r="N72" s="17">
        <v>43831</v>
      </c>
      <c r="O72" s="17">
        <v>45657</v>
      </c>
      <c r="P72" s="67">
        <f t="shared" si="74"/>
        <v>5</v>
      </c>
      <c r="Q72" s="68">
        <f t="shared" si="20"/>
        <v>60</v>
      </c>
      <c r="R72" s="69">
        <f t="shared" si="57"/>
        <v>7</v>
      </c>
      <c r="S72" s="70">
        <f t="shared" si="58"/>
        <v>0.41643835616438357</v>
      </c>
      <c r="T72" s="17">
        <v>45657</v>
      </c>
      <c r="U72" s="67">
        <f t="shared" si="75"/>
        <v>5</v>
      </c>
      <c r="V72" s="68">
        <f t="shared" si="59"/>
        <v>60</v>
      </c>
      <c r="W72" s="68">
        <f t="shared" si="1"/>
        <v>7</v>
      </c>
      <c r="X72" s="71">
        <v>6</v>
      </c>
      <c r="Y72" s="72">
        <f t="shared" si="24"/>
        <v>45473</v>
      </c>
      <c r="Z72" s="73">
        <v>14</v>
      </c>
      <c r="AA72" s="166">
        <f t="shared" si="60"/>
        <v>2.8</v>
      </c>
      <c r="AB72" s="75">
        <v>0</v>
      </c>
      <c r="AC72" s="76"/>
      <c r="AD72" s="77">
        <f t="shared" si="61"/>
        <v>0</v>
      </c>
      <c r="AE72" s="78">
        <v>0</v>
      </c>
      <c r="AF72" s="77">
        <f t="shared" si="25"/>
        <v>216176.93668109662</v>
      </c>
      <c r="AG72" s="77">
        <f t="shared" si="4"/>
        <v>184695.11699382355</v>
      </c>
      <c r="AH72" s="77">
        <f t="shared" si="62"/>
        <v>312643.69395436416</v>
      </c>
      <c r="AI72" s="77">
        <f t="shared" si="63"/>
        <v>54929.109687455944</v>
      </c>
      <c r="AJ72" s="77">
        <f t="shared" si="64"/>
        <v>32298.643829098179</v>
      </c>
      <c r="AK72" s="77">
        <f t="shared" si="65"/>
        <v>230946731.20668751</v>
      </c>
      <c r="AL72" s="77">
        <f t="shared" si="27"/>
        <v>0</v>
      </c>
      <c r="AM72" s="78">
        <v>230946731.20668751</v>
      </c>
      <c r="AN72" s="78"/>
      <c r="AO72" s="78"/>
      <c r="AP72" s="78"/>
      <c r="AQ72" s="78"/>
      <c r="AR72" s="77">
        <f t="shared" si="66"/>
        <v>2434534630.133287</v>
      </c>
      <c r="AS72" s="77">
        <f t="shared" si="67"/>
        <v>1866476549.7688532</v>
      </c>
      <c r="AT72" s="78">
        <v>40575577.168888114</v>
      </c>
      <c r="AU72" s="79">
        <f t="shared" si="28"/>
        <v>31107942.496147554</v>
      </c>
      <c r="AV72" s="77">
        <f t="shared" si="68"/>
        <v>1431520870.3671632</v>
      </c>
      <c r="AW72" s="80">
        <f t="shared" si="69"/>
        <v>1431520870.3671632</v>
      </c>
      <c r="AX72" s="78">
        <v>23858681.172786053</v>
      </c>
      <c r="AY72" s="77">
        <f t="shared" si="70"/>
        <v>87227.753516554119</v>
      </c>
      <c r="AZ72" s="77">
        <f t="shared" si="71"/>
        <v>64434258.341674164</v>
      </c>
      <c r="BA72" s="81">
        <f t="shared" si="72"/>
        <v>15</v>
      </c>
      <c r="BB72" s="94">
        <v>15.177388440619557</v>
      </c>
      <c r="BC72" s="83" t="s">
        <v>239</v>
      </c>
      <c r="BD72" s="17" t="s">
        <v>236</v>
      </c>
      <c r="BE72" s="84"/>
      <c r="BF72" s="85">
        <f t="shared" si="15"/>
        <v>0</v>
      </c>
      <c r="BG72" s="62" t="s">
        <v>240</v>
      </c>
      <c r="BH72" s="86" t="s">
        <v>142</v>
      </c>
      <c r="BI72" s="87">
        <v>0.19</v>
      </c>
      <c r="BJ72" s="88" t="s">
        <v>241</v>
      </c>
      <c r="BK72" s="89">
        <v>15</v>
      </c>
      <c r="BL72" s="86" t="s">
        <v>242</v>
      </c>
      <c r="BM72" s="18" t="s">
        <v>243</v>
      </c>
      <c r="BN72" s="91" t="s">
        <v>233</v>
      </c>
      <c r="BO72" s="92"/>
      <c r="BP72" s="92"/>
    </row>
    <row r="73" spans="3:68" ht="40.15" customHeight="1" outlineLevel="1" x14ac:dyDescent="0.25">
      <c r="C73" s="93"/>
      <c r="D73" s="61">
        <v>12</v>
      </c>
      <c r="E73" s="61"/>
      <c r="F73" s="61" t="s">
        <v>234</v>
      </c>
      <c r="G73" s="62" t="s">
        <v>129</v>
      </c>
      <c r="H73" s="63">
        <v>2070.29</v>
      </c>
      <c r="I73" s="64">
        <f t="shared" si="16"/>
        <v>626.26272499999993</v>
      </c>
      <c r="J73" s="65">
        <v>763.32</v>
      </c>
      <c r="K73" s="64">
        <f t="shared" si="17"/>
        <v>230.90430000000001</v>
      </c>
      <c r="L73" s="66">
        <f t="shared" si="73"/>
        <v>0.36870196928932664</v>
      </c>
      <c r="M73" s="17">
        <v>41548</v>
      </c>
      <c r="N73" s="17">
        <v>43831</v>
      </c>
      <c r="O73" s="17">
        <v>45657</v>
      </c>
      <c r="P73" s="67">
        <f t="shared" si="74"/>
        <v>5</v>
      </c>
      <c r="Q73" s="68">
        <f t="shared" si="20"/>
        <v>60</v>
      </c>
      <c r="R73" s="69">
        <f t="shared" si="57"/>
        <v>7</v>
      </c>
      <c r="S73" s="70">
        <f t="shared" si="58"/>
        <v>0.41643835616438357</v>
      </c>
      <c r="T73" s="17">
        <v>45657</v>
      </c>
      <c r="U73" s="67">
        <f t="shared" si="75"/>
        <v>5</v>
      </c>
      <c r="V73" s="68">
        <f t="shared" si="59"/>
        <v>60</v>
      </c>
      <c r="W73" s="68">
        <f t="shared" si="1"/>
        <v>7</v>
      </c>
      <c r="X73" s="71">
        <v>6</v>
      </c>
      <c r="Y73" s="72">
        <f t="shared" si="24"/>
        <v>45473</v>
      </c>
      <c r="Z73" s="73">
        <v>14</v>
      </c>
      <c r="AA73" s="166">
        <f t="shared" si="60"/>
        <v>2.8</v>
      </c>
      <c r="AB73" s="75">
        <v>0</v>
      </c>
      <c r="AC73" s="76"/>
      <c r="AD73" s="77">
        <f t="shared" si="61"/>
        <v>0</v>
      </c>
      <c r="AE73" s="78">
        <v>0</v>
      </c>
      <c r="AF73" s="77">
        <f t="shared" si="25"/>
        <v>238699.47068956791</v>
      </c>
      <c r="AG73" s="77">
        <f t="shared" si="4"/>
        <v>203937.69725033123</v>
      </c>
      <c r="AH73" s="77">
        <f t="shared" si="62"/>
        <v>312642.28067145101</v>
      </c>
      <c r="AI73" s="77">
        <f t="shared" si="63"/>
        <v>54928.861384439908</v>
      </c>
      <c r="AJ73" s="77">
        <f t="shared" si="64"/>
        <v>32298.497825445065</v>
      </c>
      <c r="AK73" s="77">
        <f t="shared" si="65"/>
        <v>195796206.64351773</v>
      </c>
      <c r="AL73" s="77">
        <f t="shared" si="27"/>
        <v>0</v>
      </c>
      <c r="AM73" s="78">
        <v>195796206.64351773</v>
      </c>
      <c r="AN73" s="78"/>
      <c r="AO73" s="78"/>
      <c r="AP73" s="78"/>
      <c r="AQ73" s="78"/>
      <c r="AR73" s="77">
        <f t="shared" si="66"/>
        <v>2063993904.7059963</v>
      </c>
      <c r="AS73" s="77">
        <f t="shared" si="67"/>
        <v>1582395326.9412639</v>
      </c>
      <c r="AT73" s="78">
        <v>34399898.411766604</v>
      </c>
      <c r="AU73" s="79">
        <f t="shared" si="28"/>
        <v>26373255.449021064</v>
      </c>
      <c r="AV73" s="77">
        <f t="shared" si="68"/>
        <v>1213640715.6941879</v>
      </c>
      <c r="AW73" s="80">
        <f t="shared" si="69"/>
        <v>1213640715.6941879</v>
      </c>
      <c r="AX73" s="78">
        <v>20227345.261569798</v>
      </c>
      <c r="AY73" s="77">
        <f t="shared" si="70"/>
        <v>87227.359209884962</v>
      </c>
      <c r="AZ73" s="77">
        <f t="shared" si="71"/>
        <v>54627243.673336402</v>
      </c>
      <c r="BA73" s="81">
        <f t="shared" si="72"/>
        <v>13</v>
      </c>
      <c r="BB73" s="94">
        <v>12.86736152489191</v>
      </c>
      <c r="BC73" s="83" t="s">
        <v>239</v>
      </c>
      <c r="BD73" s="17" t="s">
        <v>244</v>
      </c>
      <c r="BE73" s="84"/>
      <c r="BF73" s="85">
        <f t="shared" si="15"/>
        <v>0</v>
      </c>
      <c r="BG73" s="62" t="s">
        <v>240</v>
      </c>
      <c r="BH73" s="86" t="s">
        <v>137</v>
      </c>
      <c r="BI73" s="87">
        <v>0.19</v>
      </c>
      <c r="BJ73" s="88" t="s">
        <v>245</v>
      </c>
      <c r="BK73" s="89">
        <v>15</v>
      </c>
      <c r="BL73" s="86" t="s">
        <v>242</v>
      </c>
      <c r="BM73" s="18" t="s">
        <v>246</v>
      </c>
      <c r="BN73" s="91" t="s">
        <v>233</v>
      </c>
      <c r="BO73" s="92"/>
      <c r="BP73" s="92"/>
    </row>
    <row r="74" spans="3:68" ht="40.15" customHeight="1" outlineLevel="1" x14ac:dyDescent="0.25">
      <c r="C74" s="93"/>
      <c r="D74" s="98">
        <v>11</v>
      </c>
      <c r="E74" s="61">
        <v>1</v>
      </c>
      <c r="F74" s="61" t="s">
        <v>234</v>
      </c>
      <c r="G74" s="62" t="s">
        <v>247</v>
      </c>
      <c r="H74" s="63">
        <v>481.36</v>
      </c>
      <c r="I74" s="64">
        <f t="shared" si="16"/>
        <v>145.6114</v>
      </c>
      <c r="J74" s="65">
        <v>177.42000000000007</v>
      </c>
      <c r="K74" s="64">
        <f t="shared" si="17"/>
        <v>53.669550000000022</v>
      </c>
      <c r="L74" s="66">
        <f t="shared" si="73"/>
        <v>0.36858068805052363</v>
      </c>
      <c r="M74" s="17">
        <v>44648</v>
      </c>
      <c r="N74" s="17">
        <v>45379</v>
      </c>
      <c r="O74" s="17">
        <v>46108</v>
      </c>
      <c r="P74" s="67">
        <f t="shared" si="74"/>
        <v>2</v>
      </c>
      <c r="Q74" s="68">
        <f t="shared" si="20"/>
        <v>24</v>
      </c>
      <c r="R74" s="69">
        <f t="shared" si="57"/>
        <v>22</v>
      </c>
      <c r="S74" s="70">
        <f t="shared" si="58"/>
        <v>1.6520547945205479</v>
      </c>
      <c r="T74" s="17">
        <v>46108</v>
      </c>
      <c r="U74" s="67">
        <f t="shared" si="75"/>
        <v>2</v>
      </c>
      <c r="V74" s="68">
        <f t="shared" si="59"/>
        <v>24</v>
      </c>
      <c r="W74" s="68">
        <f t="shared" si="1"/>
        <v>22</v>
      </c>
      <c r="X74" s="71">
        <v>3</v>
      </c>
      <c r="Y74" s="72">
        <f t="shared" si="24"/>
        <v>46018</v>
      </c>
      <c r="Z74" s="73">
        <v>4</v>
      </c>
      <c r="AA74" s="166">
        <f t="shared" si="60"/>
        <v>2</v>
      </c>
      <c r="AB74" s="75">
        <v>0</v>
      </c>
      <c r="AC74" s="76"/>
      <c r="AD74" s="77">
        <f t="shared" si="61"/>
        <v>0</v>
      </c>
      <c r="AE74" s="78">
        <v>0</v>
      </c>
      <c r="AF74" s="77">
        <f t="shared" si="25"/>
        <v>257783.97620252069</v>
      </c>
      <c r="AG74" s="77">
        <f t="shared" si="4"/>
        <v>230173.65837177061</v>
      </c>
      <c r="AH74" s="77">
        <f t="shared" si="62"/>
        <v>171003.09453792765</v>
      </c>
      <c r="AI74" s="77">
        <f t="shared" si="63"/>
        <v>61059.77966010903</v>
      </c>
      <c r="AJ74" s="77">
        <f t="shared" si="64"/>
        <v>33526.907920671045</v>
      </c>
      <c r="AK74" s="77">
        <f t="shared" si="65"/>
        <v>24900000</v>
      </c>
      <c r="AL74" s="77">
        <f t="shared" si="27"/>
        <v>0</v>
      </c>
      <c r="AM74" s="78">
        <v>24900000</v>
      </c>
      <c r="AN74" s="78"/>
      <c r="AO74" s="78"/>
      <c r="AP74" s="78"/>
      <c r="AQ74" s="78"/>
      <c r="AR74" s="77">
        <f t="shared" si="66"/>
        <v>213384000</v>
      </c>
      <c r="AS74" s="77">
        <f t="shared" si="67"/>
        <v>177820000</v>
      </c>
      <c r="AT74" s="78">
        <v>8891000</v>
      </c>
      <c r="AU74" s="79">
        <f t="shared" si="28"/>
        <v>7409166.666666667</v>
      </c>
      <c r="AV74" s="77">
        <f t="shared" si="68"/>
        <v>117165600</v>
      </c>
      <c r="AW74" s="80">
        <f t="shared" si="69"/>
        <v>117165600</v>
      </c>
      <c r="AX74" s="78">
        <v>4881900</v>
      </c>
      <c r="AY74" s="77">
        <f t="shared" si="70"/>
        <v>94586.687580780068</v>
      </c>
      <c r="AZ74" s="77">
        <f t="shared" si="71"/>
        <v>13772900</v>
      </c>
      <c r="BA74" s="81">
        <f t="shared" si="72"/>
        <v>3</v>
      </c>
      <c r="BB74" s="82">
        <v>7</v>
      </c>
      <c r="BC74" s="83" t="s">
        <v>248</v>
      </c>
      <c r="BD74" s="17" t="s">
        <v>236</v>
      </c>
      <c r="BE74" s="84">
        <v>45744</v>
      </c>
      <c r="BF74" s="85">
        <f t="shared" si="15"/>
        <v>45744</v>
      </c>
      <c r="BG74" s="62" t="s">
        <v>139</v>
      </c>
      <c r="BH74" s="86" t="s">
        <v>142</v>
      </c>
      <c r="BI74" s="87">
        <v>0.19</v>
      </c>
      <c r="BJ74" s="88" t="s">
        <v>249</v>
      </c>
      <c r="BK74" s="89">
        <v>10</v>
      </c>
      <c r="BL74" s="90"/>
      <c r="BM74" s="90"/>
      <c r="BN74" s="91" t="s">
        <v>122</v>
      </c>
      <c r="BO74" s="92"/>
      <c r="BP74" s="92"/>
    </row>
    <row r="75" spans="3:68" ht="40.15" customHeight="1" outlineLevel="1" x14ac:dyDescent="0.25">
      <c r="C75" s="93"/>
      <c r="D75" s="101"/>
      <c r="E75" s="61">
        <v>2</v>
      </c>
      <c r="F75" s="61" t="s">
        <v>234</v>
      </c>
      <c r="G75" s="62" t="s">
        <v>250</v>
      </c>
      <c r="H75" s="63">
        <v>1588.66</v>
      </c>
      <c r="I75" s="64">
        <f t="shared" si="16"/>
        <v>480.56965000000002</v>
      </c>
      <c r="J75" s="65">
        <v>585.9</v>
      </c>
      <c r="K75" s="64">
        <f t="shared" si="17"/>
        <v>177.23474999999999</v>
      </c>
      <c r="L75" s="66">
        <f t="shared" si="73"/>
        <v>0.36880137977918492</v>
      </c>
      <c r="M75" s="17">
        <v>44366</v>
      </c>
      <c r="N75" s="17">
        <v>44366</v>
      </c>
      <c r="O75" s="17">
        <v>46191</v>
      </c>
      <c r="P75" s="67">
        <f t="shared" si="74"/>
        <v>5</v>
      </c>
      <c r="Q75" s="68">
        <f t="shared" si="20"/>
        <v>60</v>
      </c>
      <c r="R75" s="69">
        <f t="shared" si="57"/>
        <v>25</v>
      </c>
      <c r="S75" s="70">
        <f t="shared" si="58"/>
        <v>1.8794520547945206</v>
      </c>
      <c r="T75" s="17">
        <v>44730</v>
      </c>
      <c r="U75" s="67">
        <f t="shared" si="75"/>
        <v>1</v>
      </c>
      <c r="V75" s="68">
        <f t="shared" si="59"/>
        <v>12</v>
      </c>
      <c r="W75" s="68" t="str">
        <f t="shared" si="1"/>
        <v>만료</v>
      </c>
      <c r="X75" s="71">
        <v>3</v>
      </c>
      <c r="Y75" s="72">
        <f t="shared" si="24"/>
        <v>46099</v>
      </c>
      <c r="Z75" s="73">
        <v>20</v>
      </c>
      <c r="AA75" s="166">
        <f t="shared" si="60"/>
        <v>4</v>
      </c>
      <c r="AB75" s="75">
        <v>4</v>
      </c>
      <c r="AC75" s="76"/>
      <c r="AD75" s="77">
        <f t="shared" si="61"/>
        <v>0</v>
      </c>
      <c r="AE75" s="78">
        <v>0</v>
      </c>
      <c r="AF75" s="77">
        <f t="shared" si="25"/>
        <v>255529.53780226508</v>
      </c>
      <c r="AG75" s="77">
        <f t="shared" si="4"/>
        <v>190356.2013092805</v>
      </c>
      <c r="AH75" s="77">
        <f t="shared" si="62"/>
        <v>550000.40056628629</v>
      </c>
      <c r="AI75" s="77">
        <f t="shared" si="63"/>
        <v>60090.041058564559</v>
      </c>
      <c r="AJ75" s="77">
        <f t="shared" si="64"/>
        <v>32774.604055832489</v>
      </c>
      <c r="AK75" s="77">
        <f t="shared" si="65"/>
        <v>264313500</v>
      </c>
      <c r="AL75" s="77">
        <f t="shared" si="27"/>
        <v>0</v>
      </c>
      <c r="AM75" s="78">
        <v>264313500</v>
      </c>
      <c r="AN75" s="78"/>
      <c r="AO75" s="78"/>
      <c r="AP75" s="78"/>
      <c r="AQ75" s="78"/>
      <c r="AR75" s="77">
        <f t="shared" si="66"/>
        <v>1732647000</v>
      </c>
      <c r="AS75" s="77">
        <f t="shared" si="67"/>
        <v>1039588200.0000001</v>
      </c>
      <c r="AT75" s="78">
        <v>28877450</v>
      </c>
      <c r="AU75" s="79">
        <f t="shared" si="28"/>
        <v>17326470.000000004</v>
      </c>
      <c r="AV75" s="77">
        <f t="shared" si="68"/>
        <v>945028800</v>
      </c>
      <c r="AW75" s="80">
        <f t="shared" si="69"/>
        <v>945028800</v>
      </c>
      <c r="AX75" s="78">
        <v>15750480</v>
      </c>
      <c r="AY75" s="77">
        <f t="shared" si="70"/>
        <v>92864.645114397048</v>
      </c>
      <c r="AZ75" s="77">
        <f t="shared" si="71"/>
        <v>44627930</v>
      </c>
      <c r="BA75" s="81">
        <f t="shared" si="72"/>
        <v>10</v>
      </c>
      <c r="BB75" s="82">
        <v>9</v>
      </c>
      <c r="BC75" s="83" t="s">
        <v>251</v>
      </c>
      <c r="BD75" s="17" t="s">
        <v>236</v>
      </c>
      <c r="BE75" s="84">
        <v>45827</v>
      </c>
      <c r="BF75" s="85">
        <f t="shared" si="15"/>
        <v>45827</v>
      </c>
      <c r="BG75" s="62" t="s">
        <v>139</v>
      </c>
      <c r="BH75" s="86" t="s">
        <v>163</v>
      </c>
      <c r="BI75" s="87">
        <v>0.19</v>
      </c>
      <c r="BJ75" s="88" t="s">
        <v>252</v>
      </c>
      <c r="BK75" s="89">
        <v>10</v>
      </c>
      <c r="BL75" s="90" t="s">
        <v>253</v>
      </c>
      <c r="BM75" s="90"/>
      <c r="BN75" s="91" t="s">
        <v>122</v>
      </c>
      <c r="BO75" s="92"/>
      <c r="BP75" s="92"/>
    </row>
    <row r="76" spans="3:68" ht="40.15" customHeight="1" outlineLevel="1" x14ac:dyDescent="0.25">
      <c r="C76" s="93"/>
      <c r="D76" s="98">
        <v>10</v>
      </c>
      <c r="E76" s="61">
        <v>1</v>
      </c>
      <c r="F76" s="61" t="s">
        <v>254</v>
      </c>
      <c r="G76" s="62" t="s">
        <v>255</v>
      </c>
      <c r="H76" s="63">
        <v>144.72</v>
      </c>
      <c r="I76" s="64">
        <f t="shared" si="16"/>
        <v>43.777799999999999</v>
      </c>
      <c r="J76" s="65">
        <v>52.69</v>
      </c>
      <c r="K76" s="64">
        <f t="shared" si="17"/>
        <v>15.938724999999998</v>
      </c>
      <c r="L76" s="66">
        <f t="shared" si="73"/>
        <v>0.36408236594803756</v>
      </c>
      <c r="M76" s="17">
        <v>44013</v>
      </c>
      <c r="N76" s="17">
        <v>44013</v>
      </c>
      <c r="O76" s="17">
        <v>45838</v>
      </c>
      <c r="P76" s="67">
        <f t="shared" si="74"/>
        <v>5</v>
      </c>
      <c r="Q76" s="68">
        <f t="shared" si="20"/>
        <v>60</v>
      </c>
      <c r="R76" s="69">
        <f t="shared" si="57"/>
        <v>13</v>
      </c>
      <c r="S76" s="70">
        <f t="shared" si="58"/>
        <v>0.9123287671232877</v>
      </c>
      <c r="T76" s="17">
        <v>45107</v>
      </c>
      <c r="U76" s="67">
        <f t="shared" si="75"/>
        <v>3</v>
      </c>
      <c r="V76" s="68">
        <f t="shared" si="59"/>
        <v>36</v>
      </c>
      <c r="W76" s="68" t="str">
        <f t="shared" si="1"/>
        <v>만료</v>
      </c>
      <c r="X76" s="71">
        <v>3</v>
      </c>
      <c r="Y76" s="72">
        <f t="shared" si="24"/>
        <v>45746</v>
      </c>
      <c r="Z76" s="73">
        <v>0</v>
      </c>
      <c r="AA76" s="166">
        <f t="shared" si="60"/>
        <v>0</v>
      </c>
      <c r="AB76" s="193">
        <f>13/30</f>
        <v>0.43333333333333335</v>
      </c>
      <c r="AC76" s="76"/>
      <c r="AD76" s="77">
        <f t="shared" si="61"/>
        <v>0</v>
      </c>
      <c r="AE76" s="78">
        <v>0</v>
      </c>
      <c r="AF76" s="77">
        <f t="shared" si="25"/>
        <v>451597.28899268928</v>
      </c>
      <c r="AG76" s="77">
        <f t="shared" si="4"/>
        <v>449176.33694734756</v>
      </c>
      <c r="AH76" s="77">
        <f t="shared" si="62"/>
        <v>1650014.3908556392</v>
      </c>
      <c r="AI76" s="77">
        <f t="shared" si="63"/>
        <v>122043.59287127266</v>
      </c>
      <c r="AJ76" s="77">
        <f t="shared" si="64"/>
        <v>38249.980583766199</v>
      </c>
      <c r="AK76" s="77">
        <f t="shared" si="65"/>
        <v>72234000</v>
      </c>
      <c r="AL76" s="77">
        <f t="shared" si="27"/>
        <v>0</v>
      </c>
      <c r="AM76" s="78"/>
      <c r="AN76" s="78">
        <v>72234000</v>
      </c>
      <c r="AO76" s="78"/>
      <c r="AP76" s="78"/>
      <c r="AQ76" s="78"/>
      <c r="AR76" s="77">
        <f t="shared" si="66"/>
        <v>320568000.00000006</v>
      </c>
      <c r="AS76" s="77">
        <f t="shared" si="67"/>
        <v>318252786.66666669</v>
      </c>
      <c r="AT76" s="78">
        <v>5342800</v>
      </c>
      <c r="AU76" s="79">
        <f t="shared" si="28"/>
        <v>5304213.111111111</v>
      </c>
      <c r="AV76" s="77">
        <f t="shared" si="68"/>
        <v>100470000</v>
      </c>
      <c r="AW76" s="80">
        <f t="shared" si="69"/>
        <v>100470000</v>
      </c>
      <c r="AX76" s="78">
        <v>1674500</v>
      </c>
      <c r="AY76" s="77">
        <f t="shared" si="70"/>
        <v>160293.57345503886</v>
      </c>
      <c r="AZ76" s="77">
        <f t="shared" si="71"/>
        <v>7017300</v>
      </c>
      <c r="BA76" s="81">
        <f t="shared" si="72"/>
        <v>1</v>
      </c>
      <c r="BB76" s="82">
        <v>1</v>
      </c>
      <c r="BC76" s="83" t="s">
        <v>256</v>
      </c>
      <c r="BD76" s="17" t="s">
        <v>236</v>
      </c>
      <c r="BE76" s="84">
        <v>45474</v>
      </c>
      <c r="BF76" s="85">
        <f t="shared" si="15"/>
        <v>45474</v>
      </c>
      <c r="BG76" s="62" t="s">
        <v>240</v>
      </c>
      <c r="BH76" s="86" t="s">
        <v>163</v>
      </c>
      <c r="BI76" s="87">
        <v>0.19</v>
      </c>
      <c r="BJ76" s="97"/>
      <c r="BK76" s="89">
        <v>10</v>
      </c>
      <c r="BL76" s="90" t="s">
        <v>257</v>
      </c>
      <c r="BM76" s="90"/>
      <c r="BN76" s="91" t="s">
        <v>233</v>
      </c>
      <c r="BO76" s="92"/>
      <c r="BP76" s="92"/>
    </row>
    <row r="77" spans="3:68" ht="40.15" customHeight="1" outlineLevel="1" x14ac:dyDescent="0.25">
      <c r="C77" s="93"/>
      <c r="D77" s="100"/>
      <c r="E77" s="61">
        <v>2</v>
      </c>
      <c r="F77" s="61" t="s">
        <v>254</v>
      </c>
      <c r="G77" s="62" t="s">
        <v>258</v>
      </c>
      <c r="H77" s="63">
        <v>361.74</v>
      </c>
      <c r="I77" s="64">
        <f t="shared" si="16"/>
        <v>109.42635</v>
      </c>
      <c r="J77" s="65">
        <v>131.69</v>
      </c>
      <c r="K77" s="64">
        <f t="shared" si="17"/>
        <v>39.836224999999999</v>
      </c>
      <c r="L77" s="66">
        <f t="shared" si="73"/>
        <v>0.36404599988942332</v>
      </c>
      <c r="M77" s="17">
        <v>43991</v>
      </c>
      <c r="N77" s="17">
        <v>43991</v>
      </c>
      <c r="O77" s="17">
        <v>45869</v>
      </c>
      <c r="P77" s="67">
        <f t="shared" si="74"/>
        <v>5.166666666666667</v>
      </c>
      <c r="Q77" s="68">
        <f t="shared" si="20"/>
        <v>62</v>
      </c>
      <c r="R77" s="69">
        <f t="shared" si="57"/>
        <v>14</v>
      </c>
      <c r="S77" s="70">
        <f t="shared" si="58"/>
        <v>0.99726027397260286</v>
      </c>
      <c r="T77" s="17">
        <v>45138</v>
      </c>
      <c r="U77" s="67">
        <f t="shared" si="75"/>
        <v>3.1666666666666665</v>
      </c>
      <c r="V77" s="68">
        <f t="shared" si="59"/>
        <v>38</v>
      </c>
      <c r="W77" s="68" t="str">
        <f t="shared" ref="W77:W103" si="76">IFERROR(DATEDIF($R$1,T77,"m"),"만료")</f>
        <v>만료</v>
      </c>
      <c r="X77" s="71">
        <v>3</v>
      </c>
      <c r="Y77" s="72">
        <f t="shared" si="24"/>
        <v>45777</v>
      </c>
      <c r="Z77" s="73">
        <v>10</v>
      </c>
      <c r="AA77" s="166">
        <f t="shared" si="60"/>
        <v>1.935483870967742</v>
      </c>
      <c r="AB77" s="193">
        <v>0.73333333333333328</v>
      </c>
      <c r="AC77" s="76"/>
      <c r="AD77" s="77">
        <f t="shared" si="61"/>
        <v>861940.40725495457</v>
      </c>
      <c r="AE77" s="78">
        <v>34336452</v>
      </c>
      <c r="AF77" s="77">
        <f t="shared" si="25"/>
        <v>275278.6565494095</v>
      </c>
      <c r="AG77" s="77">
        <f t="shared" ref="AG77:AG104" si="77">IF(ISERROR((SUM(AS77,AW77-AE77)/Q77+AK77*$K$5/12)/K77),0,(SUM(AS77,AW77-AE77)/Q77+AK77*$K$5/12)/K77)</f>
        <v>227877.61169207061</v>
      </c>
      <c r="AH77" s="77">
        <f t="shared" si="62"/>
        <v>652722.12771421147</v>
      </c>
      <c r="AI77" s="77">
        <f t="shared" si="63"/>
        <v>70443.727676194991</v>
      </c>
      <c r="AJ77" s="77">
        <f t="shared" si="64"/>
        <v>28138.560776266411</v>
      </c>
      <c r="AK77" s="77">
        <f t="shared" si="65"/>
        <v>71425000</v>
      </c>
      <c r="AL77" s="77">
        <f t="shared" si="27"/>
        <v>0</v>
      </c>
      <c r="AM77" s="78"/>
      <c r="AN77" s="78">
        <v>71425000</v>
      </c>
      <c r="AO77" s="78"/>
      <c r="AP77" s="78"/>
      <c r="AQ77" s="78"/>
      <c r="AR77" s="77">
        <f t="shared" si="66"/>
        <v>477920799.99999994</v>
      </c>
      <c r="AS77" s="77">
        <f t="shared" si="67"/>
        <v>395183973.33333331</v>
      </c>
      <c r="AT77" s="78">
        <v>7708400</v>
      </c>
      <c r="AU77" s="79">
        <f t="shared" si="28"/>
        <v>6373935.0537634408</v>
      </c>
      <c r="AV77" s="77">
        <f t="shared" si="68"/>
        <v>190904200</v>
      </c>
      <c r="AW77" s="80">
        <f t="shared" si="69"/>
        <v>190904200</v>
      </c>
      <c r="AX77" s="78">
        <v>3079100</v>
      </c>
      <c r="AY77" s="77">
        <f t="shared" si="70"/>
        <v>98582.288452461406</v>
      </c>
      <c r="AZ77" s="77">
        <f t="shared" si="71"/>
        <v>10787500</v>
      </c>
      <c r="BA77" s="81">
        <f t="shared" si="72"/>
        <v>2</v>
      </c>
      <c r="BB77" s="82">
        <v>2</v>
      </c>
      <c r="BC77" s="83" t="s">
        <v>259</v>
      </c>
      <c r="BD77" s="17" t="s">
        <v>236</v>
      </c>
      <c r="BE77" s="84">
        <v>45505</v>
      </c>
      <c r="BF77" s="85">
        <f t="shared" ref="BF77:BF103" si="78">BE77</f>
        <v>45505</v>
      </c>
      <c r="BG77" s="62" t="s">
        <v>139</v>
      </c>
      <c r="BH77" s="86" t="s">
        <v>142</v>
      </c>
      <c r="BI77" s="87">
        <v>0.19</v>
      </c>
      <c r="BJ77" s="88" t="s">
        <v>260</v>
      </c>
      <c r="BK77" s="89">
        <v>10</v>
      </c>
      <c r="BL77" s="90"/>
      <c r="BM77" s="90"/>
      <c r="BN77" s="91" t="s">
        <v>233</v>
      </c>
      <c r="BO77" s="92"/>
      <c r="BP77" s="92"/>
    </row>
    <row r="78" spans="3:68" ht="40.15" customHeight="1" outlineLevel="1" x14ac:dyDescent="0.25">
      <c r="C78" s="93"/>
      <c r="D78" s="100"/>
      <c r="E78" s="61">
        <v>3</v>
      </c>
      <c r="F78" s="61" t="s">
        <v>254</v>
      </c>
      <c r="G78" s="62" t="s">
        <v>261</v>
      </c>
      <c r="H78" s="63">
        <v>356.56</v>
      </c>
      <c r="I78" s="64">
        <f t="shared" si="16"/>
        <v>107.85939999999999</v>
      </c>
      <c r="J78" s="65">
        <v>129.81</v>
      </c>
      <c r="K78" s="64">
        <f t="shared" si="17"/>
        <v>39.267524999999999</v>
      </c>
      <c r="L78" s="66">
        <f t="shared" si="73"/>
        <v>0.3640621494278663</v>
      </c>
      <c r="M78" s="17">
        <v>40364</v>
      </c>
      <c r="N78" s="17">
        <v>45505</v>
      </c>
      <c r="O78" s="17">
        <v>45565</v>
      </c>
      <c r="P78" s="67">
        <f t="shared" si="74"/>
        <v>0.16666666666666666</v>
      </c>
      <c r="Q78" s="68">
        <f t="shared" si="20"/>
        <v>2</v>
      </c>
      <c r="R78" s="69">
        <f t="shared" si="57"/>
        <v>4</v>
      </c>
      <c r="S78" s="70">
        <f t="shared" si="58"/>
        <v>0.16438356164383561</v>
      </c>
      <c r="T78" s="17"/>
      <c r="U78" s="67" t="e">
        <f t="shared" si="75"/>
        <v>#NUM!</v>
      </c>
      <c r="V78" s="68" t="e">
        <f t="shared" si="59"/>
        <v>#NUM!</v>
      </c>
      <c r="W78" s="68" t="str">
        <f t="shared" si="76"/>
        <v>만료</v>
      </c>
      <c r="X78" s="71"/>
      <c r="Y78" s="72">
        <f t="shared" ref="Y78:Y104" si="79">EDATE($O78,-X78)</f>
        <v>45565</v>
      </c>
      <c r="Z78" s="73">
        <v>0</v>
      </c>
      <c r="AA78" s="166">
        <f t="shared" si="60"/>
        <v>0</v>
      </c>
      <c r="AB78" s="75">
        <v>0</v>
      </c>
      <c r="AC78" s="76"/>
      <c r="AD78" s="77">
        <f t="shared" si="61"/>
        <v>0</v>
      </c>
      <c r="AE78" s="78">
        <v>0</v>
      </c>
      <c r="AF78" s="77">
        <f t="shared" ref="AF78:AF104" si="80">IF(ISERROR((SUM(AR78,AV78)/Q78+AK78*$K$5/12)/K78),0,(SUM(AR78,AV78)/Q78+AK78*$K$5/12)/K78)</f>
        <v>311055.89160508587</v>
      </c>
      <c r="AG78" s="77">
        <f t="shared" si="77"/>
        <v>311055.89160508587</v>
      </c>
      <c r="AH78" s="77">
        <f t="shared" si="62"/>
        <v>579995.80935922137</v>
      </c>
      <c r="AI78" s="77">
        <f t="shared" si="63"/>
        <v>74192.884440299138</v>
      </c>
      <c r="AJ78" s="77">
        <f t="shared" si="64"/>
        <v>37600.802526251769</v>
      </c>
      <c r="AK78" s="77">
        <f t="shared" si="65"/>
        <v>62558000</v>
      </c>
      <c r="AL78" s="77">
        <f t="shared" ref="AL78:AL104" si="81">SUM(AO78:AQ78)</f>
        <v>0</v>
      </c>
      <c r="AM78" s="78"/>
      <c r="AN78" s="78">
        <v>62558000</v>
      </c>
      <c r="AO78" s="78"/>
      <c r="AP78" s="78"/>
      <c r="AQ78" s="78"/>
      <c r="AR78" s="77">
        <f t="shared" si="66"/>
        <v>16004800</v>
      </c>
      <c r="AS78" s="77">
        <f t="shared" si="67"/>
        <v>16004800</v>
      </c>
      <c r="AT78" s="78">
        <v>8002400</v>
      </c>
      <c r="AU78" s="79">
        <f t="shared" ref="AU78:AU104" si="82">IF(ISERROR(AS78/Q78),0,AS78/Q78)</f>
        <v>8002400</v>
      </c>
      <c r="AV78" s="77">
        <f t="shared" si="68"/>
        <v>8111200</v>
      </c>
      <c r="AW78" s="80">
        <f t="shared" si="69"/>
        <v>8111200</v>
      </c>
      <c r="AX78" s="78">
        <v>4055600</v>
      </c>
      <c r="AY78" s="77">
        <f t="shared" si="70"/>
        <v>111793.6869665509</v>
      </c>
      <c r="AZ78" s="77">
        <f t="shared" si="71"/>
        <v>12058000</v>
      </c>
      <c r="BA78" s="81">
        <f t="shared" si="72"/>
        <v>2</v>
      </c>
      <c r="BB78" s="82">
        <v>2</v>
      </c>
      <c r="BC78" s="83"/>
      <c r="BD78" s="17"/>
      <c r="BE78" s="84"/>
      <c r="BF78" s="85">
        <f t="shared" si="78"/>
        <v>0</v>
      </c>
      <c r="BG78" s="62" t="s">
        <v>139</v>
      </c>
      <c r="BH78" s="86" t="s">
        <v>142</v>
      </c>
      <c r="BI78" s="87">
        <v>0.19</v>
      </c>
      <c r="BJ78" s="97" t="s">
        <v>262</v>
      </c>
      <c r="BK78" s="89">
        <v>10</v>
      </c>
      <c r="BL78" s="90" t="s">
        <v>263</v>
      </c>
      <c r="BM78" s="90"/>
      <c r="BN78" s="91" t="s">
        <v>118</v>
      </c>
      <c r="BO78" s="92"/>
      <c r="BP78" s="92"/>
    </row>
    <row r="79" spans="3:68" ht="40.15" customHeight="1" outlineLevel="1" x14ac:dyDescent="0.25">
      <c r="C79" s="93"/>
      <c r="D79" s="100"/>
      <c r="E79" s="61">
        <v>4</v>
      </c>
      <c r="F79" s="61" t="s">
        <v>264</v>
      </c>
      <c r="G79" s="62" t="s">
        <v>265</v>
      </c>
      <c r="H79" s="63">
        <v>693.25</v>
      </c>
      <c r="I79" s="64">
        <f t="shared" si="16"/>
        <v>209.708125</v>
      </c>
      <c r="J79" s="65">
        <v>252.4</v>
      </c>
      <c r="K79" s="64">
        <f t="shared" si="17"/>
        <v>76.350999999999999</v>
      </c>
      <c r="L79" s="66">
        <f t="shared" si="73"/>
        <v>0.36408222142084384</v>
      </c>
      <c r="M79" s="17">
        <v>41699</v>
      </c>
      <c r="N79" s="17">
        <v>44541</v>
      </c>
      <c r="O79" s="17">
        <v>45636</v>
      </c>
      <c r="P79" s="67">
        <f t="shared" si="74"/>
        <v>3</v>
      </c>
      <c r="Q79" s="68">
        <f t="shared" si="20"/>
        <v>36</v>
      </c>
      <c r="R79" s="69">
        <f t="shared" si="57"/>
        <v>6</v>
      </c>
      <c r="S79" s="70">
        <f t="shared" si="58"/>
        <v>0.35890410958904112</v>
      </c>
      <c r="T79" s="17">
        <v>45270</v>
      </c>
      <c r="U79" s="67">
        <f t="shared" si="75"/>
        <v>2</v>
      </c>
      <c r="V79" s="68">
        <f t="shared" si="59"/>
        <v>24</v>
      </c>
      <c r="W79" s="68" t="str">
        <f t="shared" si="76"/>
        <v>만료</v>
      </c>
      <c r="X79" s="71">
        <v>3</v>
      </c>
      <c r="Y79" s="72">
        <f t="shared" si="79"/>
        <v>45545</v>
      </c>
      <c r="Z79" s="73">
        <v>12</v>
      </c>
      <c r="AA79" s="166">
        <f t="shared" si="60"/>
        <v>4</v>
      </c>
      <c r="AB79" s="75">
        <v>0</v>
      </c>
      <c r="AC79" s="76"/>
      <c r="AD79" s="77">
        <f t="shared" si="61"/>
        <v>0</v>
      </c>
      <c r="AE79" s="78">
        <v>0</v>
      </c>
      <c r="AF79" s="77">
        <f t="shared" si="80"/>
        <v>283106.86827939388</v>
      </c>
      <c r="AG79" s="77">
        <f t="shared" si="77"/>
        <v>222143.24850580431</v>
      </c>
      <c r="AH79" s="77">
        <f t="shared" si="62"/>
        <v>615317.12230987719</v>
      </c>
      <c r="AI79" s="77">
        <f t="shared" si="63"/>
        <v>66587.310339072457</v>
      </c>
      <c r="AJ79" s="77">
        <f t="shared" si="64"/>
        <v>34948.574357812795</v>
      </c>
      <c r="AK79" s="77">
        <f t="shared" si="65"/>
        <v>129037000</v>
      </c>
      <c r="AL79" s="77">
        <f t="shared" si="81"/>
        <v>0</v>
      </c>
      <c r="AM79" s="78"/>
      <c r="AN79" s="78">
        <v>129037000</v>
      </c>
      <c r="AO79" s="78"/>
      <c r="AP79" s="78"/>
      <c r="AQ79" s="78"/>
      <c r="AR79" s="77">
        <f t="shared" si="66"/>
        <v>502700400</v>
      </c>
      <c r="AS79" s="77">
        <f t="shared" si="67"/>
        <v>335133600</v>
      </c>
      <c r="AT79" s="78">
        <v>13963900</v>
      </c>
      <c r="AU79" s="79">
        <f t="shared" si="82"/>
        <v>9309266.666666666</v>
      </c>
      <c r="AV79" s="77">
        <f t="shared" si="68"/>
        <v>263844000.00000003</v>
      </c>
      <c r="AW79" s="80">
        <f t="shared" si="69"/>
        <v>263844000.00000003</v>
      </c>
      <c r="AX79" s="78">
        <v>7329000</v>
      </c>
      <c r="AY79" s="77">
        <f t="shared" si="70"/>
        <v>101535.88469688526</v>
      </c>
      <c r="AZ79" s="77">
        <f t="shared" si="71"/>
        <v>21292900</v>
      </c>
      <c r="BA79" s="81">
        <f t="shared" si="72"/>
        <v>4</v>
      </c>
      <c r="BB79" s="82">
        <v>4</v>
      </c>
      <c r="BC79" s="83" t="s">
        <v>266</v>
      </c>
      <c r="BD79" s="17" t="s">
        <v>236</v>
      </c>
      <c r="BE79" s="84"/>
      <c r="BF79" s="85">
        <f t="shared" si="78"/>
        <v>0</v>
      </c>
      <c r="BG79" s="62" t="s">
        <v>240</v>
      </c>
      <c r="BH79" s="86" t="s">
        <v>137</v>
      </c>
      <c r="BI79" s="87">
        <v>0.19</v>
      </c>
      <c r="BJ79" s="88" t="s">
        <v>267</v>
      </c>
      <c r="BK79" s="89">
        <v>10</v>
      </c>
      <c r="BL79" s="90" t="s">
        <v>268</v>
      </c>
      <c r="BM79" s="90"/>
      <c r="BN79" s="91" t="s">
        <v>122</v>
      </c>
      <c r="BO79" s="92"/>
      <c r="BP79" s="92"/>
    </row>
    <row r="80" spans="3:68" ht="40.15" customHeight="1" outlineLevel="1" x14ac:dyDescent="0.25">
      <c r="C80" s="93"/>
      <c r="D80" s="100"/>
      <c r="E80" s="61">
        <v>5</v>
      </c>
      <c r="F80" s="61" t="s">
        <v>254</v>
      </c>
      <c r="G80" s="62" t="s">
        <v>269</v>
      </c>
      <c r="H80" s="63">
        <v>259.3</v>
      </c>
      <c r="I80" s="64">
        <f t="shared" si="16"/>
        <v>78.438249999999996</v>
      </c>
      <c r="J80" s="65">
        <v>94.4</v>
      </c>
      <c r="K80" s="64">
        <f t="shared" si="17"/>
        <v>28.556000000000001</v>
      </c>
      <c r="L80" s="66">
        <f t="shared" si="73"/>
        <v>0.36405707674508292</v>
      </c>
      <c r="M80" s="17">
        <v>43313</v>
      </c>
      <c r="N80" s="17">
        <v>45139</v>
      </c>
      <c r="O80" s="17">
        <v>46965</v>
      </c>
      <c r="P80" s="67">
        <f t="shared" si="74"/>
        <v>5</v>
      </c>
      <c r="Q80" s="68">
        <f t="shared" si="20"/>
        <v>60</v>
      </c>
      <c r="R80" s="69">
        <f t="shared" si="57"/>
        <v>50</v>
      </c>
      <c r="S80" s="70">
        <f t="shared" si="58"/>
        <v>4</v>
      </c>
      <c r="T80" s="17">
        <v>46965</v>
      </c>
      <c r="U80" s="67">
        <f t="shared" si="75"/>
        <v>5</v>
      </c>
      <c r="V80" s="68">
        <f t="shared" si="59"/>
        <v>60</v>
      </c>
      <c r="W80" s="68">
        <f t="shared" si="76"/>
        <v>50</v>
      </c>
      <c r="X80" s="71">
        <v>3</v>
      </c>
      <c r="Y80" s="72">
        <f t="shared" si="79"/>
        <v>46873</v>
      </c>
      <c r="Z80" s="73">
        <v>0</v>
      </c>
      <c r="AA80" s="166">
        <f t="shared" si="60"/>
        <v>0</v>
      </c>
      <c r="AB80" s="75">
        <v>0</v>
      </c>
      <c r="AC80" s="76"/>
      <c r="AD80" s="77">
        <f t="shared" si="61"/>
        <v>0</v>
      </c>
      <c r="AE80" s="78">
        <v>0</v>
      </c>
      <c r="AF80" s="77">
        <f t="shared" si="80"/>
        <v>305672.18798151001</v>
      </c>
      <c r="AG80" s="77">
        <f t="shared" si="77"/>
        <v>305672.18798151001</v>
      </c>
      <c r="AH80" s="77">
        <f t="shared" si="62"/>
        <v>579181.71300354099</v>
      </c>
      <c r="AI80" s="77">
        <f t="shared" si="63"/>
        <v>72399.626457754988</v>
      </c>
      <c r="AJ80" s="77">
        <f t="shared" si="64"/>
        <v>37434.542458558164</v>
      </c>
      <c r="AK80" s="77">
        <f t="shared" si="65"/>
        <v>45430000</v>
      </c>
      <c r="AL80" s="77">
        <f t="shared" si="81"/>
        <v>0</v>
      </c>
      <c r="AM80" s="78"/>
      <c r="AN80" s="78">
        <v>45430000</v>
      </c>
      <c r="AO80" s="78"/>
      <c r="AP80" s="78"/>
      <c r="AQ80" s="78"/>
      <c r="AR80" s="77">
        <f t="shared" si="66"/>
        <v>340734000</v>
      </c>
      <c r="AS80" s="77">
        <f t="shared" si="67"/>
        <v>340734000</v>
      </c>
      <c r="AT80" s="78">
        <v>5678900</v>
      </c>
      <c r="AU80" s="79">
        <f t="shared" si="82"/>
        <v>5678900</v>
      </c>
      <c r="AV80" s="77">
        <f t="shared" si="68"/>
        <v>176178000</v>
      </c>
      <c r="AW80" s="80">
        <f t="shared" si="69"/>
        <v>176178000</v>
      </c>
      <c r="AX80" s="78">
        <v>2936300</v>
      </c>
      <c r="AY80" s="77">
        <f t="shared" si="70"/>
        <v>109834.16891631315</v>
      </c>
      <c r="AZ80" s="77">
        <f t="shared" si="71"/>
        <v>8615200</v>
      </c>
      <c r="BA80" s="81">
        <f t="shared" si="72"/>
        <v>2</v>
      </c>
      <c r="BB80" s="82">
        <v>1</v>
      </c>
      <c r="BC80" s="83" t="s">
        <v>270</v>
      </c>
      <c r="BD80" s="17" t="s">
        <v>121</v>
      </c>
      <c r="BE80" s="84">
        <v>45505</v>
      </c>
      <c r="BF80" s="85">
        <f t="shared" si="78"/>
        <v>45505</v>
      </c>
      <c r="BG80" s="62" t="s">
        <v>240</v>
      </c>
      <c r="BH80" s="86" t="s">
        <v>137</v>
      </c>
      <c r="BI80" s="87">
        <v>0.19</v>
      </c>
      <c r="BJ80" s="97"/>
      <c r="BK80" s="89">
        <v>10</v>
      </c>
      <c r="BL80" s="18" t="s">
        <v>271</v>
      </c>
      <c r="BM80" s="18" t="s">
        <v>272</v>
      </c>
      <c r="BN80" s="91" t="s">
        <v>233</v>
      </c>
      <c r="BO80" s="92"/>
      <c r="BP80" s="92"/>
    </row>
    <row r="81" spans="3:68" ht="40.15" customHeight="1" outlineLevel="1" x14ac:dyDescent="0.25">
      <c r="C81" s="93"/>
      <c r="D81" s="101"/>
      <c r="E81" s="194">
        <v>6</v>
      </c>
      <c r="F81" s="194" t="s">
        <v>273</v>
      </c>
      <c r="G81" s="195" t="s">
        <v>274</v>
      </c>
      <c r="H81" s="196">
        <v>200.81</v>
      </c>
      <c r="I81" s="197">
        <f t="shared" si="16"/>
        <v>60.745024999999998</v>
      </c>
      <c r="J81" s="198">
        <v>73.11</v>
      </c>
      <c r="K81" s="197">
        <f t="shared" si="17"/>
        <v>22.115774999999999</v>
      </c>
      <c r="L81" s="199">
        <f t="shared" si="73"/>
        <v>0.36407549424829438</v>
      </c>
      <c r="M81" s="200"/>
      <c r="N81" s="200"/>
      <c r="O81" s="200"/>
      <c r="P81" s="201">
        <f t="shared" si="74"/>
        <v>8.3333333333333329E-2</v>
      </c>
      <c r="Q81" s="202">
        <f t="shared" si="20"/>
        <v>1</v>
      </c>
      <c r="R81" s="203">
        <f t="shared" si="57"/>
        <v>0</v>
      </c>
      <c r="S81" s="204"/>
      <c r="T81" s="200"/>
      <c r="U81" s="201">
        <f t="shared" si="75"/>
        <v>8.3333333333333329E-2</v>
      </c>
      <c r="V81" s="202">
        <f t="shared" si="59"/>
        <v>1</v>
      </c>
      <c r="W81" s="202" t="str">
        <f t="shared" si="76"/>
        <v>만료</v>
      </c>
      <c r="X81" s="205"/>
      <c r="Y81" s="206">
        <f t="shared" si="79"/>
        <v>0</v>
      </c>
      <c r="Z81" s="207"/>
      <c r="AA81" s="208">
        <f t="shared" si="60"/>
        <v>0</v>
      </c>
      <c r="AB81" s="209"/>
      <c r="AC81" s="210"/>
      <c r="AD81" s="211">
        <f t="shared" si="61"/>
        <v>0</v>
      </c>
      <c r="AE81" s="212"/>
      <c r="AF81" s="211">
        <f t="shared" si="80"/>
        <v>0</v>
      </c>
      <c r="AG81" s="211">
        <f t="shared" si="77"/>
        <v>0</v>
      </c>
      <c r="AH81" s="211">
        <f t="shared" si="62"/>
        <v>0</v>
      </c>
      <c r="AI81" s="211">
        <f t="shared" si="63"/>
        <v>0</v>
      </c>
      <c r="AJ81" s="211">
        <f t="shared" si="64"/>
        <v>0</v>
      </c>
      <c r="AK81" s="211">
        <f t="shared" si="65"/>
        <v>0</v>
      </c>
      <c r="AL81" s="211">
        <f t="shared" si="81"/>
        <v>0</v>
      </c>
      <c r="AM81" s="212"/>
      <c r="AN81" s="212"/>
      <c r="AO81" s="212"/>
      <c r="AP81" s="212"/>
      <c r="AQ81" s="212"/>
      <c r="AR81" s="211">
        <f t="shared" si="66"/>
        <v>0</v>
      </c>
      <c r="AS81" s="211">
        <f t="shared" si="67"/>
        <v>0</v>
      </c>
      <c r="AT81" s="212"/>
      <c r="AU81" s="213">
        <f t="shared" si="82"/>
        <v>0</v>
      </c>
      <c r="AV81" s="211">
        <f t="shared" si="68"/>
        <v>0</v>
      </c>
      <c r="AW81" s="214">
        <f t="shared" si="69"/>
        <v>0</v>
      </c>
      <c r="AX81" s="212"/>
      <c r="AY81" s="211">
        <f t="shared" si="70"/>
        <v>0</v>
      </c>
      <c r="AZ81" s="211">
        <f t="shared" si="71"/>
        <v>0</v>
      </c>
      <c r="BA81" s="215">
        <f t="shared" si="72"/>
        <v>1</v>
      </c>
      <c r="BB81" s="216"/>
      <c r="BC81" s="211"/>
      <c r="BD81" s="200" t="s">
        <v>244</v>
      </c>
      <c r="BE81" s="217"/>
      <c r="BF81" s="218">
        <f t="shared" si="78"/>
        <v>0</v>
      </c>
      <c r="BG81" s="195"/>
      <c r="BH81" s="219"/>
      <c r="BI81" s="220"/>
      <c r="BJ81" s="221"/>
      <c r="BK81" s="222"/>
      <c r="BL81" s="219"/>
      <c r="BM81" s="219"/>
      <c r="BN81" s="223"/>
      <c r="BO81" s="92"/>
      <c r="BP81" s="92"/>
    </row>
    <row r="82" spans="3:68" ht="40.15" customHeight="1" outlineLevel="1" x14ac:dyDescent="0.25">
      <c r="C82" s="93"/>
      <c r="D82" s="98">
        <v>9</v>
      </c>
      <c r="E82" s="61">
        <v>1</v>
      </c>
      <c r="F82" s="61" t="s">
        <v>234</v>
      </c>
      <c r="G82" s="62" t="s">
        <v>275</v>
      </c>
      <c r="H82" s="63">
        <v>72.16</v>
      </c>
      <c r="I82" s="64">
        <f t="shared" si="16"/>
        <v>21.828399999999998</v>
      </c>
      <c r="J82" s="65">
        <v>27.91</v>
      </c>
      <c r="K82" s="64">
        <f t="shared" si="17"/>
        <v>8.4427749999999993</v>
      </c>
      <c r="L82" s="66">
        <f t="shared" si="73"/>
        <v>0.38677937915742794</v>
      </c>
      <c r="M82" s="17">
        <v>43678</v>
      </c>
      <c r="N82" s="17">
        <v>45505</v>
      </c>
      <c r="O82" s="17">
        <v>45869</v>
      </c>
      <c r="P82" s="67">
        <f t="shared" si="74"/>
        <v>1</v>
      </c>
      <c r="Q82" s="68">
        <f t="shared" si="20"/>
        <v>12</v>
      </c>
      <c r="R82" s="69">
        <f t="shared" si="57"/>
        <v>14</v>
      </c>
      <c r="S82" s="70">
        <f t="shared" si="58"/>
        <v>0.99726027397260275</v>
      </c>
      <c r="T82" s="17">
        <v>45504</v>
      </c>
      <c r="U82" s="67" t="e">
        <f t="shared" si="75"/>
        <v>#NUM!</v>
      </c>
      <c r="V82" s="68" t="e">
        <f t="shared" si="59"/>
        <v>#NUM!</v>
      </c>
      <c r="W82" s="68">
        <f t="shared" si="76"/>
        <v>2</v>
      </c>
      <c r="X82" s="71">
        <v>2</v>
      </c>
      <c r="Y82" s="72">
        <f t="shared" si="79"/>
        <v>45808</v>
      </c>
      <c r="Z82" s="73">
        <v>1</v>
      </c>
      <c r="AA82" s="166">
        <f t="shared" si="60"/>
        <v>1</v>
      </c>
      <c r="AB82" s="75">
        <v>0</v>
      </c>
      <c r="AC82" s="76"/>
      <c r="AD82" s="77">
        <f t="shared" si="61"/>
        <v>0</v>
      </c>
      <c r="AE82" s="78">
        <v>0</v>
      </c>
      <c r="AF82" s="77">
        <f t="shared" si="80"/>
        <v>265672.86822164519</v>
      </c>
      <c r="AG82" s="77">
        <f t="shared" si="77"/>
        <v>251607.5875526708</v>
      </c>
      <c r="AH82" s="77">
        <f t="shared" si="62"/>
        <v>550040.3144527314</v>
      </c>
      <c r="AI82" s="77">
        <f t="shared" si="63"/>
        <v>65281.926297850514</v>
      </c>
      <c r="AJ82" s="77">
        <f t="shared" si="64"/>
        <v>36099.759945758742</v>
      </c>
      <c r="AK82" s="77">
        <f t="shared" si="65"/>
        <v>12006500</v>
      </c>
      <c r="AL82" s="77">
        <f t="shared" si="81"/>
        <v>0</v>
      </c>
      <c r="AM82" s="78"/>
      <c r="AN82" s="78">
        <v>12006500</v>
      </c>
      <c r="AO82" s="78"/>
      <c r="AP82" s="78"/>
      <c r="AQ82" s="78"/>
      <c r="AR82" s="77">
        <f t="shared" si="66"/>
        <v>17100000</v>
      </c>
      <c r="AS82" s="77">
        <f t="shared" si="67"/>
        <v>15675000</v>
      </c>
      <c r="AT82" s="78">
        <v>1425000</v>
      </c>
      <c r="AU82" s="79">
        <f t="shared" si="82"/>
        <v>1306250</v>
      </c>
      <c r="AV82" s="77">
        <f t="shared" si="68"/>
        <v>9456000</v>
      </c>
      <c r="AW82" s="80">
        <f t="shared" si="69"/>
        <v>9456000</v>
      </c>
      <c r="AX82" s="78">
        <v>788000</v>
      </c>
      <c r="AY82" s="77">
        <f t="shared" si="70"/>
        <v>101381.68624360925</v>
      </c>
      <c r="AZ82" s="77">
        <f t="shared" si="71"/>
        <v>2213000</v>
      </c>
      <c r="BA82" s="81">
        <f t="shared" si="72"/>
        <v>0</v>
      </c>
      <c r="BB82" s="82">
        <v>0</v>
      </c>
      <c r="BC82" s="77"/>
      <c r="BD82" s="17" t="s">
        <v>236</v>
      </c>
      <c r="BE82" s="84"/>
      <c r="BF82" s="85">
        <f t="shared" si="78"/>
        <v>0</v>
      </c>
      <c r="BG82" s="62" t="s">
        <v>240</v>
      </c>
      <c r="BH82" s="86" t="s">
        <v>163</v>
      </c>
      <c r="BI82" s="87">
        <v>0.19</v>
      </c>
      <c r="BJ82" s="97" t="s">
        <v>276</v>
      </c>
      <c r="BK82" s="89">
        <v>10</v>
      </c>
      <c r="BL82" s="90"/>
      <c r="BM82" s="90"/>
      <c r="BN82" s="91" t="s">
        <v>118</v>
      </c>
      <c r="BO82" s="92"/>
      <c r="BP82" s="92"/>
    </row>
    <row r="83" spans="3:68" ht="40.15" customHeight="1" outlineLevel="1" x14ac:dyDescent="0.25">
      <c r="C83" s="93"/>
      <c r="D83" s="100"/>
      <c r="E83" s="61">
        <v>2</v>
      </c>
      <c r="F83" s="61" t="s">
        <v>94</v>
      </c>
      <c r="G83" s="62" t="s">
        <v>277</v>
      </c>
      <c r="H83" s="63">
        <v>112.5</v>
      </c>
      <c r="I83" s="64">
        <f t="shared" si="16"/>
        <v>34.03125</v>
      </c>
      <c r="J83" s="65">
        <v>40.96</v>
      </c>
      <c r="K83" s="64">
        <f t="shared" si="17"/>
        <v>12.3904</v>
      </c>
      <c r="L83" s="66">
        <f t="shared" si="73"/>
        <v>0.36408888888888891</v>
      </c>
      <c r="M83" s="17"/>
      <c r="N83" s="91"/>
      <c r="O83" s="91"/>
      <c r="P83" s="67">
        <f t="shared" si="74"/>
        <v>8.3333333333333329E-2</v>
      </c>
      <c r="Q83" s="68">
        <f t="shared" si="20"/>
        <v>1</v>
      </c>
      <c r="R83" s="69">
        <f t="shared" si="57"/>
        <v>0</v>
      </c>
      <c r="S83" s="70"/>
      <c r="T83" s="17"/>
      <c r="U83" s="67"/>
      <c r="V83" s="68"/>
      <c r="W83" s="68" t="str">
        <f t="shared" si="76"/>
        <v>만료</v>
      </c>
      <c r="X83" s="71"/>
      <c r="Y83" s="72">
        <f t="shared" si="79"/>
        <v>0</v>
      </c>
      <c r="Z83" s="73"/>
      <c r="AA83" s="166">
        <f t="shared" si="60"/>
        <v>0</v>
      </c>
      <c r="AB83" s="75"/>
      <c r="AC83" s="76"/>
      <c r="AD83" s="77">
        <f t="shared" si="61"/>
        <v>0</v>
      </c>
      <c r="AE83" s="78"/>
      <c r="AF83" s="77">
        <f t="shared" si="80"/>
        <v>0</v>
      </c>
      <c r="AG83" s="77">
        <f t="shared" si="77"/>
        <v>0</v>
      </c>
      <c r="AH83" s="77">
        <f t="shared" si="62"/>
        <v>0</v>
      </c>
      <c r="AI83" s="77">
        <f t="shared" si="63"/>
        <v>0</v>
      </c>
      <c r="AJ83" s="77">
        <f t="shared" si="64"/>
        <v>0</v>
      </c>
      <c r="AK83" s="77">
        <f t="shared" si="65"/>
        <v>0</v>
      </c>
      <c r="AL83" s="77">
        <f t="shared" si="81"/>
        <v>0</v>
      </c>
      <c r="AM83" s="78"/>
      <c r="AN83" s="78"/>
      <c r="AO83" s="78"/>
      <c r="AP83" s="78"/>
      <c r="AQ83" s="78"/>
      <c r="AR83" s="77">
        <f t="shared" si="66"/>
        <v>0</v>
      </c>
      <c r="AS83" s="77">
        <f t="shared" si="67"/>
        <v>0</v>
      </c>
      <c r="AT83" s="78"/>
      <c r="AU83" s="79">
        <f t="shared" si="82"/>
        <v>0</v>
      </c>
      <c r="AV83" s="77">
        <f t="shared" si="68"/>
        <v>0</v>
      </c>
      <c r="AW83" s="80">
        <f t="shared" si="69"/>
        <v>0</v>
      </c>
      <c r="AX83" s="78"/>
      <c r="AY83" s="77">
        <f t="shared" si="70"/>
        <v>0</v>
      </c>
      <c r="AZ83" s="77">
        <f t="shared" si="71"/>
        <v>0</v>
      </c>
      <c r="BA83" s="81">
        <f t="shared" si="72"/>
        <v>1</v>
      </c>
      <c r="BB83" s="82"/>
      <c r="BC83" s="77"/>
      <c r="BD83" s="17" t="s">
        <v>244</v>
      </c>
      <c r="BE83" s="84"/>
      <c r="BF83" s="85">
        <f t="shared" si="78"/>
        <v>0</v>
      </c>
      <c r="BG83" s="62"/>
      <c r="BH83" s="90"/>
      <c r="BI83" s="87"/>
      <c r="BJ83" s="97"/>
      <c r="BK83" s="224"/>
      <c r="BL83" s="18" t="s">
        <v>278</v>
      </c>
      <c r="BM83" s="90"/>
      <c r="BN83" s="91"/>
      <c r="BO83" s="92"/>
      <c r="BP83" s="92"/>
    </row>
    <row r="84" spans="3:68" ht="40.15" customHeight="1" outlineLevel="1" x14ac:dyDescent="0.25">
      <c r="C84" s="93"/>
      <c r="D84" s="100"/>
      <c r="E84" s="61">
        <v>3</v>
      </c>
      <c r="F84" s="61" t="s">
        <v>234</v>
      </c>
      <c r="G84" s="62" t="s">
        <v>279</v>
      </c>
      <c r="H84" s="63">
        <v>737.75</v>
      </c>
      <c r="I84" s="64">
        <f t="shared" si="16"/>
        <v>223.169375</v>
      </c>
      <c r="J84" s="65">
        <v>275.19</v>
      </c>
      <c r="K84" s="64">
        <f t="shared" si="17"/>
        <v>83.244974999999997</v>
      </c>
      <c r="L84" s="66">
        <f t="shared" si="73"/>
        <v>0.37301253812267027</v>
      </c>
      <c r="M84" s="17">
        <v>43136</v>
      </c>
      <c r="N84" s="17">
        <v>44962</v>
      </c>
      <c r="O84" s="17">
        <v>46787</v>
      </c>
      <c r="P84" s="67">
        <f t="shared" si="74"/>
        <v>5</v>
      </c>
      <c r="Q84" s="68">
        <f t="shared" si="20"/>
        <v>60</v>
      </c>
      <c r="R84" s="69">
        <f t="shared" si="57"/>
        <v>44</v>
      </c>
      <c r="S84" s="70">
        <f t="shared" si="58"/>
        <v>3.5123287671232877</v>
      </c>
      <c r="T84" s="17">
        <v>45692</v>
      </c>
      <c r="U84" s="67">
        <f t="shared" si="75"/>
        <v>2</v>
      </c>
      <c r="V84" s="68">
        <f t="shared" ref="V84:V95" si="83">DATEDIF(N84,T84,"m")+1</f>
        <v>24</v>
      </c>
      <c r="W84" s="68">
        <f t="shared" si="76"/>
        <v>8</v>
      </c>
      <c r="X84" s="71">
        <v>3</v>
      </c>
      <c r="Y84" s="72">
        <f t="shared" si="79"/>
        <v>46695</v>
      </c>
      <c r="Z84" s="73">
        <v>5</v>
      </c>
      <c r="AA84" s="166">
        <f t="shared" si="60"/>
        <v>1</v>
      </c>
      <c r="AB84" s="75">
        <v>0</v>
      </c>
      <c r="AC84" s="76"/>
      <c r="AD84" s="77">
        <f t="shared" si="61"/>
        <v>0</v>
      </c>
      <c r="AE84" s="78">
        <v>0</v>
      </c>
      <c r="AF84" s="77">
        <f t="shared" si="80"/>
        <v>283860.97779475577</v>
      </c>
      <c r="AG84" s="77">
        <f t="shared" si="77"/>
        <v>268937.35427673964</v>
      </c>
      <c r="AH84" s="77">
        <f t="shared" si="62"/>
        <v>327105.81368971436</v>
      </c>
      <c r="AI84" s="77">
        <f t="shared" si="63"/>
        <v>66800.38423730855</v>
      </c>
      <c r="AJ84" s="77">
        <f t="shared" si="64"/>
        <v>38265.555029671967</v>
      </c>
      <c r="AK84" s="77">
        <f t="shared" si="65"/>
        <v>73000000</v>
      </c>
      <c r="AL84" s="77">
        <f t="shared" si="81"/>
        <v>0</v>
      </c>
      <c r="AM84" s="78">
        <v>73000000</v>
      </c>
      <c r="AN84" s="78"/>
      <c r="AO84" s="78"/>
      <c r="AP84" s="78"/>
      <c r="AQ84" s="78"/>
      <c r="AR84" s="77">
        <f t="shared" si="66"/>
        <v>894468000.00000012</v>
      </c>
      <c r="AS84" s="77">
        <f t="shared" si="67"/>
        <v>819929000</v>
      </c>
      <c r="AT84" s="78">
        <v>14907800</v>
      </c>
      <c r="AU84" s="79">
        <f t="shared" si="82"/>
        <v>13665483.333333334</v>
      </c>
      <c r="AV84" s="77">
        <f t="shared" si="68"/>
        <v>512381999.99999994</v>
      </c>
      <c r="AW84" s="80">
        <f t="shared" si="69"/>
        <v>512381999.99999994</v>
      </c>
      <c r="AX84" s="78">
        <v>8539700</v>
      </c>
      <c r="AY84" s="77">
        <f t="shared" si="70"/>
        <v>105065.93926698051</v>
      </c>
      <c r="AZ84" s="77">
        <f t="shared" si="71"/>
        <v>23447500</v>
      </c>
      <c r="BA84" s="81">
        <f t="shared" si="72"/>
        <v>4</v>
      </c>
      <c r="BB84" s="82">
        <v>4</v>
      </c>
      <c r="BC84" s="83" t="s">
        <v>132</v>
      </c>
      <c r="BD84" s="17" t="s">
        <v>121</v>
      </c>
      <c r="BE84" s="84">
        <v>45693</v>
      </c>
      <c r="BF84" s="85">
        <f t="shared" si="78"/>
        <v>45693</v>
      </c>
      <c r="BG84" s="62" t="s">
        <v>139</v>
      </c>
      <c r="BH84" s="86" t="s">
        <v>163</v>
      </c>
      <c r="BI84" s="87">
        <v>0.19</v>
      </c>
      <c r="BJ84" s="97" t="s">
        <v>280</v>
      </c>
      <c r="BK84" s="89" t="s">
        <v>281</v>
      </c>
      <c r="BL84" s="90"/>
      <c r="BM84" s="90"/>
      <c r="BN84" s="91" t="s">
        <v>233</v>
      </c>
      <c r="BO84" s="92"/>
      <c r="BP84" s="92"/>
    </row>
    <row r="85" spans="3:68" ht="40.15" customHeight="1" outlineLevel="1" x14ac:dyDescent="0.25">
      <c r="C85" s="93"/>
      <c r="D85" s="100"/>
      <c r="E85" s="61">
        <v>4</v>
      </c>
      <c r="F85" s="61" t="s">
        <v>213</v>
      </c>
      <c r="G85" s="62" t="s">
        <v>282</v>
      </c>
      <c r="H85" s="63">
        <v>658.78</v>
      </c>
      <c r="I85" s="64">
        <f t="shared" si="16"/>
        <v>199.28094999999999</v>
      </c>
      <c r="J85" s="65">
        <v>245.72</v>
      </c>
      <c r="K85" s="64">
        <f t="shared" si="17"/>
        <v>74.330299999999994</v>
      </c>
      <c r="L85" s="66">
        <f t="shared" si="73"/>
        <v>0.37299250129026384</v>
      </c>
      <c r="M85" s="17">
        <v>45061</v>
      </c>
      <c r="N85" s="17">
        <v>45061</v>
      </c>
      <c r="O85" s="17">
        <v>46156</v>
      </c>
      <c r="P85" s="67">
        <f t="shared" si="74"/>
        <v>3</v>
      </c>
      <c r="Q85" s="68">
        <f t="shared" si="20"/>
        <v>36</v>
      </c>
      <c r="R85" s="69">
        <f t="shared" si="57"/>
        <v>23</v>
      </c>
      <c r="S85" s="70">
        <f t="shared" si="58"/>
        <v>1.7835616438356163</v>
      </c>
      <c r="T85" s="17">
        <v>45791</v>
      </c>
      <c r="U85" s="67">
        <f t="shared" si="75"/>
        <v>2</v>
      </c>
      <c r="V85" s="68">
        <f t="shared" si="83"/>
        <v>24</v>
      </c>
      <c r="W85" s="68">
        <f t="shared" si="76"/>
        <v>11</v>
      </c>
      <c r="X85" s="71">
        <v>3</v>
      </c>
      <c r="Y85" s="72">
        <f t="shared" si="79"/>
        <v>46067</v>
      </c>
      <c r="Z85" s="73">
        <v>9</v>
      </c>
      <c r="AA85" s="166">
        <f t="shared" si="60"/>
        <v>3</v>
      </c>
      <c r="AB85" s="75">
        <v>1</v>
      </c>
      <c r="AC85" s="76"/>
      <c r="AD85" s="77">
        <f t="shared" si="61"/>
        <v>0</v>
      </c>
      <c r="AE85" s="78">
        <v>0</v>
      </c>
      <c r="AF85" s="77">
        <f t="shared" si="80"/>
        <v>248396.34711551017</v>
      </c>
      <c r="AG85" s="77">
        <f t="shared" si="77"/>
        <v>204885.60295509821</v>
      </c>
      <c r="AH85" s="77">
        <f t="shared" si="62"/>
        <v>569999.28994718264</v>
      </c>
      <c r="AI85" s="77">
        <f t="shared" si="63"/>
        <v>58425.05267061403</v>
      </c>
      <c r="AJ85" s="77">
        <f t="shared" si="64"/>
        <v>32799.92392649674</v>
      </c>
      <c r="AK85" s="77">
        <f t="shared" si="65"/>
        <v>113590000</v>
      </c>
      <c r="AL85" s="77">
        <f t="shared" si="81"/>
        <v>0</v>
      </c>
      <c r="AM85" s="78">
        <v>113590000</v>
      </c>
      <c r="AN85" s="78"/>
      <c r="AO85" s="78"/>
      <c r="AP85" s="78"/>
      <c r="AQ85" s="78"/>
      <c r="AR85" s="77">
        <f t="shared" si="66"/>
        <v>419148000.00000006</v>
      </c>
      <c r="AS85" s="77">
        <f t="shared" si="67"/>
        <v>302718000</v>
      </c>
      <c r="AT85" s="78">
        <v>11643000</v>
      </c>
      <c r="AU85" s="79">
        <f t="shared" si="82"/>
        <v>8408833.333333334</v>
      </c>
      <c r="AV85" s="77">
        <f t="shared" si="68"/>
        <v>235310400.00000003</v>
      </c>
      <c r="AW85" s="80">
        <f t="shared" si="69"/>
        <v>235310400.00000003</v>
      </c>
      <c r="AX85" s="78">
        <v>6536400</v>
      </c>
      <c r="AY85" s="77">
        <f t="shared" si="70"/>
        <v>91224.97659711077</v>
      </c>
      <c r="AZ85" s="77">
        <f t="shared" si="71"/>
        <v>18179400</v>
      </c>
      <c r="BA85" s="81">
        <f t="shared" si="72"/>
        <v>4</v>
      </c>
      <c r="BB85" s="82">
        <v>4</v>
      </c>
      <c r="BC85" s="83" t="s">
        <v>266</v>
      </c>
      <c r="BD85" s="17" t="s">
        <v>236</v>
      </c>
      <c r="BE85" s="84">
        <v>45792</v>
      </c>
      <c r="BF85" s="85">
        <f t="shared" si="78"/>
        <v>45792</v>
      </c>
      <c r="BG85" s="62" t="s">
        <v>130</v>
      </c>
      <c r="BH85" s="86" t="s">
        <v>137</v>
      </c>
      <c r="BI85" s="87">
        <v>0.19</v>
      </c>
      <c r="BJ85" s="88" t="s">
        <v>283</v>
      </c>
      <c r="BK85" s="89">
        <v>10</v>
      </c>
      <c r="BL85" s="90"/>
      <c r="BM85" s="90"/>
      <c r="BN85" s="91" t="s">
        <v>122</v>
      </c>
      <c r="BO85" s="92"/>
      <c r="BP85" s="92"/>
    </row>
    <row r="86" spans="3:68" ht="40.15" customHeight="1" outlineLevel="1" x14ac:dyDescent="0.25">
      <c r="C86" s="93"/>
      <c r="D86" s="100"/>
      <c r="E86" s="61">
        <v>5</v>
      </c>
      <c r="F86" s="61" t="s">
        <v>234</v>
      </c>
      <c r="G86" s="62" t="s">
        <v>284</v>
      </c>
      <c r="H86" s="63">
        <v>213.16</v>
      </c>
      <c r="I86" s="64">
        <f t="shared" si="16"/>
        <v>64.480899999999991</v>
      </c>
      <c r="J86" s="65">
        <v>79.5</v>
      </c>
      <c r="K86" s="64">
        <f t="shared" si="17"/>
        <v>24.048749999999998</v>
      </c>
      <c r="L86" s="66">
        <f t="shared" si="73"/>
        <v>0.37295927941452428</v>
      </c>
      <c r="M86" s="17">
        <v>43525</v>
      </c>
      <c r="N86" s="17">
        <v>45352</v>
      </c>
      <c r="O86" s="17">
        <v>45716</v>
      </c>
      <c r="P86" s="67">
        <f t="shared" si="74"/>
        <v>1</v>
      </c>
      <c r="Q86" s="68">
        <f t="shared" si="20"/>
        <v>12</v>
      </c>
      <c r="R86" s="69">
        <f t="shared" si="57"/>
        <v>9</v>
      </c>
      <c r="S86" s="70">
        <f t="shared" si="58"/>
        <v>0.57808219178082187</v>
      </c>
      <c r="T86" s="17">
        <v>45716</v>
      </c>
      <c r="U86" s="67">
        <f t="shared" si="75"/>
        <v>1</v>
      </c>
      <c r="V86" s="68">
        <f t="shared" si="83"/>
        <v>12</v>
      </c>
      <c r="W86" s="68">
        <f t="shared" si="76"/>
        <v>9</v>
      </c>
      <c r="X86" s="71">
        <v>3</v>
      </c>
      <c r="Y86" s="72">
        <f t="shared" si="79"/>
        <v>45624</v>
      </c>
      <c r="Z86" s="73">
        <v>2</v>
      </c>
      <c r="AA86" s="166">
        <f t="shared" si="60"/>
        <v>2</v>
      </c>
      <c r="AB86" s="75">
        <v>0</v>
      </c>
      <c r="AC86" s="76"/>
      <c r="AD86" s="77">
        <f t="shared" si="61"/>
        <v>0</v>
      </c>
      <c r="AE86" s="78">
        <v>0</v>
      </c>
      <c r="AF86" s="77">
        <f t="shared" si="80"/>
        <v>271378.45002339</v>
      </c>
      <c r="AG86" s="77">
        <f t="shared" si="77"/>
        <v>242609.10996760053</v>
      </c>
      <c r="AH86" s="77">
        <f t="shared" si="62"/>
        <v>509995.98330668471</v>
      </c>
      <c r="AI86" s="77">
        <f t="shared" si="63"/>
        <v>64378.75401863188</v>
      </c>
      <c r="AJ86" s="77">
        <f t="shared" si="64"/>
        <v>35559.367192455444</v>
      </c>
      <c r="AK86" s="77">
        <f t="shared" si="65"/>
        <v>32885000</v>
      </c>
      <c r="AL86" s="77">
        <f t="shared" si="81"/>
        <v>0</v>
      </c>
      <c r="AM86" s="78">
        <v>32885000</v>
      </c>
      <c r="AN86" s="78"/>
      <c r="AO86" s="78"/>
      <c r="AP86" s="78"/>
      <c r="AQ86" s="78"/>
      <c r="AR86" s="77">
        <f t="shared" si="66"/>
        <v>49814400</v>
      </c>
      <c r="AS86" s="77">
        <f t="shared" si="67"/>
        <v>41512000</v>
      </c>
      <c r="AT86" s="78">
        <v>4151200</v>
      </c>
      <c r="AU86" s="79">
        <f t="shared" si="82"/>
        <v>3459333.3333333335</v>
      </c>
      <c r="AV86" s="77">
        <f t="shared" si="68"/>
        <v>27514800</v>
      </c>
      <c r="AW86" s="80">
        <f t="shared" si="69"/>
        <v>27514800</v>
      </c>
      <c r="AX86" s="78">
        <v>2292900</v>
      </c>
      <c r="AY86" s="77">
        <f t="shared" si="70"/>
        <v>99938.121211087331</v>
      </c>
      <c r="AZ86" s="77">
        <f t="shared" si="71"/>
        <v>6444100</v>
      </c>
      <c r="BA86" s="81">
        <f t="shared" si="72"/>
        <v>1</v>
      </c>
      <c r="BB86" s="82">
        <v>1</v>
      </c>
      <c r="BC86" s="77"/>
      <c r="BD86" s="17" t="s">
        <v>244</v>
      </c>
      <c r="BE86" s="84"/>
      <c r="BF86" s="85">
        <f t="shared" si="78"/>
        <v>0</v>
      </c>
      <c r="BG86" s="62" t="s">
        <v>130</v>
      </c>
      <c r="BH86" s="86" t="s">
        <v>137</v>
      </c>
      <c r="BI86" s="87">
        <v>0.19</v>
      </c>
      <c r="BJ86" s="97" t="s">
        <v>285</v>
      </c>
      <c r="BK86" s="89">
        <v>10</v>
      </c>
      <c r="BL86" s="90"/>
      <c r="BM86" s="90"/>
      <c r="BN86" s="91" t="s">
        <v>118</v>
      </c>
      <c r="BO86" s="92"/>
      <c r="BP86" s="92"/>
    </row>
    <row r="87" spans="3:68" ht="40.15" customHeight="1" outlineLevel="1" x14ac:dyDescent="0.25">
      <c r="C87" s="93"/>
      <c r="D87" s="100"/>
      <c r="E87" s="61">
        <v>6</v>
      </c>
      <c r="F87" s="61" t="s">
        <v>94</v>
      </c>
      <c r="G87" s="62" t="s">
        <v>197</v>
      </c>
      <c r="H87" s="63">
        <v>193.36</v>
      </c>
      <c r="I87" s="64">
        <f t="shared" si="16"/>
        <v>58.491400000000006</v>
      </c>
      <c r="J87" s="65">
        <v>72.13</v>
      </c>
      <c r="K87" s="64">
        <f t="shared" si="17"/>
        <v>21.819324999999999</v>
      </c>
      <c r="L87" s="66">
        <f t="shared" si="73"/>
        <v>0.37303475382705831</v>
      </c>
      <c r="M87" s="17">
        <v>44136</v>
      </c>
      <c r="N87" s="17">
        <v>45231</v>
      </c>
      <c r="O87" s="17">
        <v>47057</v>
      </c>
      <c r="P87" s="67">
        <f t="shared" si="74"/>
        <v>5</v>
      </c>
      <c r="Q87" s="68">
        <f t="shared" si="20"/>
        <v>60</v>
      </c>
      <c r="R87" s="69">
        <f t="shared" si="57"/>
        <v>53</v>
      </c>
      <c r="S87" s="70">
        <f t="shared" si="58"/>
        <v>4.2520547945205482</v>
      </c>
      <c r="T87" s="17">
        <v>45961</v>
      </c>
      <c r="U87" s="67">
        <f t="shared" si="75"/>
        <v>2</v>
      </c>
      <c r="V87" s="68">
        <f t="shared" si="83"/>
        <v>24</v>
      </c>
      <c r="W87" s="68">
        <f t="shared" si="76"/>
        <v>17</v>
      </c>
      <c r="X87" s="71">
        <v>3</v>
      </c>
      <c r="Y87" s="72">
        <f t="shared" si="79"/>
        <v>46965</v>
      </c>
      <c r="Z87" s="73">
        <v>15</v>
      </c>
      <c r="AA87" s="166">
        <f t="shared" si="60"/>
        <v>3</v>
      </c>
      <c r="AB87" s="75">
        <v>0</v>
      </c>
      <c r="AC87" s="76"/>
      <c r="AD87" s="77">
        <f t="shared" si="61"/>
        <v>0</v>
      </c>
      <c r="AE87" s="78">
        <v>0</v>
      </c>
      <c r="AF87" s="77">
        <f t="shared" si="80"/>
        <v>257500.06015309822</v>
      </c>
      <c r="AG87" s="77">
        <f t="shared" si="77"/>
        <v>216440.81565309651</v>
      </c>
      <c r="AH87" s="77">
        <f t="shared" si="62"/>
        <v>550080.86658893444</v>
      </c>
      <c r="AI87" s="77">
        <f t="shared" si="63"/>
        <v>61266.100657532552</v>
      </c>
      <c r="AJ87" s="77">
        <f t="shared" si="64"/>
        <v>33415.168725658812</v>
      </c>
      <c r="AK87" s="77">
        <f t="shared" si="65"/>
        <v>32175000</v>
      </c>
      <c r="AL87" s="77">
        <f t="shared" si="81"/>
        <v>0</v>
      </c>
      <c r="AM87" s="78">
        <v>32175000</v>
      </c>
      <c r="AN87" s="78"/>
      <c r="AO87" s="78"/>
      <c r="AP87" s="78"/>
      <c r="AQ87" s="78"/>
      <c r="AR87" s="77">
        <f t="shared" si="66"/>
        <v>215012400</v>
      </c>
      <c r="AS87" s="77">
        <f t="shared" si="67"/>
        <v>161259300</v>
      </c>
      <c r="AT87" s="78">
        <v>3583540</v>
      </c>
      <c r="AU87" s="79">
        <f t="shared" si="82"/>
        <v>2687655</v>
      </c>
      <c r="AV87" s="77">
        <f t="shared" si="68"/>
        <v>117270000</v>
      </c>
      <c r="AW87" s="80">
        <f t="shared" si="69"/>
        <v>117270000</v>
      </c>
      <c r="AX87" s="78">
        <v>1954500</v>
      </c>
      <c r="AY87" s="77">
        <f t="shared" si="70"/>
        <v>94681.269383191364</v>
      </c>
      <c r="AZ87" s="77">
        <f t="shared" si="71"/>
        <v>5538040</v>
      </c>
      <c r="BA87" s="81">
        <f t="shared" si="72"/>
        <v>1</v>
      </c>
      <c r="BB87" s="82">
        <v>1</v>
      </c>
      <c r="BC87" s="83" t="s">
        <v>132</v>
      </c>
      <c r="BD87" s="17" t="s">
        <v>121</v>
      </c>
      <c r="BE87" s="84">
        <v>45597</v>
      </c>
      <c r="BF87" s="85">
        <f t="shared" si="78"/>
        <v>45597</v>
      </c>
      <c r="BG87" s="62" t="s">
        <v>130</v>
      </c>
      <c r="BH87" s="86" t="s">
        <v>137</v>
      </c>
      <c r="BI87" s="87">
        <v>0.19</v>
      </c>
      <c r="BJ87" s="88" t="s">
        <v>286</v>
      </c>
      <c r="BK87" s="89">
        <v>10</v>
      </c>
      <c r="BL87" s="90"/>
      <c r="BM87" s="90"/>
      <c r="BN87" s="91" t="s">
        <v>122</v>
      </c>
      <c r="BO87" s="92"/>
      <c r="BP87" s="92"/>
    </row>
    <row r="88" spans="3:68" ht="40.15" customHeight="1" outlineLevel="1" x14ac:dyDescent="0.25">
      <c r="C88" s="93"/>
      <c r="D88" s="101"/>
      <c r="E88" s="61">
        <v>7</v>
      </c>
      <c r="F88" s="61" t="s">
        <v>213</v>
      </c>
      <c r="G88" s="62" t="s">
        <v>287</v>
      </c>
      <c r="H88" s="63">
        <v>172.16</v>
      </c>
      <c r="I88" s="64">
        <f t="shared" si="16"/>
        <v>52.078399999999995</v>
      </c>
      <c r="J88" s="65">
        <v>64.19</v>
      </c>
      <c r="K88" s="64">
        <f t="shared" si="17"/>
        <v>19.417475</v>
      </c>
      <c r="L88" s="66">
        <f t="shared" si="73"/>
        <v>0.37285083643122674</v>
      </c>
      <c r="M88" s="17">
        <v>43466</v>
      </c>
      <c r="N88" s="17">
        <v>44927</v>
      </c>
      <c r="O88" s="17">
        <v>45657</v>
      </c>
      <c r="P88" s="67">
        <f t="shared" si="74"/>
        <v>2</v>
      </c>
      <c r="Q88" s="68">
        <f t="shared" si="20"/>
        <v>24</v>
      </c>
      <c r="R88" s="69">
        <f t="shared" si="57"/>
        <v>7</v>
      </c>
      <c r="S88" s="70">
        <f t="shared" si="58"/>
        <v>0.41643835616438357</v>
      </c>
      <c r="T88" s="17">
        <v>45657</v>
      </c>
      <c r="U88" s="67">
        <f t="shared" si="75"/>
        <v>2</v>
      </c>
      <c r="V88" s="68">
        <f t="shared" si="83"/>
        <v>24</v>
      </c>
      <c r="W88" s="68">
        <f t="shared" si="76"/>
        <v>7</v>
      </c>
      <c r="X88" s="71">
        <v>3</v>
      </c>
      <c r="Y88" s="72">
        <f t="shared" si="79"/>
        <v>45565</v>
      </c>
      <c r="Z88" s="73">
        <v>2</v>
      </c>
      <c r="AA88" s="166">
        <f t="shared" si="60"/>
        <v>1</v>
      </c>
      <c r="AB88" s="75">
        <v>0</v>
      </c>
      <c r="AC88" s="76"/>
      <c r="AD88" s="77">
        <f t="shared" si="61"/>
        <v>0</v>
      </c>
      <c r="AE88" s="78">
        <v>0</v>
      </c>
      <c r="AF88" s="77">
        <f t="shared" si="80"/>
        <v>262253.26670949749</v>
      </c>
      <c r="AG88" s="77">
        <f t="shared" si="77"/>
        <v>248553.40786241944</v>
      </c>
      <c r="AH88" s="77">
        <f t="shared" si="62"/>
        <v>549911.28759716125</v>
      </c>
      <c r="AI88" s="77">
        <f t="shared" si="63"/>
        <v>61296.045961473479</v>
      </c>
      <c r="AJ88" s="77">
        <f t="shared" si="64"/>
        <v>35110.525668991373</v>
      </c>
      <c r="AK88" s="77">
        <f t="shared" si="65"/>
        <v>28638500</v>
      </c>
      <c r="AL88" s="77">
        <f t="shared" si="81"/>
        <v>0</v>
      </c>
      <c r="AM88" s="78">
        <v>28638500</v>
      </c>
      <c r="AN88" s="78"/>
      <c r="AO88" s="78"/>
      <c r="AP88" s="78"/>
      <c r="AQ88" s="78"/>
      <c r="AR88" s="77">
        <f t="shared" si="66"/>
        <v>76612800</v>
      </c>
      <c r="AS88" s="77">
        <f t="shared" si="67"/>
        <v>70228400</v>
      </c>
      <c r="AT88" s="78">
        <v>3192200</v>
      </c>
      <c r="AU88" s="79">
        <f t="shared" si="82"/>
        <v>2926183.3333333335</v>
      </c>
      <c r="AV88" s="77">
        <f t="shared" si="68"/>
        <v>43884000.000000007</v>
      </c>
      <c r="AW88" s="80">
        <f t="shared" si="69"/>
        <v>43884000.000000007</v>
      </c>
      <c r="AX88" s="78">
        <v>1828500</v>
      </c>
      <c r="AY88" s="77">
        <f t="shared" si="70"/>
        <v>96406.571630464852</v>
      </c>
      <c r="AZ88" s="77">
        <f t="shared" si="71"/>
        <v>5020700</v>
      </c>
      <c r="BA88" s="81">
        <f t="shared" si="72"/>
        <v>1</v>
      </c>
      <c r="BB88" s="82">
        <v>1</v>
      </c>
      <c r="BC88" s="83" t="s">
        <v>229</v>
      </c>
      <c r="BD88" s="17" t="s">
        <v>236</v>
      </c>
      <c r="BE88" s="84"/>
      <c r="BF88" s="85">
        <f t="shared" si="78"/>
        <v>0</v>
      </c>
      <c r="BG88" s="62" t="s">
        <v>130</v>
      </c>
      <c r="BH88" s="86" t="s">
        <v>142</v>
      </c>
      <c r="BI88" s="87">
        <v>0.19</v>
      </c>
      <c r="BJ88" s="88" t="s">
        <v>288</v>
      </c>
      <c r="BK88" s="89">
        <v>10</v>
      </c>
      <c r="BL88" s="90"/>
      <c r="BM88" s="90"/>
      <c r="BN88" s="91" t="s">
        <v>122</v>
      </c>
      <c r="BO88" s="92"/>
      <c r="BP88" s="92"/>
    </row>
    <row r="89" spans="3:68" ht="40.15" customHeight="1" outlineLevel="1" x14ac:dyDescent="0.25">
      <c r="C89" s="93"/>
      <c r="D89" s="98">
        <v>8</v>
      </c>
      <c r="E89" s="61">
        <v>1</v>
      </c>
      <c r="F89" s="61" t="s">
        <v>94</v>
      </c>
      <c r="G89" s="62" t="s">
        <v>289</v>
      </c>
      <c r="H89" s="63">
        <v>288.77</v>
      </c>
      <c r="I89" s="64">
        <f t="shared" si="16"/>
        <v>87.352924999999985</v>
      </c>
      <c r="J89" s="65">
        <v>109.67484599999999</v>
      </c>
      <c r="K89" s="64">
        <f t="shared" si="17"/>
        <v>33.176640914999993</v>
      </c>
      <c r="L89" s="66">
        <f t="shared" si="73"/>
        <v>0.37979999999999997</v>
      </c>
      <c r="M89" s="17">
        <v>43497</v>
      </c>
      <c r="N89" s="17">
        <v>44652</v>
      </c>
      <c r="O89" s="17">
        <v>45747</v>
      </c>
      <c r="P89" s="67">
        <f t="shared" si="74"/>
        <v>3</v>
      </c>
      <c r="Q89" s="68">
        <f t="shared" si="20"/>
        <v>36</v>
      </c>
      <c r="R89" s="69">
        <f t="shared" si="57"/>
        <v>10</v>
      </c>
      <c r="S89" s="70">
        <f t="shared" si="58"/>
        <v>0.66301369863013704</v>
      </c>
      <c r="T89" s="17">
        <v>45382</v>
      </c>
      <c r="U89" s="67">
        <f t="shared" si="75"/>
        <v>2</v>
      </c>
      <c r="V89" s="68">
        <f t="shared" si="83"/>
        <v>24</v>
      </c>
      <c r="W89" s="68" t="str">
        <f t="shared" si="76"/>
        <v>만료</v>
      </c>
      <c r="X89" s="71">
        <v>3</v>
      </c>
      <c r="Y89" s="72">
        <f t="shared" si="79"/>
        <v>45657</v>
      </c>
      <c r="Z89" s="73">
        <v>1</v>
      </c>
      <c r="AA89" s="225">
        <f t="shared" si="60"/>
        <v>0.33333333333333331</v>
      </c>
      <c r="AB89" s="75">
        <v>1</v>
      </c>
      <c r="AC89" s="76"/>
      <c r="AD89" s="77">
        <f t="shared" si="61"/>
        <v>0</v>
      </c>
      <c r="AE89" s="78">
        <v>0</v>
      </c>
      <c r="AF89" s="77">
        <f t="shared" si="80"/>
        <v>247119.65328271696</v>
      </c>
      <c r="AG89" s="77">
        <f t="shared" si="77"/>
        <v>238414.73343444426</v>
      </c>
      <c r="AH89" s="77">
        <f t="shared" si="62"/>
        <v>560942.86482106929</v>
      </c>
      <c r="AI89" s="77">
        <f t="shared" si="63"/>
        <v>59510.314050731569</v>
      </c>
      <c r="AJ89" s="77">
        <f t="shared" si="64"/>
        <v>32943.37310399166</v>
      </c>
      <c r="AK89" s="77">
        <f t="shared" si="65"/>
        <v>49000000</v>
      </c>
      <c r="AL89" s="77">
        <f t="shared" si="81"/>
        <v>0</v>
      </c>
      <c r="AM89" s="78"/>
      <c r="AN89" s="78">
        <v>49000000</v>
      </c>
      <c r="AO89" s="78"/>
      <c r="AP89" s="78"/>
      <c r="AQ89" s="78"/>
      <c r="AR89" s="77">
        <f t="shared" si="66"/>
        <v>187142400</v>
      </c>
      <c r="AS89" s="77">
        <f t="shared" si="67"/>
        <v>176745600</v>
      </c>
      <c r="AT89" s="78">
        <v>5198400</v>
      </c>
      <c r="AU89" s="79">
        <f t="shared" si="82"/>
        <v>4909600</v>
      </c>
      <c r="AV89" s="77">
        <f t="shared" si="68"/>
        <v>103597200.00000001</v>
      </c>
      <c r="AW89" s="80">
        <f t="shared" si="69"/>
        <v>103597200.00000001</v>
      </c>
      <c r="AX89" s="78">
        <v>2877700</v>
      </c>
      <c r="AY89" s="77">
        <f t="shared" si="70"/>
        <v>92453.687154723229</v>
      </c>
      <c r="AZ89" s="77">
        <f t="shared" si="71"/>
        <v>8076100</v>
      </c>
      <c r="BA89" s="81">
        <f t="shared" si="72"/>
        <v>2</v>
      </c>
      <c r="BB89" s="82">
        <v>2</v>
      </c>
      <c r="BC89" s="83" t="s">
        <v>248</v>
      </c>
      <c r="BD89" s="17" t="s">
        <v>236</v>
      </c>
      <c r="BE89" s="84"/>
      <c r="BF89" s="85">
        <f t="shared" si="78"/>
        <v>0</v>
      </c>
      <c r="BG89" s="62" t="s">
        <v>130</v>
      </c>
      <c r="BH89" s="86" t="s">
        <v>137</v>
      </c>
      <c r="BI89" s="87">
        <v>0.19</v>
      </c>
      <c r="BJ89" s="97" t="s">
        <v>290</v>
      </c>
      <c r="BK89" s="89">
        <v>10</v>
      </c>
      <c r="BL89" s="18" t="s">
        <v>291</v>
      </c>
      <c r="BM89" s="18" t="s">
        <v>292</v>
      </c>
      <c r="BN89" s="91" t="s">
        <v>118</v>
      </c>
      <c r="BO89" s="92"/>
      <c r="BP89" s="92"/>
    </row>
    <row r="90" spans="3:68" ht="40.15" customHeight="1" outlineLevel="1" x14ac:dyDescent="0.25">
      <c r="C90" s="93"/>
      <c r="D90" s="100"/>
      <c r="E90" s="61">
        <v>2</v>
      </c>
      <c r="F90" s="61" t="s">
        <v>213</v>
      </c>
      <c r="G90" s="62" t="s">
        <v>293</v>
      </c>
      <c r="H90" s="63">
        <v>516.25</v>
      </c>
      <c r="I90" s="64">
        <f t="shared" si="16"/>
        <v>156.16562500000001</v>
      </c>
      <c r="J90" s="65">
        <v>196.05</v>
      </c>
      <c r="K90" s="64">
        <f t="shared" si="17"/>
        <v>59.305125000000004</v>
      </c>
      <c r="L90" s="66">
        <f t="shared" si="73"/>
        <v>0.3797578692493947</v>
      </c>
      <c r="M90" s="17">
        <v>45261</v>
      </c>
      <c r="N90" s="17">
        <v>45261</v>
      </c>
      <c r="O90" s="17">
        <v>46356</v>
      </c>
      <c r="P90" s="67">
        <f t="shared" si="74"/>
        <v>3</v>
      </c>
      <c r="Q90" s="68">
        <f t="shared" si="20"/>
        <v>36</v>
      </c>
      <c r="R90" s="69">
        <f t="shared" si="57"/>
        <v>30</v>
      </c>
      <c r="S90" s="70">
        <f t="shared" si="58"/>
        <v>2.3315068493150686</v>
      </c>
      <c r="T90" s="17">
        <v>45626</v>
      </c>
      <c r="U90" s="67">
        <f t="shared" si="75"/>
        <v>1</v>
      </c>
      <c r="V90" s="68">
        <f t="shared" si="83"/>
        <v>12</v>
      </c>
      <c r="W90" s="68">
        <f t="shared" si="76"/>
        <v>6</v>
      </c>
      <c r="X90" s="71">
        <v>3</v>
      </c>
      <c r="Y90" s="72">
        <f t="shared" si="79"/>
        <v>46264</v>
      </c>
      <c r="Z90" s="73">
        <v>9</v>
      </c>
      <c r="AA90" s="166">
        <f t="shared" si="60"/>
        <v>3</v>
      </c>
      <c r="AB90" s="75">
        <v>1</v>
      </c>
      <c r="AC90" s="76">
        <v>-1</v>
      </c>
      <c r="AD90" s="77">
        <f t="shared" si="61"/>
        <v>0</v>
      </c>
      <c r="AE90" s="78">
        <v>0</v>
      </c>
      <c r="AF90" s="77">
        <f t="shared" si="80"/>
        <v>238118.41303765905</v>
      </c>
      <c r="AG90" s="77">
        <f t="shared" si="77"/>
        <v>198764.68470848381</v>
      </c>
      <c r="AH90" s="77">
        <f t="shared" si="62"/>
        <v>570015.96862305643</v>
      </c>
      <c r="AI90" s="77">
        <f t="shared" si="63"/>
        <v>57001.660896884314</v>
      </c>
      <c r="AJ90" s="77">
        <f t="shared" si="64"/>
        <v>32000.640345786724</v>
      </c>
      <c r="AK90" s="77">
        <f t="shared" si="65"/>
        <v>89016900</v>
      </c>
      <c r="AL90" s="77">
        <f t="shared" si="81"/>
        <v>0</v>
      </c>
      <c r="AM90" s="78">
        <v>89016900</v>
      </c>
      <c r="AN90" s="78"/>
      <c r="AO90" s="78"/>
      <c r="AP90" s="78"/>
      <c r="AQ90" s="78"/>
      <c r="AR90" s="77">
        <f t="shared" si="66"/>
        <v>320461200</v>
      </c>
      <c r="AS90" s="77">
        <f t="shared" si="67"/>
        <v>231444200</v>
      </c>
      <c r="AT90" s="78">
        <v>8901700</v>
      </c>
      <c r="AU90" s="79">
        <f t="shared" si="82"/>
        <v>6429005.555555556</v>
      </c>
      <c r="AV90" s="77">
        <f t="shared" si="68"/>
        <v>179906400</v>
      </c>
      <c r="AW90" s="80">
        <f t="shared" si="69"/>
        <v>184903800</v>
      </c>
      <c r="AX90" s="78">
        <v>4997400</v>
      </c>
      <c r="AY90" s="77">
        <f t="shared" si="70"/>
        <v>89002.301242671034</v>
      </c>
      <c r="AZ90" s="77">
        <f t="shared" si="71"/>
        <v>13899100</v>
      </c>
      <c r="BA90" s="81">
        <f t="shared" si="72"/>
        <v>3</v>
      </c>
      <c r="BB90" s="82">
        <v>3</v>
      </c>
      <c r="BC90" s="83" t="s">
        <v>294</v>
      </c>
      <c r="BD90" s="17" t="s">
        <v>121</v>
      </c>
      <c r="BE90" s="84">
        <v>45627</v>
      </c>
      <c r="BF90" s="85">
        <f t="shared" si="78"/>
        <v>45627</v>
      </c>
      <c r="BG90" s="62" t="s">
        <v>139</v>
      </c>
      <c r="BH90" s="86" t="s">
        <v>142</v>
      </c>
      <c r="BI90" s="87">
        <v>0.19</v>
      </c>
      <c r="BJ90" s="88" t="s">
        <v>295</v>
      </c>
      <c r="BK90" s="89">
        <v>10</v>
      </c>
      <c r="BL90" s="90"/>
      <c r="BM90" s="90"/>
      <c r="BN90" s="91" t="s">
        <v>118</v>
      </c>
      <c r="BO90" s="92"/>
      <c r="BP90" s="92"/>
    </row>
    <row r="91" spans="3:68" ht="40.15" customHeight="1" outlineLevel="1" x14ac:dyDescent="0.25">
      <c r="C91" s="93"/>
      <c r="D91" s="100"/>
      <c r="E91" s="61">
        <v>3</v>
      </c>
      <c r="F91" s="61" t="s">
        <v>234</v>
      </c>
      <c r="G91" s="62" t="s">
        <v>161</v>
      </c>
      <c r="H91" s="63">
        <v>618.26</v>
      </c>
      <c r="I91" s="64">
        <f t="shared" si="16"/>
        <v>187.02365</v>
      </c>
      <c r="J91" s="65">
        <v>234.79</v>
      </c>
      <c r="K91" s="64">
        <f t="shared" si="17"/>
        <v>71.023974999999993</v>
      </c>
      <c r="L91" s="66">
        <f t="shared" si="73"/>
        <v>0.37975932455601202</v>
      </c>
      <c r="M91" s="17">
        <v>43160</v>
      </c>
      <c r="N91" s="17">
        <v>45352</v>
      </c>
      <c r="O91" s="17">
        <v>46953</v>
      </c>
      <c r="P91" s="67">
        <f t="shared" si="74"/>
        <v>4.416666666666667</v>
      </c>
      <c r="Q91" s="68">
        <f t="shared" si="20"/>
        <v>53</v>
      </c>
      <c r="R91" s="69">
        <f t="shared" si="57"/>
        <v>50</v>
      </c>
      <c r="S91" s="70">
        <f t="shared" si="58"/>
        <v>3.967123287671233</v>
      </c>
      <c r="T91" s="17">
        <v>46222</v>
      </c>
      <c r="U91" s="67">
        <f t="shared" si="75"/>
        <v>2.4166666666666665</v>
      </c>
      <c r="V91" s="68">
        <f t="shared" si="83"/>
        <v>29</v>
      </c>
      <c r="W91" s="68">
        <f t="shared" si="76"/>
        <v>26</v>
      </c>
      <c r="X91" s="71">
        <v>4</v>
      </c>
      <c r="Y91" s="72">
        <f t="shared" si="79"/>
        <v>46831</v>
      </c>
      <c r="Z91" s="73">
        <v>12</v>
      </c>
      <c r="AA91" s="166">
        <f t="shared" si="60"/>
        <v>2.716981132075472</v>
      </c>
      <c r="AB91" s="75">
        <v>0</v>
      </c>
      <c r="AC91" s="76"/>
      <c r="AD91" s="77">
        <f t="shared" si="61"/>
        <v>0</v>
      </c>
      <c r="AE91" s="78">
        <v>0</v>
      </c>
      <c r="AF91" s="77">
        <f t="shared" si="80"/>
        <v>264644.80480006931</v>
      </c>
      <c r="AG91" s="77">
        <f t="shared" si="77"/>
        <v>226908.09236240698</v>
      </c>
      <c r="AH91" s="77">
        <f t="shared" si="62"/>
        <v>519989.85155085998</v>
      </c>
      <c r="AI91" s="77">
        <f t="shared" si="63"/>
        <v>63294.668882785678</v>
      </c>
      <c r="AJ91" s="77">
        <f t="shared" si="64"/>
        <v>35906.68880646913</v>
      </c>
      <c r="AK91" s="77">
        <f t="shared" si="65"/>
        <v>97250400</v>
      </c>
      <c r="AL91" s="77">
        <f t="shared" si="81"/>
        <v>0</v>
      </c>
      <c r="AM91" s="78">
        <v>97250400</v>
      </c>
      <c r="AN91" s="78"/>
      <c r="AO91" s="78"/>
      <c r="AP91" s="78"/>
      <c r="AQ91" s="78"/>
      <c r="AR91" s="77">
        <f t="shared" si="66"/>
        <v>627392800</v>
      </c>
      <c r="AS91" s="77">
        <f t="shared" si="67"/>
        <v>485341600</v>
      </c>
      <c r="AT91" s="78">
        <v>11837600</v>
      </c>
      <c r="AU91" s="79">
        <f t="shared" si="82"/>
        <v>9157388.6792452838</v>
      </c>
      <c r="AV91" s="77">
        <f t="shared" si="68"/>
        <v>355916200</v>
      </c>
      <c r="AW91" s="80">
        <f t="shared" si="69"/>
        <v>355916200</v>
      </c>
      <c r="AX91" s="78">
        <v>6715400</v>
      </c>
      <c r="AY91" s="77">
        <f t="shared" si="70"/>
        <v>99201.357689254801</v>
      </c>
      <c r="AZ91" s="77">
        <f t="shared" si="71"/>
        <v>18553000</v>
      </c>
      <c r="BA91" s="81">
        <f t="shared" si="72"/>
        <v>4</v>
      </c>
      <c r="BB91" s="82">
        <v>4</v>
      </c>
      <c r="BC91" s="83" t="s">
        <v>132</v>
      </c>
      <c r="BD91" s="17" t="s">
        <v>244</v>
      </c>
      <c r="BE91" s="84">
        <v>45717</v>
      </c>
      <c r="BF91" s="85">
        <f t="shared" si="78"/>
        <v>45717</v>
      </c>
      <c r="BG91" s="62" t="s">
        <v>296</v>
      </c>
      <c r="BH91" s="86" t="s">
        <v>137</v>
      </c>
      <c r="BI91" s="87">
        <v>0.19</v>
      </c>
      <c r="BJ91" s="88" t="s">
        <v>297</v>
      </c>
      <c r="BK91" s="89">
        <v>10</v>
      </c>
      <c r="BL91" s="86" t="s">
        <v>298</v>
      </c>
      <c r="BM91" s="90"/>
      <c r="BN91" s="91" t="s">
        <v>118</v>
      </c>
      <c r="BO91" s="92"/>
      <c r="BP91" s="92"/>
    </row>
    <row r="92" spans="3:68" ht="40.15" customHeight="1" outlineLevel="1" x14ac:dyDescent="0.25">
      <c r="C92" s="93"/>
      <c r="D92" s="100"/>
      <c r="E92" s="61">
        <v>4</v>
      </c>
      <c r="F92" s="61" t="s">
        <v>94</v>
      </c>
      <c r="G92" s="62" t="s">
        <v>197</v>
      </c>
      <c r="H92" s="63">
        <v>388.52</v>
      </c>
      <c r="I92" s="64">
        <f t="shared" si="16"/>
        <v>117.5273</v>
      </c>
      <c r="J92" s="65">
        <v>147.56</v>
      </c>
      <c r="K92" s="64">
        <f t="shared" si="17"/>
        <v>44.636899999999997</v>
      </c>
      <c r="L92" s="66">
        <f t="shared" si="73"/>
        <v>0.37980026768248742</v>
      </c>
      <c r="M92" s="17">
        <v>45127</v>
      </c>
      <c r="N92" s="17">
        <v>45127</v>
      </c>
      <c r="O92" s="17">
        <v>46953</v>
      </c>
      <c r="P92" s="67">
        <f t="shared" si="74"/>
        <v>5</v>
      </c>
      <c r="Q92" s="68">
        <f t="shared" si="20"/>
        <v>60</v>
      </c>
      <c r="R92" s="69">
        <f t="shared" si="57"/>
        <v>50</v>
      </c>
      <c r="S92" s="70">
        <f t="shared" si="58"/>
        <v>3.967123287671233</v>
      </c>
      <c r="T92" s="17">
        <v>46222</v>
      </c>
      <c r="U92" s="67">
        <f t="shared" si="75"/>
        <v>3</v>
      </c>
      <c r="V92" s="68">
        <f t="shared" si="83"/>
        <v>36</v>
      </c>
      <c r="W92" s="68">
        <f t="shared" si="76"/>
        <v>26</v>
      </c>
      <c r="X92" s="71">
        <v>3</v>
      </c>
      <c r="Y92" s="72">
        <f t="shared" si="79"/>
        <v>46862</v>
      </c>
      <c r="Z92" s="73">
        <v>15</v>
      </c>
      <c r="AA92" s="166">
        <f t="shared" si="60"/>
        <v>3</v>
      </c>
      <c r="AB92" s="75">
        <v>1</v>
      </c>
      <c r="AC92" s="76"/>
      <c r="AD92" s="77">
        <f t="shared" si="61"/>
        <v>0</v>
      </c>
      <c r="AE92" s="78">
        <v>0</v>
      </c>
      <c r="AF92" s="77">
        <f t="shared" si="80"/>
        <v>242345.29055557176</v>
      </c>
      <c r="AG92" s="77">
        <f t="shared" si="77"/>
        <v>201845.46492550636</v>
      </c>
      <c r="AH92" s="77">
        <f t="shared" si="62"/>
        <v>560014.56682830292</v>
      </c>
      <c r="AI92" s="77">
        <f t="shared" si="63"/>
        <v>57681.917307723401</v>
      </c>
      <c r="AJ92" s="77">
        <f t="shared" si="64"/>
        <v>32960.852499802175</v>
      </c>
      <c r="AK92" s="77">
        <f t="shared" si="65"/>
        <v>65817000</v>
      </c>
      <c r="AL92" s="77">
        <f t="shared" si="81"/>
        <v>0</v>
      </c>
      <c r="AM92" s="78">
        <v>65817000</v>
      </c>
      <c r="AN92" s="78"/>
      <c r="AO92" s="78"/>
      <c r="AP92" s="78"/>
      <c r="AQ92" s="78"/>
      <c r="AR92" s="77">
        <f t="shared" si="66"/>
        <v>406752000</v>
      </c>
      <c r="AS92" s="77">
        <f t="shared" si="67"/>
        <v>298284800</v>
      </c>
      <c r="AT92" s="78">
        <v>6779200</v>
      </c>
      <c r="AU92" s="79">
        <f t="shared" si="82"/>
        <v>4971413.333333333</v>
      </c>
      <c r="AV92" s="77">
        <f t="shared" si="68"/>
        <v>232428000</v>
      </c>
      <c r="AW92" s="80">
        <f t="shared" si="69"/>
        <v>232428000</v>
      </c>
      <c r="AX92" s="78">
        <v>3873800</v>
      </c>
      <c r="AY92" s="77">
        <f t="shared" si="70"/>
        <v>90642.769807525576</v>
      </c>
      <c r="AZ92" s="77">
        <f t="shared" si="71"/>
        <v>10653000</v>
      </c>
      <c r="BA92" s="81">
        <f t="shared" si="72"/>
        <v>2</v>
      </c>
      <c r="BB92" s="82">
        <v>2</v>
      </c>
      <c r="BC92" s="83" t="s">
        <v>299</v>
      </c>
      <c r="BD92" s="17" t="s">
        <v>121</v>
      </c>
      <c r="BE92" s="84">
        <v>45493</v>
      </c>
      <c r="BF92" s="85">
        <f t="shared" si="78"/>
        <v>45493</v>
      </c>
      <c r="BG92" s="62" t="s">
        <v>130</v>
      </c>
      <c r="BH92" s="86" t="s">
        <v>142</v>
      </c>
      <c r="BI92" s="87">
        <v>0.19</v>
      </c>
      <c r="BJ92" s="88" t="s">
        <v>300</v>
      </c>
      <c r="BK92" s="89">
        <v>10</v>
      </c>
      <c r="BL92" s="90"/>
      <c r="BM92" s="90"/>
      <c r="BN92" s="91" t="s">
        <v>233</v>
      </c>
      <c r="BO92" s="92"/>
      <c r="BP92" s="92"/>
    </row>
    <row r="93" spans="3:68" ht="40.15" customHeight="1" outlineLevel="1" x14ac:dyDescent="0.25">
      <c r="C93" s="93"/>
      <c r="D93" s="101"/>
      <c r="E93" s="194">
        <v>5</v>
      </c>
      <c r="F93" s="194" t="s">
        <v>147</v>
      </c>
      <c r="G93" s="195" t="s">
        <v>158</v>
      </c>
      <c r="H93" s="196">
        <v>329.58000000000004</v>
      </c>
      <c r="I93" s="197">
        <f t="shared" si="16"/>
        <v>99.697950000000006</v>
      </c>
      <c r="J93" s="198">
        <v>125.12515400000001</v>
      </c>
      <c r="K93" s="197">
        <f t="shared" si="17"/>
        <v>37.850359085000001</v>
      </c>
      <c r="L93" s="199">
        <f t="shared" si="73"/>
        <v>0.37965032465562226</v>
      </c>
      <c r="M93" s="200"/>
      <c r="N93" s="223"/>
      <c r="O93" s="223"/>
      <c r="P93" s="201">
        <f t="shared" si="74"/>
        <v>8.3333333333333329E-2</v>
      </c>
      <c r="Q93" s="202">
        <f t="shared" si="20"/>
        <v>1</v>
      </c>
      <c r="R93" s="203">
        <f t="shared" si="57"/>
        <v>0</v>
      </c>
      <c r="S93" s="204"/>
      <c r="T93" s="200"/>
      <c r="U93" s="201">
        <f t="shared" si="75"/>
        <v>8.3333333333333329E-2</v>
      </c>
      <c r="V93" s="202">
        <f t="shared" si="83"/>
        <v>1</v>
      </c>
      <c r="W93" s="202" t="str">
        <f t="shared" si="76"/>
        <v>만료</v>
      </c>
      <c r="X93" s="205"/>
      <c r="Y93" s="206">
        <f t="shared" si="79"/>
        <v>0</v>
      </c>
      <c r="Z93" s="207"/>
      <c r="AA93" s="208">
        <f t="shared" si="60"/>
        <v>0</v>
      </c>
      <c r="AB93" s="209"/>
      <c r="AC93" s="210"/>
      <c r="AD93" s="211">
        <f t="shared" si="61"/>
        <v>0</v>
      </c>
      <c r="AE93" s="212"/>
      <c r="AF93" s="211">
        <f t="shared" si="80"/>
        <v>0</v>
      </c>
      <c r="AG93" s="211"/>
      <c r="AH93" s="211">
        <f t="shared" si="62"/>
        <v>0</v>
      </c>
      <c r="AI93" s="211">
        <f t="shared" si="63"/>
        <v>0</v>
      </c>
      <c r="AJ93" s="211">
        <f t="shared" si="64"/>
        <v>0</v>
      </c>
      <c r="AK93" s="211">
        <f t="shared" si="65"/>
        <v>0</v>
      </c>
      <c r="AL93" s="211">
        <f t="shared" si="81"/>
        <v>0</v>
      </c>
      <c r="AM93" s="212"/>
      <c r="AN93" s="212"/>
      <c r="AO93" s="212"/>
      <c r="AP93" s="212"/>
      <c r="AQ93" s="212"/>
      <c r="AR93" s="211">
        <f t="shared" si="66"/>
        <v>0</v>
      </c>
      <c r="AS93" s="211">
        <f t="shared" si="67"/>
        <v>0</v>
      </c>
      <c r="AT93" s="212"/>
      <c r="AU93" s="213">
        <f t="shared" si="82"/>
        <v>0</v>
      </c>
      <c r="AV93" s="211">
        <f t="shared" si="68"/>
        <v>0</v>
      </c>
      <c r="AW93" s="214">
        <f t="shared" si="69"/>
        <v>0</v>
      </c>
      <c r="AX93" s="212"/>
      <c r="AY93" s="211">
        <f t="shared" si="70"/>
        <v>0</v>
      </c>
      <c r="AZ93" s="211">
        <f t="shared" si="71"/>
        <v>0</v>
      </c>
      <c r="BA93" s="215">
        <f t="shared" si="72"/>
        <v>2</v>
      </c>
      <c r="BB93" s="216"/>
      <c r="BC93" s="211"/>
      <c r="BD93" s="200"/>
      <c r="BE93" s="217"/>
      <c r="BF93" s="218">
        <f t="shared" si="78"/>
        <v>0</v>
      </c>
      <c r="BG93" s="195"/>
      <c r="BH93" s="219"/>
      <c r="BI93" s="220"/>
      <c r="BJ93" s="221"/>
      <c r="BK93" s="222"/>
      <c r="BL93" s="219"/>
      <c r="BM93" s="219"/>
      <c r="BN93" s="223"/>
      <c r="BO93" s="92"/>
      <c r="BP93" s="92"/>
    </row>
    <row r="94" spans="3:68" ht="40.15" customHeight="1" outlineLevel="1" x14ac:dyDescent="0.25">
      <c r="C94" s="93"/>
      <c r="D94" s="98">
        <v>7</v>
      </c>
      <c r="E94" s="61">
        <v>1</v>
      </c>
      <c r="F94" s="61" t="s">
        <v>94</v>
      </c>
      <c r="G94" s="62" t="s">
        <v>301</v>
      </c>
      <c r="H94" s="63">
        <f>619.42+145.37</f>
        <v>764.79</v>
      </c>
      <c r="I94" s="64">
        <f t="shared" si="16"/>
        <v>231.348975</v>
      </c>
      <c r="J94" s="65">
        <v>280.52497199999999</v>
      </c>
      <c r="K94" s="64">
        <f t="shared" si="17"/>
        <v>84.858804030000002</v>
      </c>
      <c r="L94" s="66">
        <f t="shared" si="73"/>
        <v>0.36680000000000001</v>
      </c>
      <c r="M94" s="17">
        <v>43191</v>
      </c>
      <c r="N94" s="17">
        <v>45047</v>
      </c>
      <c r="O94" s="17">
        <v>46873</v>
      </c>
      <c r="P94" s="67">
        <f t="shared" si="74"/>
        <v>5</v>
      </c>
      <c r="Q94" s="68">
        <f t="shared" si="20"/>
        <v>60</v>
      </c>
      <c r="R94" s="69">
        <f t="shared" si="57"/>
        <v>47</v>
      </c>
      <c r="S94" s="70">
        <f t="shared" si="58"/>
        <v>3.7479452054794522</v>
      </c>
      <c r="T94" s="17">
        <v>46142</v>
      </c>
      <c r="U94" s="67">
        <f t="shared" si="75"/>
        <v>3</v>
      </c>
      <c r="V94" s="68">
        <f t="shared" si="83"/>
        <v>36</v>
      </c>
      <c r="W94" s="68">
        <f t="shared" si="76"/>
        <v>23</v>
      </c>
      <c r="X94" s="71">
        <v>3</v>
      </c>
      <c r="Y94" s="72">
        <f t="shared" si="79"/>
        <v>46782</v>
      </c>
      <c r="Z94" s="73">
        <v>10</v>
      </c>
      <c r="AA94" s="166">
        <f t="shared" si="60"/>
        <v>2</v>
      </c>
      <c r="AB94" s="75">
        <v>0</v>
      </c>
      <c r="AC94" s="76"/>
      <c r="AD94" s="77">
        <f t="shared" si="61"/>
        <v>0</v>
      </c>
      <c r="AE94" s="78">
        <v>0</v>
      </c>
      <c r="AF94" s="77">
        <f t="shared" si="80"/>
        <v>249555.82424478556</v>
      </c>
      <c r="AG94" s="77">
        <f t="shared" si="77"/>
        <v>224400.26585135644</v>
      </c>
      <c r="AH94" s="77">
        <f t="shared" si="62"/>
        <v>509995.57171746943</v>
      </c>
      <c r="AI94" s="77">
        <f t="shared" si="63"/>
        <v>55362.352912258859</v>
      </c>
      <c r="AJ94" s="77">
        <f t="shared" si="64"/>
        <v>34899.734491434821</v>
      </c>
      <c r="AK94" s="77">
        <f t="shared" si="65"/>
        <v>117986952.77137554</v>
      </c>
      <c r="AL94" s="77">
        <f t="shared" si="81"/>
        <v>0</v>
      </c>
      <c r="AM94" s="78">
        <v>117986952.77137554</v>
      </c>
      <c r="AN94" s="78"/>
      <c r="AO94" s="78"/>
      <c r="AP94" s="78"/>
      <c r="AQ94" s="78"/>
      <c r="AR94" s="77">
        <f t="shared" si="66"/>
        <v>768481415.99036109</v>
      </c>
      <c r="AS94" s="77">
        <f t="shared" si="67"/>
        <v>640401179.99196756</v>
      </c>
      <c r="AT94" s="78">
        <v>12808023.599839352</v>
      </c>
      <c r="AU94" s="79">
        <f t="shared" si="82"/>
        <v>10673352.999866126</v>
      </c>
      <c r="AV94" s="77">
        <f t="shared" si="68"/>
        <v>484441068.14193553</v>
      </c>
      <c r="AW94" s="80">
        <f t="shared" si="69"/>
        <v>484441068.14193553</v>
      </c>
      <c r="AX94" s="78">
        <v>8074017.8023655927</v>
      </c>
      <c r="AY94" s="77">
        <f t="shared" si="70"/>
        <v>90262.087403693688</v>
      </c>
      <c r="AZ94" s="77">
        <f t="shared" si="71"/>
        <v>20882041.402204946</v>
      </c>
      <c r="BA94" s="81">
        <f t="shared" si="72"/>
        <v>5</v>
      </c>
      <c r="BB94" s="82">
        <v>4.1507676053535185</v>
      </c>
      <c r="BC94" s="83" t="s">
        <v>229</v>
      </c>
      <c r="BD94" s="17" t="s">
        <v>121</v>
      </c>
      <c r="BE94" s="84">
        <v>45778</v>
      </c>
      <c r="BF94" s="85">
        <f t="shared" si="78"/>
        <v>45778</v>
      </c>
      <c r="BG94" s="62" t="s">
        <v>302</v>
      </c>
      <c r="BH94" s="86" t="s">
        <v>137</v>
      </c>
      <c r="BI94" s="87">
        <v>0.19</v>
      </c>
      <c r="BJ94" s="88" t="s">
        <v>303</v>
      </c>
      <c r="BK94" s="89">
        <v>10</v>
      </c>
      <c r="BL94" s="90"/>
      <c r="BM94" s="90"/>
      <c r="BN94" s="91" t="s">
        <v>118</v>
      </c>
      <c r="BO94" s="92"/>
      <c r="BP94" s="92"/>
    </row>
    <row r="95" spans="3:68" ht="40.15" customHeight="1" outlineLevel="1" x14ac:dyDescent="0.25">
      <c r="C95" s="93"/>
      <c r="D95" s="100"/>
      <c r="E95" s="61">
        <v>2</v>
      </c>
      <c r="F95" s="61" t="s">
        <v>94</v>
      </c>
      <c r="G95" s="62" t="s">
        <v>304</v>
      </c>
      <c r="H95" s="63">
        <v>1291.42</v>
      </c>
      <c r="I95" s="64">
        <f t="shared" si="16"/>
        <v>390.65455000000003</v>
      </c>
      <c r="J95" s="65">
        <v>473.69285600000001</v>
      </c>
      <c r="K95" s="64">
        <f t="shared" si="17"/>
        <v>143.29208893999999</v>
      </c>
      <c r="L95" s="66">
        <f t="shared" si="73"/>
        <v>0.36679999999999996</v>
      </c>
      <c r="M95" s="17">
        <v>44295</v>
      </c>
      <c r="N95" s="17">
        <v>45391</v>
      </c>
      <c r="O95" s="17">
        <v>47216</v>
      </c>
      <c r="P95" s="67">
        <f t="shared" si="74"/>
        <v>5</v>
      </c>
      <c r="Q95" s="68">
        <f t="shared" si="20"/>
        <v>60</v>
      </c>
      <c r="R95" s="69">
        <f t="shared" si="57"/>
        <v>58</v>
      </c>
      <c r="S95" s="70">
        <f t="shared" si="58"/>
        <v>4.6876712328767125</v>
      </c>
      <c r="T95" s="17">
        <v>46120</v>
      </c>
      <c r="U95" s="67">
        <f t="shared" si="75"/>
        <v>2</v>
      </c>
      <c r="V95" s="68">
        <f t="shared" si="83"/>
        <v>24</v>
      </c>
      <c r="W95" s="68">
        <f t="shared" si="76"/>
        <v>22</v>
      </c>
      <c r="X95" s="71">
        <v>3</v>
      </c>
      <c r="Y95" s="72">
        <f t="shared" si="79"/>
        <v>47126</v>
      </c>
      <c r="Z95" s="73">
        <v>10</v>
      </c>
      <c r="AA95" s="166">
        <f t="shared" si="60"/>
        <v>2</v>
      </c>
      <c r="AB95" s="75">
        <v>0</v>
      </c>
      <c r="AC95" s="76"/>
      <c r="AD95" s="77">
        <f t="shared" si="61"/>
        <v>0</v>
      </c>
      <c r="AE95" s="78">
        <v>0</v>
      </c>
      <c r="AF95" s="77">
        <f t="shared" si="80"/>
        <v>247885.28287052276</v>
      </c>
      <c r="AG95" s="77">
        <f t="shared" si="77"/>
        <v>222415.39573068541</v>
      </c>
      <c r="AH95" s="77">
        <f t="shared" si="62"/>
        <v>353150.88484186347</v>
      </c>
      <c r="AI95" s="77">
        <f t="shared" si="63"/>
        <v>56054.127617353995</v>
      </c>
      <c r="AJ95" s="77">
        <f t="shared" si="64"/>
        <v>33987.316927449072</v>
      </c>
      <c r="AK95" s="77">
        <f t="shared" si="65"/>
        <v>137960000</v>
      </c>
      <c r="AL95" s="77">
        <f t="shared" si="81"/>
        <v>0</v>
      </c>
      <c r="AM95" s="78">
        <v>137960000</v>
      </c>
      <c r="AN95" s="78"/>
      <c r="AO95" s="78"/>
      <c r="AP95" s="78"/>
      <c r="AQ95" s="78"/>
      <c r="AR95" s="77">
        <f t="shared" si="66"/>
        <v>1313868000</v>
      </c>
      <c r="AS95" s="77">
        <f t="shared" si="67"/>
        <v>1094890000</v>
      </c>
      <c r="AT95" s="78">
        <v>21897800</v>
      </c>
      <c r="AU95" s="79">
        <f t="shared" si="82"/>
        <v>18248166.666666668</v>
      </c>
      <c r="AV95" s="77">
        <f t="shared" si="68"/>
        <v>796638000</v>
      </c>
      <c r="AW95" s="80">
        <f t="shared" si="69"/>
        <v>796638000</v>
      </c>
      <c r="AX95" s="78">
        <v>13277300</v>
      </c>
      <c r="AY95" s="77">
        <f t="shared" si="70"/>
        <v>90041.444544803075</v>
      </c>
      <c r="AZ95" s="77">
        <f t="shared" si="71"/>
        <v>35175100</v>
      </c>
      <c r="BA95" s="81">
        <f t="shared" si="72"/>
        <v>8</v>
      </c>
      <c r="BB95" s="82">
        <v>7</v>
      </c>
      <c r="BC95" s="83" t="s">
        <v>305</v>
      </c>
      <c r="BD95" s="17" t="s">
        <v>121</v>
      </c>
      <c r="BE95" s="84">
        <v>45756</v>
      </c>
      <c r="BF95" s="85">
        <f t="shared" si="78"/>
        <v>45756</v>
      </c>
      <c r="BG95" s="62" t="s">
        <v>306</v>
      </c>
      <c r="BH95" s="86" t="s">
        <v>137</v>
      </c>
      <c r="BI95" s="87">
        <v>0.19</v>
      </c>
      <c r="BJ95" s="88" t="s">
        <v>307</v>
      </c>
      <c r="BK95" s="89">
        <v>10</v>
      </c>
      <c r="BL95" s="62" t="s">
        <v>308</v>
      </c>
      <c r="BM95" s="90"/>
      <c r="BN95" s="91" t="s">
        <v>118</v>
      </c>
      <c r="BO95" s="92"/>
      <c r="BP95" s="92"/>
    </row>
    <row r="96" spans="3:68" ht="40.15" customHeight="1" outlineLevel="1" x14ac:dyDescent="0.25">
      <c r="C96" s="93"/>
      <c r="D96" s="100"/>
      <c r="E96" s="61">
        <v>3</v>
      </c>
      <c r="F96" s="61" t="s">
        <v>94</v>
      </c>
      <c r="G96" s="62" t="s">
        <v>200</v>
      </c>
      <c r="H96" s="63">
        <v>292.14999999999998</v>
      </c>
      <c r="I96" s="64">
        <f t="shared" si="16"/>
        <v>88.375374999999991</v>
      </c>
      <c r="J96" s="65">
        <v>107.17</v>
      </c>
      <c r="K96" s="64">
        <f t="shared" si="17"/>
        <v>32.418925000000002</v>
      </c>
      <c r="L96" s="66">
        <f t="shared" si="73"/>
        <v>0.36683210679445494</v>
      </c>
      <c r="M96" s="17">
        <v>43709</v>
      </c>
      <c r="N96" s="17">
        <v>44805</v>
      </c>
      <c r="O96" s="17">
        <v>45900</v>
      </c>
      <c r="P96" s="67">
        <f t="shared" si="74"/>
        <v>3</v>
      </c>
      <c r="Q96" s="68">
        <f t="shared" si="20"/>
        <v>36</v>
      </c>
      <c r="R96" s="69">
        <f t="shared" si="57"/>
        <v>15</v>
      </c>
      <c r="S96" s="70">
        <f t="shared" si="58"/>
        <v>1.0821917808219179</v>
      </c>
      <c r="T96" s="17"/>
      <c r="U96" s="67"/>
      <c r="V96" s="68"/>
      <c r="W96" s="68" t="str">
        <f t="shared" si="76"/>
        <v>만료</v>
      </c>
      <c r="X96" s="71">
        <v>3</v>
      </c>
      <c r="Y96" s="72">
        <f t="shared" si="79"/>
        <v>45808</v>
      </c>
      <c r="Z96" s="73">
        <v>6</v>
      </c>
      <c r="AA96" s="166">
        <f t="shared" si="60"/>
        <v>2</v>
      </c>
      <c r="AB96" s="75">
        <v>0</v>
      </c>
      <c r="AC96" s="76"/>
      <c r="AD96" s="77">
        <f t="shared" si="61"/>
        <v>0</v>
      </c>
      <c r="AE96" s="78">
        <v>0</v>
      </c>
      <c r="AF96" s="77">
        <f t="shared" si="80"/>
        <v>256342.24453771985</v>
      </c>
      <c r="AG96" s="77">
        <f t="shared" si="77"/>
        <v>230642.74956680395</v>
      </c>
      <c r="AH96" s="77">
        <f t="shared" si="62"/>
        <v>517519.72763906239</v>
      </c>
      <c r="AI96" s="77">
        <f t="shared" si="63"/>
        <v>56564.399302407495</v>
      </c>
      <c r="AJ96" s="77">
        <f t="shared" si="64"/>
        <v>36176.367002685991</v>
      </c>
      <c r="AK96" s="77">
        <f t="shared" si="65"/>
        <v>45736000</v>
      </c>
      <c r="AL96" s="77">
        <f t="shared" si="81"/>
        <v>0</v>
      </c>
      <c r="AM96" s="78">
        <v>45736000</v>
      </c>
      <c r="AN96" s="78"/>
      <c r="AO96" s="78"/>
      <c r="AP96" s="78"/>
      <c r="AQ96" s="78"/>
      <c r="AR96" s="77">
        <f t="shared" si="66"/>
        <v>179960400</v>
      </c>
      <c r="AS96" s="77">
        <f t="shared" si="67"/>
        <v>149967000</v>
      </c>
      <c r="AT96" s="78">
        <v>4998900</v>
      </c>
      <c r="AU96" s="79">
        <f t="shared" si="82"/>
        <v>4165750</v>
      </c>
      <c r="AV96" s="77">
        <f t="shared" si="68"/>
        <v>115095600</v>
      </c>
      <c r="AW96" s="80">
        <f t="shared" si="69"/>
        <v>115095600</v>
      </c>
      <c r="AX96" s="78">
        <v>3197100</v>
      </c>
      <c r="AY96" s="77">
        <f t="shared" si="70"/>
        <v>92740.766305093479</v>
      </c>
      <c r="AZ96" s="77">
        <f t="shared" si="71"/>
        <v>8196000</v>
      </c>
      <c r="BA96" s="81">
        <f t="shared" si="72"/>
        <v>2</v>
      </c>
      <c r="BB96" s="82">
        <v>2</v>
      </c>
      <c r="BC96" s="83" t="s">
        <v>270</v>
      </c>
      <c r="BD96" s="17" t="s">
        <v>121</v>
      </c>
      <c r="BE96" s="84">
        <v>45536</v>
      </c>
      <c r="BF96" s="85">
        <f t="shared" si="78"/>
        <v>45536</v>
      </c>
      <c r="BG96" s="62" t="s">
        <v>306</v>
      </c>
      <c r="BH96" s="86" t="s">
        <v>309</v>
      </c>
      <c r="BI96" s="87">
        <v>0.19</v>
      </c>
      <c r="BJ96" s="88" t="s">
        <v>310</v>
      </c>
      <c r="BK96" s="89">
        <v>10</v>
      </c>
      <c r="BL96" s="90"/>
      <c r="BM96" s="90"/>
      <c r="BN96" s="91" t="s">
        <v>118</v>
      </c>
      <c r="BO96" s="92"/>
      <c r="BP96" s="92"/>
    </row>
    <row r="97" spans="3:70" ht="40.15" customHeight="1" outlineLevel="1" x14ac:dyDescent="0.25">
      <c r="C97" s="93"/>
      <c r="D97" s="98">
        <v>6</v>
      </c>
      <c r="E97" s="61">
        <v>1</v>
      </c>
      <c r="F97" s="61" t="s">
        <v>311</v>
      </c>
      <c r="G97" s="62" t="s">
        <v>183</v>
      </c>
      <c r="H97" s="63">
        <v>1374.68</v>
      </c>
      <c r="I97" s="64">
        <f t="shared" si="16"/>
        <v>415.84070000000003</v>
      </c>
      <c r="J97" s="65">
        <v>507.54</v>
      </c>
      <c r="K97" s="64">
        <f t="shared" si="17"/>
        <v>153.53085000000002</v>
      </c>
      <c r="L97" s="66">
        <f t="shared" si="73"/>
        <v>0.36920592428783428</v>
      </c>
      <c r="M97" s="17">
        <v>43831</v>
      </c>
      <c r="N97" s="17">
        <v>43831</v>
      </c>
      <c r="O97" s="17">
        <v>45657</v>
      </c>
      <c r="P97" s="67">
        <f t="shared" si="74"/>
        <v>5</v>
      </c>
      <c r="Q97" s="68">
        <f t="shared" si="20"/>
        <v>60</v>
      </c>
      <c r="R97" s="69">
        <f t="shared" si="57"/>
        <v>7</v>
      </c>
      <c r="S97" s="70">
        <f t="shared" si="58"/>
        <v>0.41643835616438357</v>
      </c>
      <c r="T97" s="17">
        <v>44926</v>
      </c>
      <c r="U97" s="67">
        <f t="shared" si="75"/>
        <v>3</v>
      </c>
      <c r="V97" s="68">
        <f t="shared" ref="V97:V104" si="84">DATEDIF(N97,T97,"m")+1</f>
        <v>36</v>
      </c>
      <c r="W97" s="68" t="str">
        <f t="shared" si="76"/>
        <v>만료</v>
      </c>
      <c r="X97" s="71">
        <v>3</v>
      </c>
      <c r="Y97" s="72">
        <f t="shared" si="79"/>
        <v>45565</v>
      </c>
      <c r="Z97" s="73">
        <v>27</v>
      </c>
      <c r="AA97" s="166">
        <f t="shared" si="60"/>
        <v>5.4</v>
      </c>
      <c r="AB97" s="73">
        <v>4.5999999999999996</v>
      </c>
      <c r="AC97" s="226">
        <v>2.5</v>
      </c>
      <c r="AD97" s="77">
        <f t="shared" si="61"/>
        <v>0</v>
      </c>
      <c r="AE97" s="78">
        <v>0</v>
      </c>
      <c r="AF97" s="77">
        <f t="shared" si="80"/>
        <v>243247.39946401649</v>
      </c>
      <c r="AG97" s="77">
        <f t="shared" si="77"/>
        <v>158099.1583559048</v>
      </c>
      <c r="AH97" s="77">
        <f t="shared" si="62"/>
        <v>549999.07416469813</v>
      </c>
      <c r="AI97" s="77">
        <f t="shared" si="63"/>
        <v>57221.671664173322</v>
      </c>
      <c r="AJ97" s="77">
        <f t="shared" si="64"/>
        <v>31211.711600139184</v>
      </c>
      <c r="AK97" s="77">
        <f t="shared" si="65"/>
        <v>228712000</v>
      </c>
      <c r="AL97" s="77">
        <f t="shared" si="81"/>
        <v>0</v>
      </c>
      <c r="AM97" s="78">
        <v>228712000</v>
      </c>
      <c r="AN97" s="78"/>
      <c r="AO97" s="78"/>
      <c r="AP97" s="78"/>
      <c r="AQ97" s="78"/>
      <c r="AR97" s="77">
        <f t="shared" si="66"/>
        <v>1427706000</v>
      </c>
      <c r="AS97" s="77">
        <f t="shared" si="67"/>
        <v>675780840</v>
      </c>
      <c r="AT97" s="78">
        <v>23795100</v>
      </c>
      <c r="AU97" s="79">
        <f t="shared" si="82"/>
        <v>11263014</v>
      </c>
      <c r="AV97" s="77">
        <f t="shared" si="68"/>
        <v>778746000</v>
      </c>
      <c r="AW97" s="80">
        <f t="shared" si="69"/>
        <v>746298250</v>
      </c>
      <c r="AX97" s="78">
        <v>12979100</v>
      </c>
      <c r="AY97" s="77">
        <f t="shared" si="70"/>
        <v>88433.383264312506</v>
      </c>
      <c r="AZ97" s="77">
        <f t="shared" si="71"/>
        <v>36774200</v>
      </c>
      <c r="BA97" s="81">
        <f t="shared" si="72"/>
        <v>8</v>
      </c>
      <c r="BB97" s="82">
        <v>8</v>
      </c>
      <c r="BC97" s="83" t="s">
        <v>312</v>
      </c>
      <c r="BD97" s="17" t="s">
        <v>121</v>
      </c>
      <c r="BE97" s="84"/>
      <c r="BF97" s="85">
        <f t="shared" si="78"/>
        <v>0</v>
      </c>
      <c r="BG97" s="62" t="s">
        <v>130</v>
      </c>
      <c r="BH97" s="86" t="s">
        <v>137</v>
      </c>
      <c r="BI97" s="87">
        <v>0.19</v>
      </c>
      <c r="BJ97" s="88" t="s">
        <v>313</v>
      </c>
      <c r="BK97" s="89">
        <v>20</v>
      </c>
      <c r="BL97" s="227"/>
      <c r="BM97" s="18" t="s">
        <v>314</v>
      </c>
      <c r="BN97" s="91" t="s">
        <v>118</v>
      </c>
      <c r="BO97" s="92"/>
      <c r="BP97" s="92"/>
    </row>
    <row r="98" spans="3:70" ht="40.15" customHeight="1" outlineLevel="1" x14ac:dyDescent="0.25">
      <c r="C98" s="93"/>
      <c r="D98" s="100"/>
      <c r="E98" s="61">
        <v>2</v>
      </c>
      <c r="F98" s="61" t="s">
        <v>94</v>
      </c>
      <c r="G98" s="62" t="s">
        <v>183</v>
      </c>
      <c r="H98" s="63">
        <v>798.62</v>
      </c>
      <c r="I98" s="64">
        <f t="shared" si="16"/>
        <v>241.58255</v>
      </c>
      <c r="J98" s="65">
        <v>294.83</v>
      </c>
      <c r="K98" s="64">
        <f t="shared" si="17"/>
        <v>89.186074999999988</v>
      </c>
      <c r="L98" s="66">
        <f t="shared" si="73"/>
        <v>0.36917432571185294</v>
      </c>
      <c r="M98" s="17">
        <v>44210</v>
      </c>
      <c r="N98" s="17">
        <v>44210</v>
      </c>
      <c r="O98" s="17">
        <v>45657</v>
      </c>
      <c r="P98" s="67">
        <f t="shared" si="74"/>
        <v>4</v>
      </c>
      <c r="Q98" s="68">
        <f t="shared" si="20"/>
        <v>48</v>
      </c>
      <c r="R98" s="69">
        <f t="shared" si="57"/>
        <v>7</v>
      </c>
      <c r="S98" s="70">
        <f t="shared" si="58"/>
        <v>0.41643835616438357</v>
      </c>
      <c r="T98" s="17">
        <v>44926</v>
      </c>
      <c r="U98" s="67">
        <f t="shared" si="75"/>
        <v>2</v>
      </c>
      <c r="V98" s="68">
        <f t="shared" si="84"/>
        <v>24</v>
      </c>
      <c r="W98" s="68" t="str">
        <f t="shared" si="76"/>
        <v>만료</v>
      </c>
      <c r="X98" s="71">
        <v>3</v>
      </c>
      <c r="Y98" s="72">
        <f t="shared" si="79"/>
        <v>45565</v>
      </c>
      <c r="Z98" s="73">
        <v>16</v>
      </c>
      <c r="AA98" s="166">
        <f t="shared" si="60"/>
        <v>4</v>
      </c>
      <c r="AB98" s="228">
        <v>2.0299999999999998</v>
      </c>
      <c r="AC98" s="229">
        <v>-2.0299999999999998</v>
      </c>
      <c r="AD98" s="77">
        <f t="shared" si="61"/>
        <v>0</v>
      </c>
      <c r="AE98" s="78">
        <v>0</v>
      </c>
      <c r="AF98" s="77">
        <f t="shared" si="80"/>
        <v>243274.3704664658</v>
      </c>
      <c r="AG98" s="77">
        <f t="shared" si="77"/>
        <v>188627.03365781417</v>
      </c>
      <c r="AH98" s="77">
        <f t="shared" si="62"/>
        <v>550016.96107603796</v>
      </c>
      <c r="AI98" s="77">
        <f t="shared" si="63"/>
        <v>57223.089995531547</v>
      </c>
      <c r="AJ98" s="77">
        <f t="shared" si="64"/>
        <v>31212.519281711364</v>
      </c>
      <c r="AK98" s="77">
        <f t="shared" si="65"/>
        <v>132874500</v>
      </c>
      <c r="AL98" s="77">
        <f t="shared" si="81"/>
        <v>0</v>
      </c>
      <c r="AM98" s="78">
        <v>132874500</v>
      </c>
      <c r="AN98" s="78"/>
      <c r="AO98" s="78"/>
      <c r="AP98" s="78"/>
      <c r="AQ98" s="78"/>
      <c r="AR98" s="77">
        <f t="shared" si="66"/>
        <v>663556800</v>
      </c>
      <c r="AS98" s="77">
        <f t="shared" si="67"/>
        <v>414308277</v>
      </c>
      <c r="AT98" s="78">
        <v>13824100</v>
      </c>
      <c r="AU98" s="79">
        <f t="shared" si="82"/>
        <v>8631422.4375</v>
      </c>
      <c r="AV98" s="77">
        <f t="shared" si="68"/>
        <v>361939200</v>
      </c>
      <c r="AW98" s="80">
        <f t="shared" si="69"/>
        <v>377246211.99999994</v>
      </c>
      <c r="AX98" s="78">
        <v>7540400</v>
      </c>
      <c r="AY98" s="77">
        <f t="shared" si="70"/>
        <v>88435.609277242911</v>
      </c>
      <c r="AZ98" s="77">
        <f t="shared" si="71"/>
        <v>21364500</v>
      </c>
      <c r="BA98" s="81">
        <f t="shared" si="72"/>
        <v>5</v>
      </c>
      <c r="BB98" s="82">
        <v>5</v>
      </c>
      <c r="BC98" s="83" t="s">
        <v>315</v>
      </c>
      <c r="BD98" s="17" t="s">
        <v>316</v>
      </c>
      <c r="BE98" s="84"/>
      <c r="BF98" s="85">
        <f t="shared" si="78"/>
        <v>0</v>
      </c>
      <c r="BG98" s="62" t="s">
        <v>130</v>
      </c>
      <c r="BH98" s="86" t="s">
        <v>137</v>
      </c>
      <c r="BI98" s="87">
        <v>0.19</v>
      </c>
      <c r="BJ98" s="88" t="s">
        <v>317</v>
      </c>
      <c r="BK98" s="89">
        <v>20</v>
      </c>
      <c r="BL98" s="90"/>
      <c r="BM98" s="18" t="s">
        <v>318</v>
      </c>
      <c r="BN98" s="91" t="s">
        <v>122</v>
      </c>
      <c r="BO98" s="92"/>
      <c r="BP98" s="92"/>
      <c r="BR98" s="90">
        <v>2.0299999999999998</v>
      </c>
    </row>
    <row r="99" spans="3:70" ht="40.15" customHeight="1" outlineLevel="1" x14ac:dyDescent="0.25">
      <c r="C99" s="93"/>
      <c r="D99" s="61">
        <v>5</v>
      </c>
      <c r="E99" s="61"/>
      <c r="F99" s="61" t="s">
        <v>311</v>
      </c>
      <c r="G99" s="62" t="s">
        <v>319</v>
      </c>
      <c r="H99" s="63">
        <v>1999</v>
      </c>
      <c r="I99" s="64">
        <f t="shared" si="16"/>
        <v>604.69749999999999</v>
      </c>
      <c r="J99" s="65">
        <v>737.91</v>
      </c>
      <c r="K99" s="64">
        <f t="shared" si="17"/>
        <v>223.21777499999999</v>
      </c>
      <c r="L99" s="66">
        <f t="shared" si="73"/>
        <v>0.36913956978489243</v>
      </c>
      <c r="M99" s="17">
        <v>43191</v>
      </c>
      <c r="N99" s="17">
        <v>45047</v>
      </c>
      <c r="O99" s="17">
        <v>46873</v>
      </c>
      <c r="P99" s="67">
        <f t="shared" si="74"/>
        <v>5</v>
      </c>
      <c r="Q99" s="68">
        <f t="shared" si="20"/>
        <v>60</v>
      </c>
      <c r="R99" s="69">
        <f t="shared" si="57"/>
        <v>47</v>
      </c>
      <c r="S99" s="70">
        <f t="shared" si="58"/>
        <v>3.7479452054794522</v>
      </c>
      <c r="T99" s="17">
        <v>46142</v>
      </c>
      <c r="U99" s="67">
        <f t="shared" si="75"/>
        <v>3</v>
      </c>
      <c r="V99" s="68">
        <f t="shared" si="84"/>
        <v>36</v>
      </c>
      <c r="W99" s="68">
        <f t="shared" si="76"/>
        <v>23</v>
      </c>
      <c r="X99" s="71">
        <v>3</v>
      </c>
      <c r="Y99" s="72">
        <f t="shared" si="79"/>
        <v>46782</v>
      </c>
      <c r="Z99" s="73">
        <v>10</v>
      </c>
      <c r="AA99" s="166">
        <f t="shared" si="60"/>
        <v>2</v>
      </c>
      <c r="AB99" s="75">
        <v>0</v>
      </c>
      <c r="AC99" s="76"/>
      <c r="AD99" s="77">
        <f t="shared" si="61"/>
        <v>0</v>
      </c>
      <c r="AE99" s="78">
        <v>0</v>
      </c>
      <c r="AF99" s="77">
        <f t="shared" si="80"/>
        <v>247974.1643149459</v>
      </c>
      <c r="AG99" s="77">
        <f t="shared" si="77"/>
        <v>222978.03934225158</v>
      </c>
      <c r="AH99" s="77">
        <f t="shared" si="62"/>
        <v>509995.57171746943</v>
      </c>
      <c r="AI99" s="77">
        <f t="shared" si="63"/>
        <v>55362.352912258859</v>
      </c>
      <c r="AJ99" s="77">
        <f t="shared" si="64"/>
        <v>34899.734491434829</v>
      </c>
      <c r="AK99" s="77">
        <f t="shared" si="65"/>
        <v>308393047.22862446</v>
      </c>
      <c r="AL99" s="77">
        <f t="shared" si="81"/>
        <v>0</v>
      </c>
      <c r="AM99" s="78">
        <v>308393047.22862446</v>
      </c>
      <c r="AN99" s="78"/>
      <c r="AO99" s="78"/>
      <c r="AP99" s="78"/>
      <c r="AQ99" s="78"/>
      <c r="AR99" s="77">
        <f t="shared" si="66"/>
        <v>2008648584.009639</v>
      </c>
      <c r="AS99" s="77">
        <f t="shared" si="67"/>
        <v>1673873820.0080326</v>
      </c>
      <c r="AT99" s="78">
        <v>33477476.400160652</v>
      </c>
      <c r="AU99" s="79">
        <f t="shared" si="82"/>
        <v>27897897.000133876</v>
      </c>
      <c r="AV99" s="77">
        <f t="shared" si="68"/>
        <v>1266226931.8580647</v>
      </c>
      <c r="AW99" s="80">
        <f t="shared" si="69"/>
        <v>1266226931.8580647</v>
      </c>
      <c r="AX99" s="78">
        <v>21103782.19763441</v>
      </c>
      <c r="AY99" s="77">
        <f t="shared" si="70"/>
        <v>90262.087403693688</v>
      </c>
      <c r="AZ99" s="77">
        <f t="shared" si="71"/>
        <v>54581258.597795062</v>
      </c>
      <c r="BA99" s="81">
        <f t="shared" si="72"/>
        <v>12</v>
      </c>
      <c r="BB99" s="82">
        <v>10.849232394646483</v>
      </c>
      <c r="BC99" s="83" t="s">
        <v>320</v>
      </c>
      <c r="BD99" s="17" t="s">
        <v>121</v>
      </c>
      <c r="BE99" s="84">
        <v>45778</v>
      </c>
      <c r="BF99" s="85">
        <f t="shared" si="78"/>
        <v>45778</v>
      </c>
      <c r="BG99" s="62" t="s">
        <v>202</v>
      </c>
      <c r="BH99" s="86" t="s">
        <v>163</v>
      </c>
      <c r="BI99" s="87">
        <v>0.19</v>
      </c>
      <c r="BJ99" s="88" t="s">
        <v>321</v>
      </c>
      <c r="BK99" s="89">
        <v>10</v>
      </c>
      <c r="BL99" s="90"/>
      <c r="BM99" s="18"/>
      <c r="BN99" s="91" t="s">
        <v>122</v>
      </c>
      <c r="BO99" s="92"/>
      <c r="BP99" s="92"/>
    </row>
    <row r="100" spans="3:70" ht="40.15" customHeight="1" outlineLevel="1" x14ac:dyDescent="0.25">
      <c r="C100" s="93"/>
      <c r="D100" s="98">
        <v>4</v>
      </c>
      <c r="E100" s="61">
        <v>1</v>
      </c>
      <c r="F100" s="61" t="s">
        <v>213</v>
      </c>
      <c r="G100" s="62" t="s">
        <v>322</v>
      </c>
      <c r="H100" s="63">
        <v>957.19</v>
      </c>
      <c r="I100" s="64">
        <f t="shared" si="16"/>
        <v>289.54997500000002</v>
      </c>
      <c r="J100" s="65">
        <v>353.36</v>
      </c>
      <c r="K100" s="64">
        <f t="shared" si="17"/>
        <v>106.8914</v>
      </c>
      <c r="L100" s="66">
        <f t="shared" si="73"/>
        <v>0.36916390685234907</v>
      </c>
      <c r="M100" s="17">
        <v>43543</v>
      </c>
      <c r="N100" s="17">
        <v>45004</v>
      </c>
      <c r="O100" s="17">
        <v>46099</v>
      </c>
      <c r="P100" s="67">
        <f t="shared" si="74"/>
        <v>3</v>
      </c>
      <c r="Q100" s="68">
        <f t="shared" si="20"/>
        <v>36</v>
      </c>
      <c r="R100" s="69">
        <f t="shared" si="57"/>
        <v>22</v>
      </c>
      <c r="S100" s="70">
        <f t="shared" si="58"/>
        <v>1.6273972602739726</v>
      </c>
      <c r="T100" s="17">
        <v>46099</v>
      </c>
      <c r="U100" s="67">
        <f t="shared" si="75"/>
        <v>3</v>
      </c>
      <c r="V100" s="68">
        <f t="shared" si="84"/>
        <v>36</v>
      </c>
      <c r="W100" s="68">
        <f t="shared" si="76"/>
        <v>22</v>
      </c>
      <c r="X100" s="71">
        <v>3</v>
      </c>
      <c r="Y100" s="72">
        <f t="shared" si="79"/>
        <v>46009</v>
      </c>
      <c r="Z100" s="73">
        <v>12</v>
      </c>
      <c r="AA100" s="166">
        <f t="shared" si="60"/>
        <v>4</v>
      </c>
      <c r="AB100" s="75">
        <v>0</v>
      </c>
      <c r="AC100" s="76"/>
      <c r="AD100" s="77">
        <f t="shared" si="61"/>
        <v>0</v>
      </c>
      <c r="AE100" s="78">
        <v>0</v>
      </c>
      <c r="AF100" s="77">
        <f t="shared" si="80"/>
        <v>265134.41324288864</v>
      </c>
      <c r="AG100" s="77">
        <f t="shared" si="77"/>
        <v>209358.9048968275</v>
      </c>
      <c r="AH100" s="77">
        <f t="shared" si="62"/>
        <v>192568.90745605555</v>
      </c>
      <c r="AI100" s="77">
        <f t="shared" si="63"/>
        <v>61770.913703123224</v>
      </c>
      <c r="AJ100" s="77">
        <f t="shared" si="64"/>
        <v>35625.719861986618</v>
      </c>
      <c r="AK100" s="77">
        <f t="shared" si="65"/>
        <v>55758322.339678198</v>
      </c>
      <c r="AL100" s="77">
        <f t="shared" si="81"/>
        <v>0</v>
      </c>
      <c r="AM100" s="78">
        <v>55758322.339678198</v>
      </c>
      <c r="AN100" s="78"/>
      <c r="AO100" s="78"/>
      <c r="AP100" s="78"/>
      <c r="AQ100" s="78"/>
      <c r="AR100" s="77">
        <f t="shared" si="66"/>
        <v>643887594.66479349</v>
      </c>
      <c r="AS100" s="77">
        <f t="shared" si="67"/>
        <v>429258396.4431957</v>
      </c>
      <c r="AT100" s="78">
        <v>17885766.518466488</v>
      </c>
      <c r="AU100" s="79">
        <f t="shared" si="82"/>
        <v>11923844.345644325</v>
      </c>
      <c r="AV100" s="77">
        <f t="shared" si="68"/>
        <v>371355346.63422823</v>
      </c>
      <c r="AW100" s="80">
        <f t="shared" si="69"/>
        <v>371355346.63422823</v>
      </c>
      <c r="AX100" s="78">
        <v>10315426.295395229</v>
      </c>
      <c r="AY100" s="77">
        <f t="shared" si="70"/>
        <v>97396.633565109834</v>
      </c>
      <c r="AZ100" s="77">
        <f t="shared" si="71"/>
        <v>28201192.813861717</v>
      </c>
      <c r="BA100" s="81">
        <f t="shared" si="72"/>
        <v>6</v>
      </c>
      <c r="BB100" s="230">
        <v>8.7464035042632542</v>
      </c>
      <c r="BC100" s="83" t="s">
        <v>323</v>
      </c>
      <c r="BD100" s="17" t="s">
        <v>121</v>
      </c>
      <c r="BE100" s="84">
        <v>45735</v>
      </c>
      <c r="BF100" s="85">
        <f t="shared" si="78"/>
        <v>45735</v>
      </c>
      <c r="BG100" s="62" t="s">
        <v>306</v>
      </c>
      <c r="BH100" s="86" t="s">
        <v>142</v>
      </c>
      <c r="BI100" s="87">
        <v>0.19</v>
      </c>
      <c r="BJ100" s="88" t="s">
        <v>324</v>
      </c>
      <c r="BK100" s="89">
        <v>10</v>
      </c>
      <c r="BL100" s="62" t="s">
        <v>325</v>
      </c>
      <c r="BM100" s="62" t="s">
        <v>326</v>
      </c>
      <c r="BN100" s="91" t="s">
        <v>118</v>
      </c>
      <c r="BO100" s="92"/>
      <c r="BP100" s="92"/>
    </row>
    <row r="101" spans="3:70" ht="40.15" customHeight="1" outlineLevel="1" x14ac:dyDescent="0.25">
      <c r="C101" s="93"/>
      <c r="D101" s="101"/>
      <c r="E101" s="61">
        <v>2</v>
      </c>
      <c r="F101" s="61" t="s">
        <v>94</v>
      </c>
      <c r="G101" s="62" t="s">
        <v>327</v>
      </c>
      <c r="H101" s="63">
        <v>1216.27</v>
      </c>
      <c r="I101" s="64">
        <f t="shared" si="16"/>
        <v>367.92167499999999</v>
      </c>
      <c r="J101" s="65">
        <v>448.99693778566302</v>
      </c>
      <c r="K101" s="64">
        <f t="shared" si="17"/>
        <v>135.82157368016306</v>
      </c>
      <c r="L101" s="66">
        <f t="shared" si="73"/>
        <v>0.36915893492864499</v>
      </c>
      <c r="M101" s="17">
        <v>43543</v>
      </c>
      <c r="N101" s="17">
        <v>45004</v>
      </c>
      <c r="O101" s="17">
        <v>46099</v>
      </c>
      <c r="P101" s="67">
        <f t="shared" si="74"/>
        <v>3</v>
      </c>
      <c r="Q101" s="68">
        <f t="shared" si="20"/>
        <v>36</v>
      </c>
      <c r="R101" s="69">
        <f t="shared" si="57"/>
        <v>22</v>
      </c>
      <c r="S101" s="70">
        <f t="shared" si="58"/>
        <v>1.6273972602739726</v>
      </c>
      <c r="T101" s="17">
        <v>46099</v>
      </c>
      <c r="U101" s="67">
        <f t="shared" si="75"/>
        <v>3</v>
      </c>
      <c r="V101" s="68">
        <f t="shared" si="84"/>
        <v>36</v>
      </c>
      <c r="W101" s="68">
        <f t="shared" si="76"/>
        <v>22</v>
      </c>
      <c r="X101" s="71">
        <v>3</v>
      </c>
      <c r="Y101" s="72">
        <f t="shared" si="79"/>
        <v>46009</v>
      </c>
      <c r="Z101" s="73">
        <v>12</v>
      </c>
      <c r="AA101" s="166">
        <f t="shared" si="60"/>
        <v>4</v>
      </c>
      <c r="AB101" s="75">
        <v>0</v>
      </c>
      <c r="AC101" s="76"/>
      <c r="AD101" s="77">
        <f t="shared" si="61"/>
        <v>0</v>
      </c>
      <c r="AE101" s="78">
        <v>0</v>
      </c>
      <c r="AF101" s="77">
        <f t="shared" si="80"/>
        <v>226411.74864027745</v>
      </c>
      <c r="AG101" s="77">
        <f t="shared" si="77"/>
        <v>178533.4931923378</v>
      </c>
      <c r="AH101" s="77">
        <f t="shared" si="62"/>
        <v>164708.96964686847</v>
      </c>
      <c r="AI101" s="77">
        <f t="shared" si="63"/>
        <v>53024.057362208958</v>
      </c>
      <c r="AJ101" s="77">
        <f t="shared" si="64"/>
        <v>30146.090197050773</v>
      </c>
      <c r="AK101" s="77">
        <f t="shared" si="65"/>
        <v>60600000</v>
      </c>
      <c r="AL101" s="77">
        <f t="shared" si="81"/>
        <v>0</v>
      </c>
      <c r="AM101" s="78">
        <v>60600000</v>
      </c>
      <c r="AN101" s="78"/>
      <c r="AO101" s="78"/>
      <c r="AP101" s="78"/>
      <c r="AQ101" s="78"/>
      <c r="AR101" s="77">
        <f t="shared" si="66"/>
        <v>702313200</v>
      </c>
      <c r="AS101" s="77">
        <f t="shared" si="67"/>
        <v>468208800</v>
      </c>
      <c r="AT101" s="78">
        <v>19508700</v>
      </c>
      <c r="AU101" s="79">
        <f t="shared" si="82"/>
        <v>13005800</v>
      </c>
      <c r="AV101" s="77">
        <f t="shared" si="68"/>
        <v>399290400</v>
      </c>
      <c r="AW101" s="80">
        <f t="shared" si="69"/>
        <v>399290400</v>
      </c>
      <c r="AX101" s="78">
        <v>11091400</v>
      </c>
      <c r="AY101" s="77">
        <f t="shared" si="70"/>
        <v>83170.147559259727</v>
      </c>
      <c r="AZ101" s="77">
        <f t="shared" si="71"/>
        <v>30600100</v>
      </c>
      <c r="BA101" s="81">
        <f t="shared" si="72"/>
        <v>7</v>
      </c>
      <c r="BB101" s="82">
        <v>7</v>
      </c>
      <c r="BC101" s="83" t="s">
        <v>328</v>
      </c>
      <c r="BD101" s="17" t="s">
        <v>121</v>
      </c>
      <c r="BE101" s="84">
        <v>45735</v>
      </c>
      <c r="BF101" s="85">
        <f t="shared" si="78"/>
        <v>45735</v>
      </c>
      <c r="BG101" s="62" t="s">
        <v>130</v>
      </c>
      <c r="BH101" s="86" t="s">
        <v>309</v>
      </c>
      <c r="BI101" s="87">
        <v>0.19</v>
      </c>
      <c r="BJ101" s="88" t="s">
        <v>329</v>
      </c>
      <c r="BK101" s="89">
        <v>10</v>
      </c>
      <c r="BL101" s="62" t="s">
        <v>325</v>
      </c>
      <c r="BM101" s="62" t="s">
        <v>330</v>
      </c>
      <c r="BN101" s="91" t="s">
        <v>118</v>
      </c>
      <c r="BO101" s="92"/>
      <c r="BP101" s="92"/>
    </row>
    <row r="102" spans="3:70" ht="40.15" customHeight="1" outlineLevel="1" x14ac:dyDescent="0.25">
      <c r="C102" s="93"/>
      <c r="D102" s="231">
        <v>3</v>
      </c>
      <c r="E102" s="61">
        <v>1</v>
      </c>
      <c r="F102" s="61" t="s">
        <v>213</v>
      </c>
      <c r="G102" s="62" t="s">
        <v>331</v>
      </c>
      <c r="H102" s="63">
        <f>606.68+1568.66</f>
        <v>2175.34</v>
      </c>
      <c r="I102" s="64">
        <f t="shared" si="16"/>
        <v>658.04034999999999</v>
      </c>
      <c r="J102" s="65">
        <f>223.76+578.55</f>
        <v>802.31</v>
      </c>
      <c r="K102" s="64">
        <f t="shared" si="17"/>
        <v>242.69877499999998</v>
      </c>
      <c r="L102" s="66">
        <f t="shared" si="73"/>
        <v>0.36882050621971735</v>
      </c>
      <c r="M102" s="17">
        <v>43285</v>
      </c>
      <c r="N102" s="17">
        <v>45474</v>
      </c>
      <c r="O102" s="17">
        <v>45838</v>
      </c>
      <c r="P102" s="67">
        <f t="shared" si="74"/>
        <v>1</v>
      </c>
      <c r="Q102" s="68">
        <f t="shared" si="20"/>
        <v>12</v>
      </c>
      <c r="R102" s="69">
        <f t="shared" si="57"/>
        <v>13</v>
      </c>
      <c r="S102" s="70">
        <f t="shared" si="58"/>
        <v>0.9123287671232877</v>
      </c>
      <c r="T102" s="17">
        <v>45657</v>
      </c>
      <c r="U102" s="67">
        <f t="shared" si="75"/>
        <v>0.5</v>
      </c>
      <c r="V102" s="68">
        <f t="shared" si="84"/>
        <v>6</v>
      </c>
      <c r="W102" s="68">
        <f t="shared" si="76"/>
        <v>7</v>
      </c>
      <c r="X102" s="71">
        <v>1</v>
      </c>
      <c r="Y102" s="72">
        <f t="shared" si="79"/>
        <v>45807</v>
      </c>
      <c r="Z102" s="73">
        <v>0</v>
      </c>
      <c r="AA102" s="166">
        <f t="shared" si="60"/>
        <v>0</v>
      </c>
      <c r="AB102" s="75">
        <v>0</v>
      </c>
      <c r="AC102" s="76"/>
      <c r="AD102" s="77">
        <f t="shared" si="61"/>
        <v>0</v>
      </c>
      <c r="AE102" s="78">
        <v>0</v>
      </c>
      <c r="AF102" s="77">
        <f t="shared" si="80"/>
        <v>277987.00261260074</v>
      </c>
      <c r="AG102" s="77">
        <f t="shared" si="77"/>
        <v>277987.00261260074</v>
      </c>
      <c r="AH102" s="77">
        <f t="shared" si="62"/>
        <v>549999.70746474736</v>
      </c>
      <c r="AI102" s="77">
        <f t="shared" si="63"/>
        <v>63915.077548056135</v>
      </c>
      <c r="AJ102" s="77">
        <f t="shared" si="64"/>
        <v>37237.230209363304</v>
      </c>
      <c r="AK102" s="77">
        <f t="shared" si="65"/>
        <v>361922000</v>
      </c>
      <c r="AL102" s="77">
        <f t="shared" si="81"/>
        <v>0</v>
      </c>
      <c r="AM102" s="78">
        <v>361922000</v>
      </c>
      <c r="AN102" s="78"/>
      <c r="AO102" s="78"/>
      <c r="AP102" s="78"/>
      <c r="AQ102" s="78"/>
      <c r="AR102" s="77">
        <f t="shared" si="66"/>
        <v>504704400</v>
      </c>
      <c r="AS102" s="77">
        <f t="shared" si="67"/>
        <v>504704400</v>
      </c>
      <c r="AT102" s="78">
        <v>42058700</v>
      </c>
      <c r="AU102" s="79">
        <f t="shared" si="82"/>
        <v>42058700</v>
      </c>
      <c r="AV102" s="77">
        <f t="shared" si="68"/>
        <v>294043200</v>
      </c>
      <c r="AW102" s="80">
        <f t="shared" si="69"/>
        <v>294043200</v>
      </c>
      <c r="AX102" s="78">
        <v>24503600</v>
      </c>
      <c r="AY102" s="77">
        <f t="shared" si="70"/>
        <v>101152.30775741943</v>
      </c>
      <c r="AZ102" s="77">
        <f t="shared" si="71"/>
        <v>66562300</v>
      </c>
      <c r="BA102" s="81">
        <f t="shared" si="72"/>
        <v>13</v>
      </c>
      <c r="BB102" s="82">
        <f>9+3</f>
        <v>12</v>
      </c>
      <c r="BC102" s="83" t="s">
        <v>332</v>
      </c>
      <c r="BD102" s="17" t="s">
        <v>316</v>
      </c>
      <c r="BE102" s="84"/>
      <c r="BF102" s="85">
        <f t="shared" si="78"/>
        <v>0</v>
      </c>
      <c r="BG102" s="62" t="s">
        <v>333</v>
      </c>
      <c r="BH102" s="62" t="s">
        <v>334</v>
      </c>
      <c r="BI102" s="87">
        <v>0.19</v>
      </c>
      <c r="BJ102" s="97" t="s">
        <v>335</v>
      </c>
      <c r="BK102" s="89">
        <v>10</v>
      </c>
      <c r="BL102" s="18" t="s">
        <v>336</v>
      </c>
      <c r="BM102" s="18"/>
      <c r="BN102" s="91" t="s">
        <v>118</v>
      </c>
      <c r="BO102" s="92"/>
      <c r="BP102" s="92"/>
    </row>
    <row r="103" spans="3:70" ht="40.15" customHeight="1" outlineLevel="1" x14ac:dyDescent="0.25">
      <c r="C103" s="93"/>
      <c r="D103" s="169" t="s">
        <v>337</v>
      </c>
      <c r="E103" s="61">
        <v>1</v>
      </c>
      <c r="F103" s="61" t="s">
        <v>338</v>
      </c>
      <c r="G103" s="62" t="s">
        <v>339</v>
      </c>
      <c r="H103" s="63">
        <v>192.82</v>
      </c>
      <c r="I103" s="64">
        <f t="shared" si="16"/>
        <v>58.328049999999998</v>
      </c>
      <c r="J103" s="65">
        <v>78.724295219085633</v>
      </c>
      <c r="K103" s="64">
        <f t="shared" si="17"/>
        <v>23.814099303773403</v>
      </c>
      <c r="L103" s="66">
        <f t="shared" si="73"/>
        <v>0.40827868073377055</v>
      </c>
      <c r="M103" s="17">
        <v>39845</v>
      </c>
      <c r="N103" s="17">
        <v>44713</v>
      </c>
      <c r="O103" s="17">
        <v>45808</v>
      </c>
      <c r="P103" s="67">
        <f t="shared" si="74"/>
        <v>3</v>
      </c>
      <c r="Q103" s="68">
        <f t="shared" si="20"/>
        <v>36</v>
      </c>
      <c r="R103" s="69">
        <f t="shared" si="57"/>
        <v>12</v>
      </c>
      <c r="S103" s="70">
        <f t="shared" si="58"/>
        <v>0.83013698630136989</v>
      </c>
      <c r="T103" s="17">
        <v>45077</v>
      </c>
      <c r="U103" s="67">
        <f t="shared" si="75"/>
        <v>1</v>
      </c>
      <c r="V103" s="68">
        <f t="shared" si="84"/>
        <v>12</v>
      </c>
      <c r="W103" s="68" t="str">
        <f t="shared" si="76"/>
        <v>만료</v>
      </c>
      <c r="X103" s="71">
        <v>3</v>
      </c>
      <c r="Y103" s="72">
        <f t="shared" si="79"/>
        <v>45716</v>
      </c>
      <c r="Z103" s="73">
        <v>13.5</v>
      </c>
      <c r="AA103" s="166">
        <f t="shared" si="60"/>
        <v>4.5</v>
      </c>
      <c r="AB103" s="75">
        <v>0</v>
      </c>
      <c r="AC103" s="76"/>
      <c r="AD103" s="77">
        <f t="shared" si="61"/>
        <v>0</v>
      </c>
      <c r="AE103" s="78">
        <v>0</v>
      </c>
      <c r="AF103" s="77">
        <f t="shared" si="80"/>
        <v>332382.9257210574</v>
      </c>
      <c r="AG103" s="77">
        <f t="shared" si="77"/>
        <v>240096.21052911374</v>
      </c>
      <c r="AH103" s="77">
        <f t="shared" si="62"/>
        <v>1371552.7949245689</v>
      </c>
      <c r="AI103" s="77">
        <f t="shared" si="63"/>
        <v>100476.52887418661</v>
      </c>
      <c r="AJ103" s="77">
        <f t="shared" si="64"/>
        <v>31799.451550326132</v>
      </c>
      <c r="AK103" s="77">
        <f t="shared" si="65"/>
        <v>80000000</v>
      </c>
      <c r="AL103" s="77">
        <f t="shared" si="81"/>
        <v>0</v>
      </c>
      <c r="AM103" s="78"/>
      <c r="AN103" s="78">
        <v>80000000</v>
      </c>
      <c r="AO103" s="78"/>
      <c r="AP103" s="78"/>
      <c r="AQ103" s="78"/>
      <c r="AR103" s="77">
        <f t="shared" si="66"/>
        <v>210981600</v>
      </c>
      <c r="AS103" s="77">
        <f t="shared" si="67"/>
        <v>131863500</v>
      </c>
      <c r="AT103" s="78">
        <v>5860600</v>
      </c>
      <c r="AU103" s="79">
        <f t="shared" si="82"/>
        <v>3662875</v>
      </c>
      <c r="AV103" s="77">
        <f t="shared" si="68"/>
        <v>66772800.000000007</v>
      </c>
      <c r="AW103" s="80">
        <f t="shared" si="69"/>
        <v>66772800.000000007</v>
      </c>
      <c r="AX103" s="78">
        <v>1854800</v>
      </c>
      <c r="AY103" s="77">
        <f t="shared" si="70"/>
        <v>132275.98042451273</v>
      </c>
      <c r="AZ103" s="77">
        <f t="shared" si="71"/>
        <v>7715400</v>
      </c>
      <c r="BA103" s="81">
        <f t="shared" si="72"/>
        <v>1</v>
      </c>
      <c r="BB103" s="82">
        <v>1</v>
      </c>
      <c r="BC103" s="83" t="s">
        <v>270</v>
      </c>
      <c r="BD103" s="17" t="s">
        <v>316</v>
      </c>
      <c r="BE103" s="84">
        <v>45444</v>
      </c>
      <c r="BF103" s="85">
        <f t="shared" si="78"/>
        <v>45444</v>
      </c>
      <c r="BG103" s="62" t="s">
        <v>306</v>
      </c>
      <c r="BH103" s="62" t="s">
        <v>340</v>
      </c>
      <c r="BI103" s="87">
        <v>0.19</v>
      </c>
      <c r="BJ103" s="88" t="s">
        <v>341</v>
      </c>
      <c r="BK103" s="89">
        <v>10</v>
      </c>
      <c r="BL103" s="90"/>
      <c r="BM103" s="18"/>
      <c r="BN103" s="91" t="s">
        <v>342</v>
      </c>
      <c r="BO103" s="92"/>
      <c r="BP103" s="92"/>
    </row>
    <row r="104" spans="3:70" ht="40.15" customHeight="1" outlineLevel="1" x14ac:dyDescent="0.25">
      <c r="C104" s="93"/>
      <c r="D104" s="171"/>
      <c r="E104" s="61">
        <v>2</v>
      </c>
      <c r="F104" s="61" t="s">
        <v>338</v>
      </c>
      <c r="G104" s="62" t="s">
        <v>343</v>
      </c>
      <c r="H104" s="63">
        <v>420.84</v>
      </c>
      <c r="I104" s="64">
        <f t="shared" si="16"/>
        <v>127.30409999999999</v>
      </c>
      <c r="J104" s="65">
        <v>171.82</v>
      </c>
      <c r="K104" s="64">
        <f t="shared" si="17"/>
        <v>51.975549999999998</v>
      </c>
      <c r="L104" s="66">
        <f t="shared" si="73"/>
        <v>0.40827868073377055</v>
      </c>
      <c r="M104" s="17">
        <v>41153</v>
      </c>
      <c r="N104" s="17">
        <v>44136</v>
      </c>
      <c r="O104" s="17">
        <v>45961</v>
      </c>
      <c r="P104" s="67">
        <f t="shared" si="74"/>
        <v>5</v>
      </c>
      <c r="Q104" s="68">
        <f t="shared" ref="Q104" si="85">DATEDIF(N104,O104,"m")+1</f>
        <v>60</v>
      </c>
      <c r="R104" s="69">
        <f t="shared" si="57"/>
        <v>17</v>
      </c>
      <c r="S104" s="70">
        <f t="shared" si="58"/>
        <v>1.2493150684931507</v>
      </c>
      <c r="T104" s="17">
        <v>45230</v>
      </c>
      <c r="U104" s="67">
        <f t="shared" si="75"/>
        <v>3</v>
      </c>
      <c r="V104" s="68">
        <f t="shared" si="84"/>
        <v>36</v>
      </c>
      <c r="W104" s="68" t="str">
        <f>IFERROR(DATEDIF($R$1,T104,"m"),"만료")</f>
        <v>만료</v>
      </c>
      <c r="X104" s="71">
        <v>3</v>
      </c>
      <c r="Y104" s="72">
        <f t="shared" si="79"/>
        <v>45869</v>
      </c>
      <c r="Z104" s="73">
        <v>30</v>
      </c>
      <c r="AA104" s="166">
        <f t="shared" si="60"/>
        <v>6</v>
      </c>
      <c r="AB104" s="75">
        <v>0</v>
      </c>
      <c r="AC104" s="71">
        <v>10</v>
      </c>
      <c r="AD104" s="77">
        <f t="shared" si="61"/>
        <v>0</v>
      </c>
      <c r="AE104" s="78">
        <v>0</v>
      </c>
      <c r="AF104" s="77">
        <f t="shared" si="80"/>
        <v>229761.87842168097</v>
      </c>
      <c r="AG104" s="77">
        <f t="shared" si="77"/>
        <v>145273.43465661581</v>
      </c>
      <c r="AH104" s="77">
        <f t="shared" si="62"/>
        <v>653553.1848542192</v>
      </c>
      <c r="AI104" s="77">
        <f t="shared" si="63"/>
        <v>57397.994251559852</v>
      </c>
      <c r="AJ104" s="77">
        <f t="shared" si="64"/>
        <v>34774.999391221492</v>
      </c>
      <c r="AK104" s="77">
        <f t="shared" si="65"/>
        <v>83200000</v>
      </c>
      <c r="AL104" s="77">
        <f t="shared" si="81"/>
        <v>0</v>
      </c>
      <c r="AM104" s="78"/>
      <c r="AN104" s="78">
        <v>83200000</v>
      </c>
      <c r="AO104" s="78"/>
      <c r="AP104" s="78"/>
      <c r="AQ104" s="78"/>
      <c r="AR104" s="77">
        <f t="shared" si="66"/>
        <v>438420000</v>
      </c>
      <c r="AS104" s="77">
        <f t="shared" si="67"/>
        <v>219210000</v>
      </c>
      <c r="AT104" s="78">
        <v>7307000</v>
      </c>
      <c r="AU104" s="79">
        <f t="shared" si="82"/>
        <v>3653500</v>
      </c>
      <c r="AV104" s="77">
        <f t="shared" si="68"/>
        <v>265619999.99999997</v>
      </c>
      <c r="AW104" s="80">
        <f t="shared" si="69"/>
        <v>221350000</v>
      </c>
      <c r="AX104" s="78">
        <v>4427000</v>
      </c>
      <c r="AY104" s="77">
        <f t="shared" si="70"/>
        <v>92172.993642781352</v>
      </c>
      <c r="AZ104" s="77">
        <f t="shared" si="71"/>
        <v>11734000</v>
      </c>
      <c r="BA104" s="81">
        <f t="shared" si="72"/>
        <v>3</v>
      </c>
      <c r="BB104" s="82">
        <v>2</v>
      </c>
      <c r="BC104" s="83" t="s">
        <v>145</v>
      </c>
      <c r="BD104" s="17" t="s">
        <v>316</v>
      </c>
      <c r="BE104" s="84">
        <v>45597</v>
      </c>
      <c r="BF104" s="85">
        <f>BE104</f>
        <v>45597</v>
      </c>
      <c r="BG104" s="62" t="s">
        <v>306</v>
      </c>
      <c r="BH104" s="62" t="s">
        <v>340</v>
      </c>
      <c r="BI104" s="87">
        <v>0.19</v>
      </c>
      <c r="BJ104" s="88" t="s">
        <v>344</v>
      </c>
      <c r="BK104" s="89">
        <v>10</v>
      </c>
      <c r="BL104" s="227"/>
      <c r="BM104" s="18" t="s">
        <v>314</v>
      </c>
      <c r="BN104" s="91" t="s">
        <v>342</v>
      </c>
      <c r="BO104" s="92"/>
      <c r="BP104" s="92"/>
    </row>
    <row r="105" spans="3:70" ht="30" customHeight="1" x14ac:dyDescent="0.25">
      <c r="C105" s="93"/>
      <c r="D105" s="232"/>
      <c r="E105" s="233"/>
      <c r="F105" s="234"/>
      <c r="G105" s="118" t="s">
        <v>345</v>
      </c>
      <c r="H105" s="119">
        <f>H107-H106</f>
        <v>36256.920000000006</v>
      </c>
      <c r="I105" s="119">
        <f t="shared" ref="I105:K105" si="86">I107-I106</f>
        <v>10967.718299999999</v>
      </c>
      <c r="J105" s="119">
        <f t="shared" si="86"/>
        <v>13877.143907004745</v>
      </c>
      <c r="K105" s="119">
        <f t="shared" si="86"/>
        <v>4197.8360318689374</v>
      </c>
      <c r="L105" s="120">
        <f>J105/H105</f>
        <v>0.38274469830875713</v>
      </c>
      <c r="M105" s="172"/>
      <c r="N105" s="172"/>
      <c r="O105" s="172"/>
      <c r="P105" s="123"/>
      <c r="Q105" s="124"/>
      <c r="R105" s="125"/>
      <c r="S105" s="126"/>
      <c r="T105" s="125"/>
      <c r="U105" s="125"/>
      <c r="V105" s="125"/>
      <c r="W105" s="125"/>
      <c r="X105" s="125"/>
      <c r="Y105" s="125"/>
      <c r="Z105" s="235"/>
      <c r="AA105" s="236"/>
      <c r="AB105" s="132"/>
      <c r="AC105" s="132"/>
      <c r="AD105" s="132">
        <f t="shared" si="61"/>
        <v>8179.5600731724899</v>
      </c>
      <c r="AE105" s="237">
        <f>SUM(AE66:AE104)</f>
        <v>34336452</v>
      </c>
      <c r="AF105" s="132"/>
      <c r="AG105" s="132"/>
      <c r="AH105" s="132">
        <f t="shared" si="62"/>
        <v>445667.54193541571</v>
      </c>
      <c r="AI105" s="132">
        <f>AT105/$I$105</f>
        <v>59431.427045851946</v>
      </c>
      <c r="AJ105" s="132">
        <f>AX105/$I$105</f>
        <v>33652.241917470485</v>
      </c>
      <c r="AK105" s="134">
        <f t="shared" ref="AK105:AX105" si="87">SUM(AK66:AK104)</f>
        <v>4887956055.4010754</v>
      </c>
      <c r="AL105" s="134">
        <f t="shared" si="87"/>
        <v>0</v>
      </c>
      <c r="AM105" s="134">
        <f t="shared" si="87"/>
        <v>3740458055.4010758</v>
      </c>
      <c r="AN105" s="134">
        <f t="shared" si="87"/>
        <v>1147498000</v>
      </c>
      <c r="AO105" s="134">
        <f t="shared" si="87"/>
        <v>0</v>
      </c>
      <c r="AP105" s="134">
        <f t="shared" si="87"/>
        <v>0</v>
      </c>
      <c r="AQ105" s="134">
        <f t="shared" si="87"/>
        <v>0</v>
      </c>
      <c r="AR105" s="237">
        <f t="shared" si="87"/>
        <v>32438374200.354317</v>
      </c>
      <c r="AS105" s="237">
        <f t="shared" si="87"/>
        <v>23347566483.995892</v>
      </c>
      <c r="AT105" s="134">
        <f t="shared" si="87"/>
        <v>651827150.00590527</v>
      </c>
      <c r="AU105" s="134">
        <f t="shared" si="87"/>
        <v>480511085.62044013</v>
      </c>
      <c r="AV105" s="237">
        <f t="shared" si="87"/>
        <v>18398125770.856083</v>
      </c>
      <c r="AW105" s="237">
        <f t="shared" si="87"/>
        <v>18341712432.856083</v>
      </c>
      <c r="AX105" s="134">
        <f t="shared" si="87"/>
        <v>369088309.51426804</v>
      </c>
      <c r="AY105" s="132">
        <f>AZ105/$I$105</f>
        <v>93083.66896332243</v>
      </c>
      <c r="AZ105" s="132">
        <f t="shared" si="71"/>
        <v>1020915459.5201733</v>
      </c>
      <c r="BA105" s="147">
        <f>SUM(BA66:BA104)</f>
        <v>221</v>
      </c>
      <c r="BB105" s="147">
        <f>SUM(BB66:BB104)</f>
        <v>225.51716378235159</v>
      </c>
      <c r="BC105" s="132"/>
      <c r="BD105" s="138"/>
      <c r="BE105" s="138"/>
      <c r="BF105" s="138"/>
      <c r="BG105" s="138"/>
      <c r="BH105" s="138"/>
      <c r="BI105" s="138"/>
      <c r="BJ105" s="138"/>
      <c r="BK105" s="138"/>
      <c r="BL105" s="138"/>
      <c r="BM105" s="138"/>
      <c r="BN105" s="138"/>
      <c r="BO105" s="238"/>
      <c r="BP105" s="238"/>
    </row>
    <row r="106" spans="3:70" ht="30" customHeight="1" x14ac:dyDescent="0.25">
      <c r="C106" s="93"/>
      <c r="D106" s="143" t="s">
        <v>209</v>
      </c>
      <c r="E106" s="144"/>
      <c r="F106" s="145"/>
      <c r="G106" s="118" t="s">
        <v>158</v>
      </c>
      <c r="H106" s="119">
        <f>SUMIF($G$66:$G$104,$G$106,H66:H104)</f>
        <v>329.58000000000004</v>
      </c>
      <c r="I106" s="119">
        <f>SUMIF($G$66:$G$104,$G$106,I66:I104)</f>
        <v>99.697950000000006</v>
      </c>
      <c r="J106" s="119">
        <f>SUMIF($G$66:$G$104,$G$106,J66:J104)</f>
        <v>125.12515400000001</v>
      </c>
      <c r="K106" s="119">
        <f>SUMIF($G$66:$G$104,$G$106,K66:K104)</f>
        <v>37.850359085000001</v>
      </c>
      <c r="L106" s="120">
        <f t="shared" ref="L106:L107" si="88">J106/H106</f>
        <v>0.37965032465562226</v>
      </c>
      <c r="M106" s="239"/>
      <c r="N106" s="122"/>
      <c r="O106" s="122"/>
      <c r="P106" s="123"/>
      <c r="Q106" s="124"/>
      <c r="R106" s="125"/>
      <c r="S106" s="125"/>
      <c r="T106" s="125"/>
      <c r="U106" s="125"/>
      <c r="V106" s="125"/>
      <c r="W106" s="125"/>
      <c r="X106" s="125"/>
      <c r="Y106" s="125"/>
      <c r="Z106" s="235"/>
      <c r="AA106" s="236"/>
      <c r="AB106" s="132"/>
      <c r="AC106" s="132"/>
      <c r="AD106" s="132">
        <f t="shared" si="61"/>
        <v>0</v>
      </c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  <c r="AO106" s="133"/>
      <c r="AP106" s="133"/>
      <c r="AQ106" s="133"/>
      <c r="AR106" s="132"/>
      <c r="AS106" s="132"/>
      <c r="AT106" s="133"/>
      <c r="AU106" s="134"/>
      <c r="AV106" s="132"/>
      <c r="AW106" s="146"/>
      <c r="AX106" s="133"/>
      <c r="AY106" s="132"/>
      <c r="AZ106" s="132">
        <f t="shared" si="71"/>
        <v>0</v>
      </c>
      <c r="BA106" s="132"/>
      <c r="BB106" s="132"/>
      <c r="BC106" s="132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238"/>
      <c r="BP106" s="238"/>
    </row>
    <row r="107" spans="3:70" ht="30" customHeight="1" x14ac:dyDescent="0.25">
      <c r="C107" s="149"/>
      <c r="D107" s="240"/>
      <c r="E107" s="241"/>
      <c r="F107" s="242"/>
      <c r="G107" s="118" t="s">
        <v>346</v>
      </c>
      <c r="H107" s="119">
        <f>SUM(H66:H104)</f>
        <v>36586.500000000007</v>
      </c>
      <c r="I107" s="119">
        <f>SUM(I66:I104)</f>
        <v>11067.416249999998</v>
      </c>
      <c r="J107" s="119">
        <f>SUM(J66:J104)</f>
        <v>14002.269061004745</v>
      </c>
      <c r="K107" s="119">
        <f>SUM(K66:K104)</f>
        <v>4235.686390953937</v>
      </c>
      <c r="L107" s="120">
        <f t="shared" si="88"/>
        <v>0.38271682344593611</v>
      </c>
      <c r="M107" s="239"/>
      <c r="N107" s="122"/>
      <c r="O107" s="122"/>
      <c r="P107" s="123"/>
      <c r="Q107" s="124"/>
      <c r="R107" s="125"/>
      <c r="S107" s="125"/>
      <c r="T107" s="125"/>
      <c r="U107" s="125"/>
      <c r="V107" s="125"/>
      <c r="W107" s="125"/>
      <c r="X107" s="125"/>
      <c r="Y107" s="125"/>
      <c r="Z107" s="235"/>
      <c r="AA107" s="236"/>
      <c r="AB107" s="132"/>
      <c r="AC107" s="132"/>
      <c r="AD107" s="132">
        <f t="shared" si="61"/>
        <v>0</v>
      </c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  <c r="AP107" s="133"/>
      <c r="AQ107" s="133"/>
      <c r="AR107" s="132"/>
      <c r="AS107" s="132"/>
      <c r="AT107" s="133"/>
      <c r="AU107" s="134"/>
      <c r="AV107" s="132"/>
      <c r="AW107" s="146"/>
      <c r="AX107" s="133"/>
      <c r="AY107" s="132"/>
      <c r="AZ107" s="132">
        <f t="shared" si="71"/>
        <v>0</v>
      </c>
      <c r="BA107" s="132"/>
      <c r="BB107" s="132"/>
      <c r="BC107" s="132"/>
      <c r="BD107" s="138"/>
      <c r="BE107" s="138"/>
      <c r="BF107" s="138"/>
      <c r="BG107" s="138"/>
      <c r="BH107" s="138"/>
      <c r="BI107" s="138"/>
      <c r="BJ107" s="138"/>
      <c r="BK107" s="138"/>
      <c r="BL107" s="138"/>
      <c r="BM107" s="138"/>
      <c r="BN107" s="138"/>
      <c r="BO107" s="238"/>
      <c r="BP107" s="238"/>
    </row>
    <row r="108" spans="3:70" ht="40.15" customHeight="1" x14ac:dyDescent="0.25">
      <c r="C108" s="243"/>
      <c r="D108" s="244"/>
      <c r="E108" s="244"/>
      <c r="F108" s="245"/>
      <c r="G108" s="246" t="s">
        <v>347</v>
      </c>
      <c r="H108" s="247">
        <f t="shared" ref="H108:K110" si="89">H105+H63+H34</f>
        <v>92385.050000000017</v>
      </c>
      <c r="I108" s="247">
        <f t="shared" si="89"/>
        <v>27946.477625</v>
      </c>
      <c r="J108" s="247">
        <f t="shared" si="89"/>
        <v>36465.74390700474</v>
      </c>
      <c r="K108" s="247">
        <f t="shared" si="89"/>
        <v>11030.887531868935</v>
      </c>
      <c r="L108" s="248">
        <f>J108/H108</f>
        <v>0.39471477156752888</v>
      </c>
      <c r="M108" s="249"/>
      <c r="N108" s="250"/>
      <c r="O108" s="250"/>
      <c r="P108" s="251"/>
      <c r="Q108" s="252"/>
      <c r="R108" s="253"/>
      <c r="S108" s="254">
        <f>AVERAGEIF(S13:S104,"&gt;0")</f>
        <v>1.6077240468724205</v>
      </c>
      <c r="T108" s="253"/>
      <c r="U108" s="253"/>
      <c r="V108" s="253"/>
      <c r="W108" s="253"/>
      <c r="X108" s="253"/>
      <c r="Y108" s="253"/>
      <c r="Z108" s="255"/>
      <c r="AA108" s="256"/>
      <c r="AB108" s="257"/>
      <c r="AC108" s="257"/>
      <c r="AD108" s="257">
        <f t="shared" si="61"/>
        <v>3112.7551523664624</v>
      </c>
      <c r="AE108" s="258">
        <f t="shared" ref="AE108" si="90">AE105+AE63+AE34</f>
        <v>34336452</v>
      </c>
      <c r="AF108" s="257">
        <f>AVERAGEIF(AF13:AF107,"&gt;0")</f>
        <v>247766.29942694388</v>
      </c>
      <c r="AG108" s="257">
        <f>AVERAGEIF(AG13:AG107,"&gt;0")</f>
        <v>212069.20885130292</v>
      </c>
      <c r="AH108" s="259">
        <f>AK108/I108</f>
        <v>500815.52701581299</v>
      </c>
      <c r="AI108" s="257">
        <f>AT108/$I$108</f>
        <v>57192.755790095747</v>
      </c>
      <c r="AJ108" s="257">
        <f>AX108/$I$108</f>
        <v>33356.467298264746</v>
      </c>
      <c r="AK108" s="247">
        <f t="shared" ref="AK108:AL108" si="91">AK105+AK63+AK34</f>
        <v>13996029920</v>
      </c>
      <c r="AL108" s="247">
        <f t="shared" si="91"/>
        <v>0</v>
      </c>
      <c r="AM108" s="247">
        <f>AM105+AM63+AM34</f>
        <v>12638524320</v>
      </c>
      <c r="AN108" s="247">
        <f>AN105+AN63+AN34</f>
        <v>1357505600</v>
      </c>
      <c r="AO108" s="247">
        <f t="shared" ref="AO108:AX108" si="92">AO105+AO63+AO34</f>
        <v>0</v>
      </c>
      <c r="AP108" s="247">
        <f t="shared" si="92"/>
        <v>0</v>
      </c>
      <c r="AQ108" s="247">
        <f t="shared" si="92"/>
        <v>0</v>
      </c>
      <c r="AR108" s="258">
        <f t="shared" si="92"/>
        <v>82151825640</v>
      </c>
      <c r="AS108" s="258">
        <f t="shared" si="92"/>
        <v>60781625478.6129</v>
      </c>
      <c r="AT108" s="247">
        <f t="shared" si="92"/>
        <v>1598336070</v>
      </c>
      <c r="AU108" s="247">
        <f t="shared" si="92"/>
        <v>1200954509.7596753</v>
      </c>
      <c r="AV108" s="258">
        <f t="shared" si="92"/>
        <v>47887668164</v>
      </c>
      <c r="AW108" s="258">
        <f t="shared" si="92"/>
        <v>47897025842.666672</v>
      </c>
      <c r="AX108" s="247">
        <f t="shared" si="92"/>
        <v>932195767</v>
      </c>
      <c r="AY108" s="257">
        <f>AZ108/$I$108</f>
        <v>90549.223088360493</v>
      </c>
      <c r="AZ108" s="247">
        <f>AZ105+AZ63+AZ34</f>
        <v>2530531837</v>
      </c>
      <c r="BA108" s="260">
        <f t="shared" ref="BA108:BB108" si="93">BA105+BA63+BA34</f>
        <v>563</v>
      </c>
      <c r="BB108" s="260">
        <f t="shared" si="93"/>
        <v>592</v>
      </c>
      <c r="BC108" s="261"/>
      <c r="BD108" s="262"/>
      <c r="BE108" s="262"/>
      <c r="BF108" s="262"/>
      <c r="BG108" s="262"/>
      <c r="BH108" s="262"/>
      <c r="BI108" s="262"/>
      <c r="BJ108" s="262"/>
      <c r="BK108" s="262"/>
      <c r="BL108" s="262"/>
      <c r="BM108" s="263"/>
      <c r="BN108" s="262"/>
      <c r="BO108" s="264"/>
      <c r="BP108" s="264"/>
    </row>
    <row r="109" spans="3:70" ht="39.6" customHeight="1" x14ac:dyDescent="0.25">
      <c r="C109" s="265" t="s">
        <v>348</v>
      </c>
      <c r="D109" s="266"/>
      <c r="E109" s="266"/>
      <c r="F109" s="267"/>
      <c r="G109" s="246" t="s">
        <v>210</v>
      </c>
      <c r="H109" s="247">
        <f t="shared" si="89"/>
        <v>329.58000000000004</v>
      </c>
      <c r="I109" s="247">
        <f t="shared" si="89"/>
        <v>99.697950000000006</v>
      </c>
      <c r="J109" s="247">
        <f t="shared" si="89"/>
        <v>125.12515400000001</v>
      </c>
      <c r="K109" s="247">
        <f t="shared" si="89"/>
        <v>37.850359085000001</v>
      </c>
      <c r="L109" s="248">
        <f t="shared" ref="L109:L110" si="94">J109/H109</f>
        <v>0.37965032465562226</v>
      </c>
      <c r="M109" s="249"/>
      <c r="N109" s="250"/>
      <c r="O109" s="250"/>
      <c r="P109" s="251"/>
      <c r="Q109" s="252"/>
      <c r="R109" s="253"/>
      <c r="S109" s="253"/>
      <c r="T109" s="253"/>
      <c r="U109" s="253"/>
      <c r="V109" s="253"/>
      <c r="W109" s="253"/>
      <c r="X109" s="253"/>
      <c r="Y109" s="253"/>
      <c r="Z109" s="255"/>
      <c r="AA109" s="256"/>
      <c r="AB109" s="257"/>
      <c r="AC109" s="257"/>
      <c r="AD109" s="257">
        <f t="shared" si="61"/>
        <v>0</v>
      </c>
      <c r="AE109" s="257"/>
      <c r="AF109" s="261"/>
      <c r="AG109" s="261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57"/>
      <c r="AR109" s="257"/>
      <c r="AS109" s="257"/>
      <c r="AT109" s="257"/>
      <c r="AU109" s="257"/>
      <c r="AV109" s="257"/>
      <c r="AW109" s="268"/>
      <c r="AX109" s="257"/>
      <c r="AY109" s="257"/>
      <c r="AZ109" s="257"/>
      <c r="BA109" s="260">
        <f>BA110-BA108</f>
        <v>94</v>
      </c>
      <c r="BB109" s="260">
        <f>BB110-BB108</f>
        <v>65</v>
      </c>
      <c r="BC109" s="261"/>
      <c r="BD109" s="262"/>
      <c r="BE109" s="262"/>
      <c r="BF109" s="262"/>
      <c r="BG109" s="262"/>
      <c r="BH109" s="262"/>
      <c r="BI109" s="262"/>
      <c r="BJ109" s="262"/>
      <c r="BK109" s="262"/>
      <c r="BL109" s="262"/>
      <c r="BM109" s="263"/>
      <c r="BN109" s="262"/>
      <c r="BO109" s="264"/>
      <c r="BP109" s="264"/>
    </row>
    <row r="110" spans="3:70" ht="40.15" customHeight="1" x14ac:dyDescent="0.25">
      <c r="C110" s="269"/>
      <c r="D110" s="270"/>
      <c r="E110" s="270"/>
      <c r="F110" s="271"/>
      <c r="G110" s="246" t="s">
        <v>349</v>
      </c>
      <c r="H110" s="247">
        <f t="shared" si="89"/>
        <v>92714.630000000019</v>
      </c>
      <c r="I110" s="247">
        <f t="shared" si="89"/>
        <v>28046.175575000001</v>
      </c>
      <c r="J110" s="247">
        <f t="shared" si="89"/>
        <v>36590.869061004749</v>
      </c>
      <c r="K110" s="247">
        <f t="shared" si="89"/>
        <v>11068.737890953937</v>
      </c>
      <c r="L110" s="248">
        <f t="shared" si="94"/>
        <v>0.39466122079120353</v>
      </c>
      <c r="M110" s="249"/>
      <c r="N110" s="250"/>
      <c r="O110" s="250"/>
      <c r="P110" s="251"/>
      <c r="Q110" s="252"/>
      <c r="R110" s="253"/>
      <c r="S110" s="253"/>
      <c r="T110" s="253"/>
      <c r="U110" s="253"/>
      <c r="V110" s="253"/>
      <c r="W110" s="253"/>
      <c r="X110" s="253"/>
      <c r="Y110" s="253"/>
      <c r="Z110" s="255"/>
      <c r="AA110" s="256"/>
      <c r="AB110" s="257"/>
      <c r="AC110" s="257"/>
      <c r="AD110" s="257">
        <f t="shared" si="61"/>
        <v>0</v>
      </c>
      <c r="AE110" s="257"/>
      <c r="AF110" s="261"/>
      <c r="AG110" s="261"/>
      <c r="AH110" s="257"/>
      <c r="AI110" s="257"/>
      <c r="AJ110" s="257"/>
      <c r="AK110" s="257"/>
      <c r="AL110" s="257"/>
      <c r="AM110" s="257"/>
      <c r="AN110" s="257"/>
      <c r="AO110" s="257"/>
      <c r="AP110" s="257"/>
      <c r="AQ110" s="257"/>
      <c r="AR110" s="257"/>
      <c r="AS110" s="257"/>
      <c r="AT110" s="257"/>
      <c r="AU110" s="257"/>
      <c r="AV110" s="257"/>
      <c r="AW110" s="268"/>
      <c r="AX110" s="257"/>
      <c r="AY110" s="257"/>
      <c r="AZ110" s="257"/>
      <c r="BA110" s="272">
        <v>657</v>
      </c>
      <c r="BB110" s="272">
        <v>657</v>
      </c>
      <c r="BC110" s="261"/>
      <c r="BD110" s="262"/>
      <c r="BE110" s="262"/>
      <c r="BF110" s="262"/>
      <c r="BG110" s="262"/>
      <c r="BH110" s="262"/>
      <c r="BI110" s="262"/>
      <c r="BJ110" s="262"/>
      <c r="BK110" s="262"/>
      <c r="BL110" s="262"/>
      <c r="BM110" s="263"/>
      <c r="BN110" s="262"/>
      <c r="BO110" s="264"/>
      <c r="BP110" s="264"/>
    </row>
    <row r="111" spans="3:70" ht="40.15" customHeight="1" x14ac:dyDescent="0.25">
      <c r="C111" s="273" t="s">
        <v>350</v>
      </c>
      <c r="D111" s="103">
        <v>1</v>
      </c>
      <c r="E111" s="103"/>
      <c r="F111" s="102" t="s">
        <v>351</v>
      </c>
      <c r="G111" s="103" t="s">
        <v>352</v>
      </c>
      <c r="H111" s="274"/>
      <c r="I111" s="274"/>
      <c r="J111" s="274"/>
      <c r="K111" s="274"/>
      <c r="L111" s="275"/>
      <c r="M111" s="17">
        <v>45302</v>
      </c>
      <c r="N111" s="17">
        <v>45323</v>
      </c>
      <c r="O111" s="17">
        <v>47149</v>
      </c>
      <c r="P111" s="67">
        <f t="shared" ref="P111:P113" si="95">Q111/$P$1</f>
        <v>5</v>
      </c>
      <c r="Q111" s="68">
        <f t="shared" ref="Q111:Q113" si="96">DATEDIF(N111,O111,"m")+1</f>
        <v>60</v>
      </c>
      <c r="R111" s="69">
        <f t="shared" ref="R111:R113" si="97">IFERROR(DATEDIF($R$1,O111,"m"),0)</f>
        <v>56</v>
      </c>
      <c r="S111" s="70"/>
      <c r="T111" s="108"/>
      <c r="U111" s="67"/>
      <c r="V111" s="68"/>
      <c r="W111" s="68" t="str">
        <f>IFERROR(DATEDIF($R$1,T111,"m"),"만료")</f>
        <v>만료</v>
      </c>
      <c r="X111" s="71">
        <v>1</v>
      </c>
      <c r="Y111" s="72">
        <f t="shared" ref="Y111:Y113" si="98">EDATE($O111,-X111)</f>
        <v>47118</v>
      </c>
      <c r="Z111" s="276"/>
      <c r="AA111" s="277"/>
      <c r="AB111" s="79"/>
      <c r="AC111" s="79"/>
      <c r="AD111" s="79"/>
      <c r="AE111" s="79"/>
      <c r="AF111" s="79"/>
      <c r="AG111" s="79"/>
      <c r="AH111" s="77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8">
        <v>1250000</v>
      </c>
      <c r="AU111" s="79"/>
      <c r="AV111" s="79"/>
      <c r="AW111" s="79"/>
      <c r="AX111" s="79"/>
      <c r="AY111" s="77"/>
      <c r="AZ111" s="77">
        <f>SUM(AT111,AX111)</f>
        <v>1250000</v>
      </c>
      <c r="BA111" s="79"/>
      <c r="BB111" s="79"/>
      <c r="BC111" s="79"/>
      <c r="BD111" s="114"/>
      <c r="BE111" s="114"/>
      <c r="BF111" s="114"/>
      <c r="BG111" s="114"/>
      <c r="BH111" s="114"/>
      <c r="BI111" s="114"/>
      <c r="BJ111" s="114"/>
      <c r="BK111" s="89">
        <v>10</v>
      </c>
      <c r="BL111" s="114"/>
      <c r="BM111" s="114"/>
      <c r="BN111" s="91" t="s">
        <v>353</v>
      </c>
      <c r="BO111" s="264"/>
      <c r="BP111" s="264"/>
    </row>
    <row r="112" spans="3:70" ht="40.15" customHeight="1" x14ac:dyDescent="0.25">
      <c r="C112" s="273"/>
      <c r="D112" s="103">
        <v>2</v>
      </c>
      <c r="E112" s="103"/>
      <c r="F112" s="102" t="s">
        <v>354</v>
      </c>
      <c r="G112" s="103" t="s">
        <v>355</v>
      </c>
      <c r="H112" s="274"/>
      <c r="I112" s="274"/>
      <c r="J112" s="274"/>
      <c r="K112" s="274"/>
      <c r="L112" s="275"/>
      <c r="M112" s="17">
        <v>43466</v>
      </c>
      <c r="N112" s="17">
        <v>45292</v>
      </c>
      <c r="O112" s="17">
        <v>46022</v>
      </c>
      <c r="P112" s="67">
        <f t="shared" si="95"/>
        <v>2</v>
      </c>
      <c r="Q112" s="68">
        <f t="shared" si="96"/>
        <v>24</v>
      </c>
      <c r="R112" s="69">
        <f t="shared" si="97"/>
        <v>19</v>
      </c>
      <c r="S112" s="108"/>
      <c r="T112" s="108"/>
      <c r="U112" s="67"/>
      <c r="V112" s="68"/>
      <c r="W112" s="68" t="str">
        <f>IFERROR(DATEDIF($R$1,T112,"m"),"만료")</f>
        <v>만료</v>
      </c>
      <c r="X112" s="71">
        <v>1</v>
      </c>
      <c r="Y112" s="72">
        <f t="shared" si="98"/>
        <v>45991</v>
      </c>
      <c r="Z112" s="276"/>
      <c r="AA112" s="277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8">
        <v>470000</v>
      </c>
      <c r="AU112" s="79"/>
      <c r="AV112" s="79"/>
      <c r="AW112" s="79"/>
      <c r="AX112" s="79"/>
      <c r="AY112" s="79"/>
      <c r="AZ112" s="77">
        <f>SUM(AT112,AX112)</f>
        <v>470000</v>
      </c>
      <c r="BA112" s="79"/>
      <c r="BB112" s="79"/>
      <c r="BC112" s="79"/>
      <c r="BD112" s="114"/>
      <c r="BE112" s="114"/>
      <c r="BF112" s="114"/>
      <c r="BG112" s="114"/>
      <c r="BH112" s="114"/>
      <c r="BI112" s="114"/>
      <c r="BJ112" s="114"/>
      <c r="BK112" s="89">
        <v>10</v>
      </c>
      <c r="BL112" s="114"/>
      <c r="BM112" s="114"/>
      <c r="BN112" s="91" t="s">
        <v>353</v>
      </c>
      <c r="BO112" s="264"/>
      <c r="BP112" s="264"/>
    </row>
    <row r="113" spans="3:68" ht="40.15" customHeight="1" x14ac:dyDescent="0.25">
      <c r="C113" s="273"/>
      <c r="D113" s="103">
        <v>3</v>
      </c>
      <c r="E113" s="103"/>
      <c r="F113" s="102" t="s">
        <v>354</v>
      </c>
      <c r="G113" s="103" t="s">
        <v>356</v>
      </c>
      <c r="H113" s="274"/>
      <c r="I113" s="274"/>
      <c r="J113" s="274"/>
      <c r="K113" s="274"/>
      <c r="L113" s="275"/>
      <c r="M113" s="17">
        <v>43466</v>
      </c>
      <c r="N113" s="17">
        <v>45292</v>
      </c>
      <c r="O113" s="17">
        <v>46022</v>
      </c>
      <c r="P113" s="67">
        <f t="shared" si="95"/>
        <v>2</v>
      </c>
      <c r="Q113" s="68">
        <f t="shared" si="96"/>
        <v>24</v>
      </c>
      <c r="R113" s="69">
        <f t="shared" si="97"/>
        <v>19</v>
      </c>
      <c r="S113" s="108"/>
      <c r="T113" s="108"/>
      <c r="U113" s="67"/>
      <c r="V113" s="68"/>
      <c r="W113" s="68" t="str">
        <f>IFERROR(DATEDIF($R$1,T113,"m"),"만료")</f>
        <v>만료</v>
      </c>
      <c r="X113" s="71">
        <v>1</v>
      </c>
      <c r="Y113" s="72">
        <f t="shared" si="98"/>
        <v>45991</v>
      </c>
      <c r="Z113" s="276"/>
      <c r="AA113" s="277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8">
        <v>950000</v>
      </c>
      <c r="AU113" s="79"/>
      <c r="AV113" s="79"/>
      <c r="AW113" s="79"/>
      <c r="AX113" s="79"/>
      <c r="AY113" s="79"/>
      <c r="AZ113" s="77">
        <f>SUM(AT113,AX113)</f>
        <v>950000</v>
      </c>
      <c r="BA113" s="79"/>
      <c r="BB113" s="79"/>
      <c r="BC113" s="79"/>
      <c r="BD113" s="114"/>
      <c r="BE113" s="114"/>
      <c r="BF113" s="114"/>
      <c r="BG113" s="114"/>
      <c r="BH113" s="114"/>
      <c r="BI113" s="114"/>
      <c r="BJ113" s="114"/>
      <c r="BK113" s="89">
        <v>10</v>
      </c>
      <c r="BL113" s="114"/>
      <c r="BM113" s="114"/>
      <c r="BN113" s="91" t="s">
        <v>353</v>
      </c>
      <c r="BO113" s="264"/>
      <c r="BP113" s="264"/>
    </row>
    <row r="114" spans="3:68" ht="40.15" customHeight="1" x14ac:dyDescent="0.25">
      <c r="C114" s="273"/>
      <c r="D114" s="278" t="s">
        <v>209</v>
      </c>
      <c r="E114" s="278"/>
      <c r="F114" s="278"/>
      <c r="G114" s="278"/>
      <c r="H114" s="279"/>
      <c r="I114" s="279"/>
      <c r="J114" s="279"/>
      <c r="K114" s="279"/>
      <c r="L114" s="280"/>
      <c r="M114" s="172"/>
      <c r="N114" s="24"/>
      <c r="O114" s="24"/>
      <c r="P114" s="281"/>
      <c r="Q114" s="282"/>
      <c r="R114" s="283"/>
      <c r="S114" s="283"/>
      <c r="T114" s="283"/>
      <c r="U114" s="283"/>
      <c r="V114" s="283"/>
      <c r="W114" s="283"/>
      <c r="X114" s="283"/>
      <c r="Y114" s="283"/>
      <c r="Z114" s="284"/>
      <c r="AA114" s="285"/>
      <c r="AB114" s="134"/>
      <c r="AC114" s="134"/>
      <c r="AD114" s="134"/>
      <c r="AE114" s="134"/>
      <c r="AF114" s="286"/>
      <c r="AG114" s="286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>
        <f>SUM(AT111:AT113)</f>
        <v>2670000</v>
      </c>
      <c r="AU114" s="134"/>
      <c r="AV114" s="134"/>
      <c r="AW114" s="134"/>
      <c r="AX114" s="134">
        <f>SUM(AX111:AX113)</f>
        <v>0</v>
      </c>
      <c r="AY114" s="134"/>
      <c r="AZ114" s="134">
        <f>SUM(AZ111:AZ113)</f>
        <v>2670000</v>
      </c>
      <c r="BA114" s="134"/>
      <c r="BB114" s="134"/>
      <c r="BC114" s="286"/>
      <c r="BD114" s="287"/>
      <c r="BE114" s="287"/>
      <c r="BF114" s="287"/>
      <c r="BG114" s="287"/>
      <c r="BH114" s="287"/>
      <c r="BI114" s="287"/>
      <c r="BJ114" s="287"/>
      <c r="BK114" s="287"/>
      <c r="BL114" s="287"/>
      <c r="BM114" s="287"/>
      <c r="BN114" s="287"/>
      <c r="BO114" s="264"/>
      <c r="BP114" s="264"/>
    </row>
    <row r="115" spans="3:68" ht="13.15" customHeight="1" x14ac:dyDescent="0.25">
      <c r="C115" s="288"/>
      <c r="D115" s="288"/>
      <c r="E115" s="288"/>
      <c r="F115" s="288"/>
      <c r="G115" s="289"/>
      <c r="H115" s="290"/>
      <c r="I115" s="290"/>
      <c r="J115" s="290"/>
      <c r="K115" s="290"/>
      <c r="L115" s="291"/>
      <c r="M115" s="292"/>
      <c r="N115" s="32"/>
      <c r="O115" s="32"/>
      <c r="P115" s="293"/>
      <c r="Q115" s="294"/>
      <c r="R115" s="295"/>
      <c r="S115" s="295"/>
      <c r="T115" s="295"/>
      <c r="U115" s="295"/>
      <c r="V115" s="295"/>
      <c r="W115" s="295"/>
      <c r="X115" s="295"/>
      <c r="Y115" s="295"/>
      <c r="Z115" s="295"/>
      <c r="AA115" s="295"/>
      <c r="AB115" s="295"/>
      <c r="AC115" s="295"/>
      <c r="AD115" s="295"/>
      <c r="AE115" s="295"/>
      <c r="AF115" s="295"/>
      <c r="AG115" s="295"/>
      <c r="AH115" s="296"/>
      <c r="AI115" s="296"/>
      <c r="AJ115" s="296"/>
      <c r="AK115" s="296"/>
      <c r="AL115" s="296"/>
      <c r="AM115" s="296"/>
      <c r="AN115" s="296"/>
      <c r="AO115" s="296"/>
      <c r="AP115" s="296"/>
      <c r="AQ115" s="296"/>
      <c r="AR115" s="296"/>
      <c r="AS115" s="296"/>
      <c r="AT115" s="296"/>
      <c r="AU115" s="296"/>
      <c r="AV115" s="296"/>
      <c r="AW115" s="296"/>
      <c r="AX115" s="296"/>
      <c r="AY115" s="296"/>
      <c r="AZ115" s="296"/>
      <c r="BA115" s="296"/>
      <c r="BB115" s="296"/>
      <c r="BC115" s="297"/>
      <c r="BD115" s="264"/>
      <c r="BE115" s="264"/>
      <c r="BF115" s="264"/>
      <c r="BG115" s="264"/>
      <c r="BH115" s="264"/>
      <c r="BI115" s="264"/>
      <c r="BJ115" s="264"/>
      <c r="BK115" s="264"/>
      <c r="BL115" s="264"/>
      <c r="BM115" s="264"/>
      <c r="BN115" s="264"/>
      <c r="BO115" s="264"/>
      <c r="BP115" s="264"/>
    </row>
    <row r="116" spans="3:68" ht="39.6" customHeight="1" x14ac:dyDescent="0.25">
      <c r="C116" s="298"/>
      <c r="D116" s="298"/>
      <c r="E116" s="298"/>
      <c r="F116" s="298"/>
      <c r="G116" s="299"/>
      <c r="H116" s="300"/>
      <c r="I116" s="300">
        <f>I103+I104</f>
        <v>185.63215</v>
      </c>
      <c r="J116" s="300">
        <f>I116*60000</f>
        <v>11137929</v>
      </c>
      <c r="K116" s="300"/>
      <c r="L116" s="301"/>
      <c r="M116" s="302"/>
      <c r="N116" s="303"/>
      <c r="O116" s="303"/>
      <c r="P116" s="304"/>
      <c r="Q116" s="305"/>
      <c r="R116" s="306"/>
      <c r="S116" s="306"/>
      <c r="T116" s="306"/>
      <c r="U116" s="306"/>
      <c r="V116" s="306"/>
      <c r="W116" s="306"/>
      <c r="X116" s="306"/>
      <c r="Y116" s="306"/>
      <c r="Z116" s="306"/>
      <c r="AA116" s="306"/>
      <c r="AB116" s="306"/>
      <c r="AC116" s="306"/>
      <c r="AD116" s="306"/>
      <c r="AE116" s="306"/>
      <c r="AF116" s="306"/>
      <c r="AG116" s="306"/>
      <c r="AH116" s="307"/>
      <c r="AI116" s="307"/>
      <c r="AJ116" s="307"/>
      <c r="AK116" s="307"/>
      <c r="AL116" s="307"/>
      <c r="AM116" s="307"/>
      <c r="AN116" s="307"/>
      <c r="AO116" s="307"/>
      <c r="AP116" s="307"/>
      <c r="AQ116" s="307"/>
      <c r="AR116" s="307"/>
      <c r="AS116" s="307"/>
      <c r="AT116" s="307">
        <v>1587989620</v>
      </c>
      <c r="AU116" s="307"/>
      <c r="AV116" s="307"/>
      <c r="AW116" s="307"/>
      <c r="AX116" s="307"/>
      <c r="AY116" s="307"/>
      <c r="AZ116" s="307"/>
      <c r="BA116" s="307"/>
      <c r="BB116" s="307"/>
      <c r="BC116" s="308"/>
      <c r="BD116" s="309"/>
      <c r="BE116" s="309"/>
      <c r="BF116" s="309"/>
      <c r="BG116" s="309"/>
      <c r="BH116" s="309"/>
      <c r="BI116" s="309"/>
      <c r="BJ116" s="309"/>
      <c r="BK116" s="309"/>
      <c r="BL116" s="309"/>
      <c r="BM116" s="309"/>
      <c r="BN116" s="309"/>
      <c r="BO116" s="309"/>
      <c r="BP116" s="309"/>
    </row>
    <row r="117" spans="3:68" ht="27.75" x14ac:dyDescent="0.45">
      <c r="C117" s="310" t="s">
        <v>357</v>
      </c>
      <c r="L117" s="314"/>
      <c r="N117" s="316"/>
      <c r="P117" s="21"/>
      <c r="AT117" s="318">
        <f>AT116-AT108</f>
        <v>-10346450</v>
      </c>
    </row>
    <row r="118" spans="3:68" x14ac:dyDescent="0.25">
      <c r="I118" s="3">
        <v>0.30249999999999999</v>
      </c>
      <c r="J118" s="1"/>
      <c r="K118" s="3">
        <v>0.30249999999999999</v>
      </c>
    </row>
    <row r="119" spans="3:68" ht="48.6" customHeight="1" x14ac:dyDescent="0.3">
      <c r="C119" s="320" t="s">
        <v>358</v>
      </c>
      <c r="D119" s="320" t="s">
        <v>359</v>
      </c>
      <c r="E119" s="320" t="s">
        <v>360</v>
      </c>
      <c r="F119" s="320" t="s">
        <v>361</v>
      </c>
      <c r="G119" s="320"/>
      <c r="H119" s="321" t="s">
        <v>362</v>
      </c>
      <c r="I119" s="321"/>
      <c r="J119" s="321" t="s">
        <v>363</v>
      </c>
      <c r="K119" s="321"/>
      <c r="L119" s="322" t="s">
        <v>364</v>
      </c>
      <c r="M119" s="322" t="s">
        <v>365</v>
      </c>
      <c r="N119" s="320" t="s">
        <v>366</v>
      </c>
      <c r="O119" s="323" t="s">
        <v>367</v>
      </c>
      <c r="P119" s="323" t="s">
        <v>368</v>
      </c>
      <c r="Q119" s="324" t="s">
        <v>369</v>
      </c>
      <c r="R119" s="323" t="s">
        <v>370</v>
      </c>
      <c r="S119" s="323" t="s">
        <v>371</v>
      </c>
      <c r="T119" s="325"/>
      <c r="U119" s="321"/>
      <c r="V119" s="321"/>
      <c r="W119" s="322"/>
      <c r="X119" s="326"/>
      <c r="Y119" s="321"/>
      <c r="Z119" s="321"/>
      <c r="AA119" s="321"/>
      <c r="AB119" s="321"/>
      <c r="AC119" s="321"/>
      <c r="AD119" s="321"/>
      <c r="AE119" s="321"/>
      <c r="AF119" s="45" t="s">
        <v>372</v>
      </c>
      <c r="AG119" s="44"/>
      <c r="AH119" s="327" t="s">
        <v>373</v>
      </c>
      <c r="AI119" s="328"/>
      <c r="AJ119" s="329"/>
      <c r="AK119" s="322" t="s">
        <v>374</v>
      </c>
      <c r="AL119" s="321"/>
      <c r="AM119" s="321"/>
      <c r="AN119" s="321"/>
      <c r="AO119" s="321"/>
      <c r="AP119" s="321"/>
      <c r="AQ119" s="321"/>
      <c r="AR119" s="321" t="s">
        <v>375</v>
      </c>
      <c r="AS119" s="321"/>
      <c r="AT119" s="330"/>
      <c r="AU119" s="330"/>
      <c r="AV119" s="331" t="s">
        <v>376</v>
      </c>
      <c r="AW119" s="332"/>
      <c r="AX119" s="333"/>
      <c r="AY119" s="331" t="s">
        <v>377</v>
      </c>
      <c r="AZ119" s="332"/>
      <c r="BA119" s="44" t="s">
        <v>378</v>
      </c>
      <c r="BB119" s="44"/>
      <c r="BC119" s="334"/>
      <c r="BD119" s="335"/>
      <c r="BE119" s="335"/>
    </row>
    <row r="120" spans="3:68" ht="62.45" customHeight="1" x14ac:dyDescent="0.3">
      <c r="C120" s="320"/>
      <c r="D120" s="320"/>
      <c r="E120" s="320"/>
      <c r="F120" s="320"/>
      <c r="G120" s="320"/>
      <c r="H120" s="325" t="s">
        <v>379</v>
      </c>
      <c r="I120" s="325" t="s">
        <v>380</v>
      </c>
      <c r="J120" s="325" t="s">
        <v>379</v>
      </c>
      <c r="K120" s="325" t="s">
        <v>380</v>
      </c>
      <c r="L120" s="325" t="s">
        <v>381</v>
      </c>
      <c r="M120" s="325" t="s">
        <v>381</v>
      </c>
      <c r="N120" s="320"/>
      <c r="O120" s="323"/>
      <c r="P120" s="323"/>
      <c r="Q120" s="336"/>
      <c r="R120" s="323"/>
      <c r="S120" s="323"/>
      <c r="T120" s="325"/>
      <c r="U120" s="321"/>
      <c r="V120" s="321"/>
      <c r="W120" s="321"/>
      <c r="X120" s="337"/>
      <c r="Y120" s="338"/>
      <c r="Z120" s="338"/>
      <c r="AA120" s="338"/>
      <c r="AB120" s="338"/>
      <c r="AC120" s="338"/>
      <c r="AD120" s="338"/>
      <c r="AE120" s="338"/>
      <c r="AF120" s="43" t="s">
        <v>64</v>
      </c>
      <c r="AG120" s="51" t="s">
        <v>382</v>
      </c>
      <c r="AH120" s="339"/>
      <c r="AI120" s="340"/>
      <c r="AJ120" s="341"/>
      <c r="AK120" s="321" t="s">
        <v>383</v>
      </c>
      <c r="AL120" s="322" t="s">
        <v>67</v>
      </c>
      <c r="AM120" s="326" t="s">
        <v>88</v>
      </c>
      <c r="AN120" s="326" t="s">
        <v>89</v>
      </c>
      <c r="AO120" s="342" t="s">
        <v>384</v>
      </c>
      <c r="AP120" s="343" t="s">
        <v>385</v>
      </c>
      <c r="AQ120" s="343" t="s">
        <v>386</v>
      </c>
      <c r="AR120" s="338" t="s">
        <v>387</v>
      </c>
      <c r="AS120" s="338" t="s">
        <v>388</v>
      </c>
      <c r="AT120" s="344" t="s">
        <v>70</v>
      </c>
      <c r="AU120" s="345" t="s">
        <v>389</v>
      </c>
      <c r="AV120" s="43" t="s">
        <v>64</v>
      </c>
      <c r="AW120" s="43" t="s">
        <v>388</v>
      </c>
      <c r="AX120" s="324" t="s">
        <v>390</v>
      </c>
      <c r="AY120" s="346" t="s">
        <v>391</v>
      </c>
      <c r="AZ120" s="346" t="s">
        <v>392</v>
      </c>
      <c r="BA120" s="347" t="s">
        <v>72</v>
      </c>
      <c r="BB120" s="347" t="s">
        <v>393</v>
      </c>
      <c r="BC120" s="347" t="s">
        <v>394</v>
      </c>
      <c r="BD120" s="335"/>
    </row>
    <row r="121" spans="3:68" ht="38.450000000000003" customHeight="1" x14ac:dyDescent="0.3">
      <c r="C121" s="320"/>
      <c r="D121" s="320"/>
      <c r="E121" s="320"/>
      <c r="F121" s="320"/>
      <c r="G121" s="320"/>
      <c r="H121" s="325"/>
      <c r="I121" s="325"/>
      <c r="J121" s="325"/>
      <c r="K121" s="325"/>
      <c r="L121" s="325"/>
      <c r="M121" s="325"/>
      <c r="N121" s="320"/>
      <c r="O121" s="323"/>
      <c r="P121" s="323"/>
      <c r="Q121" s="348"/>
      <c r="R121" s="323"/>
      <c r="S121" s="323"/>
      <c r="T121" s="325"/>
      <c r="U121" s="321"/>
      <c r="V121" s="321"/>
      <c r="W121" s="321"/>
      <c r="X121" s="337"/>
      <c r="Y121" s="338"/>
      <c r="Z121" s="338"/>
      <c r="AA121" s="338"/>
      <c r="AB121" s="338"/>
      <c r="AC121" s="338"/>
      <c r="AD121" s="338"/>
      <c r="AE121" s="338"/>
      <c r="AF121" s="50"/>
      <c r="AG121" s="53"/>
      <c r="AH121" s="321" t="s">
        <v>75</v>
      </c>
      <c r="AI121" s="321" t="s">
        <v>375</v>
      </c>
      <c r="AJ121" s="325" t="s">
        <v>376</v>
      </c>
      <c r="AK121" s="321"/>
      <c r="AL121" s="322"/>
      <c r="AM121" s="322"/>
      <c r="AN121" s="322"/>
      <c r="AO121" s="321"/>
      <c r="AP121" s="321"/>
      <c r="AQ121" s="321"/>
      <c r="AR121" s="338"/>
      <c r="AS121" s="338"/>
      <c r="AT121" s="338"/>
      <c r="AU121" s="338"/>
      <c r="AV121" s="54"/>
      <c r="AW121" s="54"/>
      <c r="AX121" s="348"/>
      <c r="AY121" s="349"/>
      <c r="AZ121" s="349"/>
      <c r="BA121" s="347"/>
      <c r="BB121" s="347"/>
      <c r="BC121" s="347" t="s">
        <v>395</v>
      </c>
      <c r="BD121" s="335"/>
    </row>
    <row r="122" spans="3:68" ht="16.5" x14ac:dyDescent="0.3">
      <c r="C122" s="350">
        <v>1</v>
      </c>
      <c r="D122" s="351" t="s">
        <v>94</v>
      </c>
      <c r="E122" s="351">
        <f t="shared" ref="E122:E160" si="99">COUNTIF($G$13:$G$104,F122)</f>
        <v>10</v>
      </c>
      <c r="F122" s="332" t="s">
        <v>95</v>
      </c>
      <c r="G122" s="332"/>
      <c r="H122" s="352">
        <f t="shared" ref="H122:H159" si="100">SUMIF($G$13:$G$104,F122,H$13:H$104)</f>
        <v>13876.6</v>
      </c>
      <c r="I122" s="353">
        <f>H122*$I$118</f>
        <v>4197.6715000000004</v>
      </c>
      <c r="J122" s="352">
        <f t="shared" ref="J122:J159" si="101">SUMIF($G$13:$G$104,F122,J$13:J$104)</f>
        <v>5836.79</v>
      </c>
      <c r="K122" s="353">
        <f t="shared" ref="K122:K159" si="102">J122*$K$118</f>
        <v>1765.6289749999999</v>
      </c>
      <c r="L122" s="354">
        <f>H122/$H$161</f>
        <v>0.14967001432244292</v>
      </c>
      <c r="M122" s="355">
        <f t="shared" ref="M122:M161" si="103">J122/H122</f>
        <v>0.42062104550105933</v>
      </c>
      <c r="N122" s="356" t="s">
        <v>396</v>
      </c>
      <c r="O122" s="357"/>
      <c r="P122" s="358">
        <f>SUMPRODUCT(($G$13:$G$114=$F122)*$I$13:$I$114,$Q$13:$Q$114)/$I122</f>
        <v>59.999999999999993</v>
      </c>
      <c r="Q122" s="359">
        <f>I122/$I$161</f>
        <v>0.14967001432244295</v>
      </c>
      <c r="R122" s="360">
        <f>IF(D122="Office",I122/$I$161,"N/A")</f>
        <v>0.14967001432244295</v>
      </c>
      <c r="S122" s="360" t="str">
        <f>IF(D122="Retail",I122/$I$161,"N/A")</f>
        <v>N/A</v>
      </c>
      <c r="T122" s="361"/>
      <c r="U122" s="361"/>
      <c r="V122" s="362"/>
      <c r="W122" s="362"/>
      <c r="X122" s="361"/>
      <c r="Y122" s="361"/>
      <c r="Z122" s="361"/>
      <c r="AA122" s="361"/>
      <c r="AB122" s="361"/>
      <c r="AC122" s="361"/>
      <c r="AD122" s="361"/>
      <c r="AE122" s="361"/>
      <c r="AF122" s="363">
        <f>SUMPRODUCT(($AF$13:$AF$114)*($G$13:$G$114=$F122),$K$13:$K$114)/$K122</f>
        <v>210174.27656339866</v>
      </c>
      <c r="AG122" s="363">
        <f>SUMPRODUCT(($AG$13:$AG$114)*($G$13:$G$114=$F122),$K$13:$K$114)/$K122</f>
        <v>179561.13108833262</v>
      </c>
      <c r="AH122" s="364">
        <f t="shared" ref="AH122:AH160" si="104">AK122/I122</f>
        <v>318375.794770982</v>
      </c>
      <c r="AI122" s="364">
        <f>AT122/I122</f>
        <v>55185.142524849776</v>
      </c>
      <c r="AJ122" s="364">
        <f>AX122/I122</f>
        <v>32422.641933748258</v>
      </c>
      <c r="AK122" s="352">
        <f>SUMIF($G$13:$G$104,$F122,AK$13:AK$104)</f>
        <v>1336437000.0000002</v>
      </c>
      <c r="AL122" s="352">
        <f>SUMIF($G$13:$G$104,$F122,AL$13:AL$104)</f>
        <v>0</v>
      </c>
      <c r="AM122" s="352">
        <f>SUMIF($G$13:$G$104,$F122,AM$13:AM$104)</f>
        <v>1336437000.0000002</v>
      </c>
      <c r="AN122" s="352">
        <f>SUMIF($G$13:$G$104,$F122,AN$13:AN$104)</f>
        <v>0</v>
      </c>
      <c r="AO122" s="352">
        <f t="shared" ref="AO122:AX137" si="105">SUMIF($G$13:$G$104,$F122,AO$13:AO$104)</f>
        <v>0</v>
      </c>
      <c r="AP122" s="352">
        <f t="shared" si="105"/>
        <v>0</v>
      </c>
      <c r="AQ122" s="352">
        <f t="shared" si="105"/>
        <v>0</v>
      </c>
      <c r="AR122" s="364">
        <f t="shared" si="105"/>
        <v>13898946000</v>
      </c>
      <c r="AS122" s="364">
        <f t="shared" si="105"/>
        <v>10655858600</v>
      </c>
      <c r="AT122" s="364">
        <f t="shared" si="105"/>
        <v>231649099.99999997</v>
      </c>
      <c r="AU122" s="364">
        <f t="shared" si="105"/>
        <v>177597643.33333328</v>
      </c>
      <c r="AV122" s="364">
        <f t="shared" si="105"/>
        <v>8165975999.999999</v>
      </c>
      <c r="AW122" s="364">
        <f t="shared" si="105"/>
        <v>8165975999.999999</v>
      </c>
      <c r="AX122" s="364">
        <f t="shared" si="105"/>
        <v>136099599.99999997</v>
      </c>
      <c r="AY122" s="364">
        <f>AZ122/I122</f>
        <v>87607.784458598049</v>
      </c>
      <c r="AZ122" s="364">
        <f t="shared" ref="AZ122:AZ149" si="106">SUMIF($G$13:$G$104,$F122,AZ$13:AZ$104)</f>
        <v>367748700</v>
      </c>
      <c r="BA122" s="365">
        <f>SUMIF($G$13:$G$104,F122,$BA$13:$BA$104)</f>
        <v>83</v>
      </c>
      <c r="BB122" s="365">
        <f>SUMIF($G$13:$G$104,F122,$BB$13:$BB$104)</f>
        <v>86</v>
      </c>
      <c r="BC122" s="366"/>
      <c r="BD122" s="335"/>
      <c r="BE122" s="335"/>
      <c r="BF122" s="335"/>
      <c r="BG122" s="335"/>
    </row>
    <row r="123" spans="3:68" ht="16.5" x14ac:dyDescent="0.3">
      <c r="C123" s="350">
        <v>2</v>
      </c>
      <c r="D123" s="351" t="s">
        <v>397</v>
      </c>
      <c r="E123" s="351">
        <f t="shared" si="99"/>
        <v>6</v>
      </c>
      <c r="F123" s="332" t="s">
        <v>398</v>
      </c>
      <c r="G123" s="332"/>
      <c r="H123" s="352">
        <f t="shared" si="100"/>
        <v>11262.57</v>
      </c>
      <c r="I123" s="353">
        <f t="shared" ref="I123:I157" si="107">H123*$I$118</f>
        <v>3406.9274249999999</v>
      </c>
      <c r="J123" s="352">
        <f t="shared" si="101"/>
        <v>4625.0999999999995</v>
      </c>
      <c r="K123" s="353">
        <f t="shared" si="102"/>
        <v>1399.0927499999998</v>
      </c>
      <c r="L123" s="354">
        <f t="shared" ref="L123:L161" si="108">H123/$H$161</f>
        <v>0.12147565060659786</v>
      </c>
      <c r="M123" s="355">
        <f t="shared" si="103"/>
        <v>0.41066115460325658</v>
      </c>
      <c r="N123" s="356" t="s">
        <v>399</v>
      </c>
      <c r="O123" s="362"/>
      <c r="P123" s="358">
        <f t="shared" ref="P123:P160" si="109">SUMPRODUCT(($G$13:$G$114=$F123)*$I$13:$I$114,$Q$13:$Q$114)/$I123</f>
        <v>60</v>
      </c>
      <c r="Q123" s="359">
        <f t="shared" ref="Q123:Q160" si="110">I123/$I$161</f>
        <v>0.12147565060659787</v>
      </c>
      <c r="R123" s="360">
        <f t="shared" ref="R123:R160" si="111">IF(D123="Office",I123/$I$161,"N/A")</f>
        <v>0.12147565060659787</v>
      </c>
      <c r="S123" s="360" t="str">
        <f t="shared" ref="S123:S160" si="112">IF(D123="Retail",I123/$I$161,"N/A")</f>
        <v>N/A</v>
      </c>
      <c r="T123" s="361"/>
      <c r="U123" s="361"/>
      <c r="V123" s="362"/>
      <c r="W123" s="362"/>
      <c r="X123" s="361"/>
      <c r="Y123" s="361"/>
      <c r="Z123" s="361"/>
      <c r="AA123" s="361"/>
      <c r="AB123" s="361"/>
      <c r="AC123" s="361"/>
      <c r="AD123" s="361"/>
      <c r="AE123" s="361"/>
      <c r="AF123" s="363">
        <f t="shared" ref="AF123:AF160" si="113">SUMPRODUCT(($AF$13:$AF$114)*($G$13:$G$114=$F123),$K$13:$K$114)/$K123</f>
        <v>214311.51544456222</v>
      </c>
      <c r="AG123" s="363">
        <f t="shared" ref="AG123:AG160" si="114">SUMPRODUCT(($AG$13:$AG$114)*($G$13:$G$114=$F123),$K$13:$K$114)/$K123</f>
        <v>183101.35681378763</v>
      </c>
      <c r="AH123" s="364">
        <f t="shared" si="104"/>
        <v>312643.87734939787</v>
      </c>
      <c r="AI123" s="364">
        <f t="shared" ref="AI123:AI160" si="115">AT123/I123</f>
        <v>54929.141908562968</v>
      </c>
      <c r="AJ123" s="364">
        <f t="shared" ref="AJ123:AJ160" si="116">AX123/I123</f>
        <v>32298.662775301116</v>
      </c>
      <c r="AK123" s="352">
        <f t="shared" ref="AK123:AK160" si="117">SUMIF($G$13:$G$104,F123,AK$13:AK$104)</f>
        <v>1065154999.9999998</v>
      </c>
      <c r="AL123" s="352">
        <f t="shared" ref="AL123:AX150" si="118">SUMIF($G$13:$G$104,$F123,AL$13:AL$104)</f>
        <v>0</v>
      </c>
      <c r="AM123" s="352">
        <f t="shared" si="118"/>
        <v>1065154999.9999998</v>
      </c>
      <c r="AN123" s="352">
        <f t="shared" si="118"/>
        <v>0</v>
      </c>
      <c r="AO123" s="352">
        <f t="shared" si="118"/>
        <v>0</v>
      </c>
      <c r="AP123" s="352">
        <f t="shared" si="118"/>
        <v>0</v>
      </c>
      <c r="AQ123" s="352">
        <f t="shared" si="118"/>
        <v>0</v>
      </c>
      <c r="AR123" s="364">
        <f t="shared" si="105"/>
        <v>11228375999.999998</v>
      </c>
      <c r="AS123" s="364">
        <f t="shared" si="105"/>
        <v>8608421600</v>
      </c>
      <c r="AT123" s="364">
        <f t="shared" si="105"/>
        <v>187139600</v>
      </c>
      <c r="AU123" s="364">
        <f t="shared" si="105"/>
        <v>143473693.33333334</v>
      </c>
      <c r="AV123" s="364">
        <f t="shared" si="105"/>
        <v>6602351999.999999</v>
      </c>
      <c r="AW123" s="364">
        <f t="shared" si="105"/>
        <v>6602351999.999999</v>
      </c>
      <c r="AX123" s="364">
        <f t="shared" si="105"/>
        <v>110039199.99999999</v>
      </c>
      <c r="AY123" s="364">
        <f t="shared" ref="AY123:AY160" si="119">AZ123/I123</f>
        <v>87227.804683864073</v>
      </c>
      <c r="AZ123" s="364">
        <f t="shared" si="106"/>
        <v>297178799.99999994</v>
      </c>
      <c r="BA123" s="365">
        <f t="shared" ref="BA123:BA160" si="120">SUMIF($G$13:$G$104,F123,$BA$13:$BA$104)</f>
        <v>69</v>
      </c>
      <c r="BB123" s="365">
        <f t="shared" ref="BB123:BB160" si="121">SUMIF($G$13:$G$104,F123,$BB$13:$BB$104)</f>
        <v>69.999999999999986</v>
      </c>
      <c r="BC123" s="90"/>
    </row>
    <row r="124" spans="3:68" ht="16.5" x14ac:dyDescent="0.3">
      <c r="C124" s="350">
        <v>3</v>
      </c>
      <c r="D124" s="351" t="s">
        <v>400</v>
      </c>
      <c r="E124" s="351">
        <f t="shared" si="99"/>
        <v>7</v>
      </c>
      <c r="F124" s="332" t="s">
        <v>401</v>
      </c>
      <c r="G124" s="332"/>
      <c r="H124" s="352">
        <f t="shared" si="100"/>
        <v>3011.1000000000004</v>
      </c>
      <c r="I124" s="353">
        <f t="shared" si="107"/>
        <v>910.85775000000012</v>
      </c>
      <c r="J124" s="352">
        <f t="shared" si="101"/>
        <v>1134.1300000000001</v>
      </c>
      <c r="K124" s="353">
        <f t="shared" si="102"/>
        <v>343.07432500000004</v>
      </c>
      <c r="L124" s="354">
        <f t="shared" si="108"/>
        <v>3.2477075085129488E-2</v>
      </c>
      <c r="M124" s="355">
        <f t="shared" si="103"/>
        <v>0.37664972933479457</v>
      </c>
      <c r="N124" s="356"/>
      <c r="O124" s="362"/>
      <c r="P124" s="358">
        <f t="shared" si="109"/>
        <v>29.937504566437514</v>
      </c>
      <c r="Q124" s="359">
        <f t="shared" si="110"/>
        <v>3.2477075085129495E-2</v>
      </c>
      <c r="R124" s="360">
        <f t="shared" si="111"/>
        <v>3.2477075085129495E-2</v>
      </c>
      <c r="S124" s="360" t="str">
        <f t="shared" si="112"/>
        <v>N/A</v>
      </c>
      <c r="T124" s="361"/>
      <c r="U124" s="361"/>
      <c r="V124" s="362"/>
      <c r="W124" s="362"/>
      <c r="X124" s="361"/>
      <c r="Y124" s="361"/>
      <c r="Z124" s="361"/>
      <c r="AA124" s="361"/>
      <c r="AB124" s="361"/>
      <c r="AC124" s="361"/>
      <c r="AD124" s="361"/>
      <c r="AE124" s="361"/>
      <c r="AF124" s="363">
        <f t="shared" si="113"/>
        <v>258419.95316903995</v>
      </c>
      <c r="AG124" s="363">
        <f t="shared" si="114"/>
        <v>222754.2501517591</v>
      </c>
      <c r="AH124" s="364">
        <f t="shared" si="104"/>
        <v>540216.51569633116</v>
      </c>
      <c r="AI124" s="364">
        <f t="shared" si="115"/>
        <v>61083.63243327511</v>
      </c>
      <c r="AJ124" s="364">
        <f t="shared" si="116"/>
        <v>34899.631693313248</v>
      </c>
      <c r="AK124" s="352">
        <f t="shared" si="117"/>
        <v>492060400</v>
      </c>
      <c r="AL124" s="352">
        <f t="shared" si="118"/>
        <v>0</v>
      </c>
      <c r="AM124" s="352">
        <f t="shared" si="118"/>
        <v>492060400</v>
      </c>
      <c r="AN124" s="352">
        <f t="shared" si="118"/>
        <v>0</v>
      </c>
      <c r="AO124" s="352">
        <f t="shared" si="118"/>
        <v>0</v>
      </c>
      <c r="AP124" s="352">
        <f t="shared" si="118"/>
        <v>0</v>
      </c>
      <c r="AQ124" s="352">
        <f t="shared" si="118"/>
        <v>0</v>
      </c>
      <c r="AR124" s="364">
        <f t="shared" si="105"/>
        <v>1655786800</v>
      </c>
      <c r="AS124" s="364">
        <f t="shared" si="105"/>
        <v>1267384500</v>
      </c>
      <c r="AT124" s="364">
        <f t="shared" si="105"/>
        <v>55638500</v>
      </c>
      <c r="AU124" s="364">
        <f t="shared" si="105"/>
        <v>43263696.345029235</v>
      </c>
      <c r="AV124" s="364">
        <f t="shared" si="105"/>
        <v>950926800</v>
      </c>
      <c r="AW124" s="364">
        <f t="shared" si="105"/>
        <v>955924200</v>
      </c>
      <c r="AX124" s="364">
        <f t="shared" si="105"/>
        <v>31788600</v>
      </c>
      <c r="AY124" s="364">
        <f t="shared" si="119"/>
        <v>95983.264126588358</v>
      </c>
      <c r="AZ124" s="364">
        <f t="shared" si="106"/>
        <v>87427100</v>
      </c>
      <c r="BA124" s="365">
        <f t="shared" si="120"/>
        <v>19</v>
      </c>
      <c r="BB124" s="365">
        <f t="shared" si="121"/>
        <v>18</v>
      </c>
      <c r="BC124" s="90"/>
    </row>
    <row r="125" spans="3:68" ht="16.5" x14ac:dyDescent="0.3">
      <c r="C125" s="350">
        <v>4</v>
      </c>
      <c r="D125" s="351" t="s">
        <v>400</v>
      </c>
      <c r="E125" s="351">
        <f t="shared" si="99"/>
        <v>1</v>
      </c>
      <c r="F125" s="332" t="s">
        <v>402</v>
      </c>
      <c r="G125" s="332"/>
      <c r="H125" s="352">
        <f t="shared" si="100"/>
        <v>659.56</v>
      </c>
      <c r="I125" s="353">
        <f t="shared" si="107"/>
        <v>199.51689999999996</v>
      </c>
      <c r="J125" s="352">
        <f t="shared" si="101"/>
        <v>244.43</v>
      </c>
      <c r="K125" s="353">
        <f t="shared" si="102"/>
        <v>73.940074999999993</v>
      </c>
      <c r="L125" s="354">
        <f t="shared" si="108"/>
        <v>7.1138718883956035E-3</v>
      </c>
      <c r="M125" s="355">
        <f t="shared" si="103"/>
        <v>0.37059554854751658</v>
      </c>
      <c r="N125" s="356"/>
      <c r="O125" s="362"/>
      <c r="P125" s="358">
        <f t="shared" si="109"/>
        <v>60</v>
      </c>
      <c r="Q125" s="359">
        <f t="shared" si="110"/>
        <v>7.1138718883956044E-3</v>
      </c>
      <c r="R125" s="360">
        <f t="shared" si="111"/>
        <v>7.1138718883956044E-3</v>
      </c>
      <c r="S125" s="360" t="str">
        <f t="shared" si="112"/>
        <v>N/A</v>
      </c>
      <c r="T125" s="361"/>
      <c r="U125" s="361"/>
      <c r="V125" s="362"/>
      <c r="W125" s="362"/>
      <c r="X125" s="361"/>
      <c r="Y125" s="361"/>
      <c r="Z125" s="361"/>
      <c r="AA125" s="361"/>
      <c r="AB125" s="361"/>
      <c r="AC125" s="361"/>
      <c r="AD125" s="361"/>
      <c r="AE125" s="361"/>
      <c r="AF125" s="363">
        <f t="shared" si="113"/>
        <v>275485.24937254936</v>
      </c>
      <c r="AG125" s="363">
        <f t="shared" si="114"/>
        <v>231731.57452166502</v>
      </c>
      <c r="AH125" s="364">
        <f t="shared" si="104"/>
        <v>215520.58998510908</v>
      </c>
      <c r="AI125" s="364">
        <f t="shared" si="115"/>
        <v>64859.668529332615</v>
      </c>
      <c r="AJ125" s="364">
        <f t="shared" si="116"/>
        <v>36695.137103673929</v>
      </c>
      <c r="AK125" s="352">
        <f t="shared" si="117"/>
        <v>43000000</v>
      </c>
      <c r="AL125" s="352">
        <f t="shared" si="118"/>
        <v>0</v>
      </c>
      <c r="AM125" s="352">
        <f t="shared" si="118"/>
        <v>43000000</v>
      </c>
      <c r="AN125" s="352">
        <f t="shared" si="118"/>
        <v>0</v>
      </c>
      <c r="AO125" s="352">
        <f t="shared" si="118"/>
        <v>0</v>
      </c>
      <c r="AP125" s="352">
        <f t="shared" si="118"/>
        <v>0</v>
      </c>
      <c r="AQ125" s="352">
        <f t="shared" si="118"/>
        <v>0</v>
      </c>
      <c r="AR125" s="364">
        <f t="shared" si="105"/>
        <v>776436000</v>
      </c>
      <c r="AS125" s="364">
        <f t="shared" si="105"/>
        <v>582327000</v>
      </c>
      <c r="AT125" s="364">
        <f t="shared" si="105"/>
        <v>12940600</v>
      </c>
      <c r="AU125" s="364">
        <f t="shared" si="105"/>
        <v>9705450</v>
      </c>
      <c r="AV125" s="364">
        <f t="shared" si="105"/>
        <v>439277999.99999994</v>
      </c>
      <c r="AW125" s="364">
        <f t="shared" si="105"/>
        <v>439277999.99999994</v>
      </c>
      <c r="AX125" s="364">
        <f t="shared" si="105"/>
        <v>7321300</v>
      </c>
      <c r="AY125" s="364">
        <f t="shared" si="119"/>
        <v>101554.80563300654</v>
      </c>
      <c r="AZ125" s="364">
        <f t="shared" si="106"/>
        <v>20261900</v>
      </c>
      <c r="BA125" s="365">
        <f t="shared" si="120"/>
        <v>4</v>
      </c>
      <c r="BB125" s="365">
        <f t="shared" si="121"/>
        <v>4</v>
      </c>
      <c r="BC125" s="90"/>
    </row>
    <row r="126" spans="3:68" ht="16.5" x14ac:dyDescent="0.3">
      <c r="C126" s="350">
        <v>5</v>
      </c>
      <c r="D126" s="351" t="s">
        <v>400</v>
      </c>
      <c r="E126" s="351">
        <f t="shared" si="99"/>
        <v>4</v>
      </c>
      <c r="F126" s="332" t="s">
        <v>403</v>
      </c>
      <c r="G126" s="332"/>
      <c r="H126" s="352">
        <f t="shared" si="100"/>
        <v>3818.9</v>
      </c>
      <c r="I126" s="353">
        <f t="shared" si="107"/>
        <v>1155.2172499999999</v>
      </c>
      <c r="J126" s="352">
        <f t="shared" si="101"/>
        <v>1424.3600000000001</v>
      </c>
      <c r="K126" s="353">
        <f t="shared" si="102"/>
        <v>430.86890000000005</v>
      </c>
      <c r="L126" s="354">
        <f t="shared" si="108"/>
        <v>4.1189831637142904E-2</v>
      </c>
      <c r="M126" s="355">
        <f t="shared" si="103"/>
        <v>0.37297651156092071</v>
      </c>
      <c r="N126" s="356"/>
      <c r="O126" s="362"/>
      <c r="P126" s="358">
        <f t="shared" si="109"/>
        <v>39.459477860116792</v>
      </c>
      <c r="Q126" s="359">
        <f t="shared" si="110"/>
        <v>4.1189831637142911E-2</v>
      </c>
      <c r="R126" s="360">
        <f t="shared" si="111"/>
        <v>4.1189831637142911E-2</v>
      </c>
      <c r="S126" s="360" t="str">
        <f t="shared" si="112"/>
        <v>N/A</v>
      </c>
      <c r="T126" s="361"/>
      <c r="U126" s="361"/>
      <c r="V126" s="362"/>
      <c r="W126" s="362"/>
      <c r="X126" s="361"/>
      <c r="Y126" s="361"/>
      <c r="Z126" s="361"/>
      <c r="AA126" s="361"/>
      <c r="AB126" s="361"/>
      <c r="AC126" s="361"/>
      <c r="AD126" s="361"/>
      <c r="AE126" s="361"/>
      <c r="AF126" s="363">
        <f t="shared" si="113"/>
        <v>245614.16361217992</v>
      </c>
      <c r="AG126" s="363">
        <f t="shared" si="114"/>
        <v>211900.80863317076</v>
      </c>
      <c r="AH126" s="364">
        <f t="shared" si="104"/>
        <v>289236.50508161995</v>
      </c>
      <c r="AI126" s="364">
        <f t="shared" si="115"/>
        <v>58208.358644229047</v>
      </c>
      <c r="AJ126" s="364">
        <f t="shared" si="116"/>
        <v>32676.864027091011</v>
      </c>
      <c r="AK126" s="352">
        <f t="shared" si="117"/>
        <v>334131000</v>
      </c>
      <c r="AL126" s="352">
        <f t="shared" si="118"/>
        <v>0</v>
      </c>
      <c r="AM126" s="352">
        <f t="shared" si="118"/>
        <v>334131000</v>
      </c>
      <c r="AN126" s="352">
        <f t="shared" si="118"/>
        <v>0</v>
      </c>
      <c r="AO126" s="352">
        <f t="shared" si="118"/>
        <v>0</v>
      </c>
      <c r="AP126" s="352">
        <f t="shared" si="118"/>
        <v>0</v>
      </c>
      <c r="AQ126" s="352">
        <f t="shared" si="118"/>
        <v>0</v>
      </c>
      <c r="AR126" s="364">
        <f t="shared" si="105"/>
        <v>2648118600</v>
      </c>
      <c r="AS126" s="364">
        <f t="shared" si="105"/>
        <v>2042758951.6129034</v>
      </c>
      <c r="AT126" s="364">
        <f t="shared" si="105"/>
        <v>67243300</v>
      </c>
      <c r="AU126" s="364">
        <f t="shared" si="105"/>
        <v>52717263.824884795</v>
      </c>
      <c r="AV126" s="364">
        <f t="shared" si="105"/>
        <v>1482732834</v>
      </c>
      <c r="AW126" s="364">
        <f t="shared" si="105"/>
        <v>1482732834</v>
      </c>
      <c r="AX126" s="364">
        <f t="shared" si="105"/>
        <v>37748877</v>
      </c>
      <c r="AY126" s="364">
        <f t="shared" si="119"/>
        <v>90885.222671320051</v>
      </c>
      <c r="AZ126" s="364">
        <f t="shared" si="106"/>
        <v>104992177</v>
      </c>
      <c r="BA126" s="365">
        <f t="shared" si="120"/>
        <v>24</v>
      </c>
      <c r="BB126" s="365">
        <f t="shared" si="121"/>
        <v>22</v>
      </c>
      <c r="BC126" s="90"/>
    </row>
    <row r="127" spans="3:68" ht="16.5" x14ac:dyDescent="0.3">
      <c r="C127" s="350">
        <v>6</v>
      </c>
      <c r="D127" s="351" t="s">
        <v>400</v>
      </c>
      <c r="E127" s="351">
        <f t="shared" si="99"/>
        <v>1</v>
      </c>
      <c r="F127" s="332" t="s">
        <v>404</v>
      </c>
      <c r="G127" s="332"/>
      <c r="H127" s="352">
        <f t="shared" si="100"/>
        <v>862.77</v>
      </c>
      <c r="I127" s="353">
        <f t="shared" si="107"/>
        <v>260.98792499999996</v>
      </c>
      <c r="J127" s="352">
        <f t="shared" si="101"/>
        <v>319.75</v>
      </c>
      <c r="K127" s="353">
        <f t="shared" si="102"/>
        <v>96.724374999999995</v>
      </c>
      <c r="L127" s="354">
        <f t="shared" si="108"/>
        <v>9.3056511146083383E-3</v>
      </c>
      <c r="M127" s="355">
        <f t="shared" si="103"/>
        <v>0.37060862106934639</v>
      </c>
      <c r="N127" s="356"/>
      <c r="O127" s="362"/>
      <c r="P127" s="358">
        <f t="shared" si="109"/>
        <v>36</v>
      </c>
      <c r="Q127" s="359">
        <f t="shared" si="110"/>
        <v>9.3056511146083383E-3</v>
      </c>
      <c r="R127" s="360">
        <f t="shared" si="111"/>
        <v>9.3056511146083383E-3</v>
      </c>
      <c r="S127" s="360" t="str">
        <f t="shared" si="112"/>
        <v>N/A</v>
      </c>
      <c r="T127" s="361"/>
      <c r="U127" s="361"/>
      <c r="V127" s="362"/>
      <c r="W127" s="362"/>
      <c r="X127" s="361"/>
      <c r="Y127" s="361"/>
      <c r="Z127" s="361"/>
      <c r="AA127" s="361"/>
      <c r="AB127" s="361"/>
      <c r="AC127" s="361"/>
      <c r="AD127" s="361"/>
      <c r="AE127" s="361"/>
      <c r="AF127" s="363">
        <f t="shared" si="113"/>
        <v>260925.79352412463</v>
      </c>
      <c r="AG127" s="363">
        <f t="shared" si="114"/>
        <v>233818.87244037507</v>
      </c>
      <c r="AH127" s="364">
        <f t="shared" si="104"/>
        <v>519999.99616840517</v>
      </c>
      <c r="AI127" s="364">
        <f t="shared" si="115"/>
        <v>60276.351865704142</v>
      </c>
      <c r="AJ127" s="364">
        <f t="shared" si="116"/>
        <v>35124.996683275676</v>
      </c>
      <c r="AK127" s="352">
        <f t="shared" si="117"/>
        <v>135713720</v>
      </c>
      <c r="AL127" s="352">
        <f t="shared" si="118"/>
        <v>0</v>
      </c>
      <c r="AM127" s="352">
        <f t="shared" si="118"/>
        <v>135713720</v>
      </c>
      <c r="AN127" s="352">
        <f t="shared" si="118"/>
        <v>0</v>
      </c>
      <c r="AO127" s="352">
        <f t="shared" si="118"/>
        <v>0</v>
      </c>
      <c r="AP127" s="352">
        <f t="shared" si="118"/>
        <v>0</v>
      </c>
      <c r="AQ127" s="352">
        <f t="shared" si="118"/>
        <v>0</v>
      </c>
      <c r="AR127" s="364">
        <f t="shared" si="105"/>
        <v>566330400</v>
      </c>
      <c r="AS127" s="364">
        <f t="shared" si="105"/>
        <v>471942000</v>
      </c>
      <c r="AT127" s="364">
        <f t="shared" si="105"/>
        <v>15731400</v>
      </c>
      <c r="AU127" s="364">
        <f t="shared" si="105"/>
        <v>13109500</v>
      </c>
      <c r="AV127" s="364">
        <f t="shared" si="105"/>
        <v>330019200</v>
      </c>
      <c r="AW127" s="364">
        <f t="shared" si="105"/>
        <v>330019200</v>
      </c>
      <c r="AX127" s="364">
        <f t="shared" si="105"/>
        <v>9167200</v>
      </c>
      <c r="AY127" s="364">
        <f t="shared" si="119"/>
        <v>95401.348548979819</v>
      </c>
      <c r="AZ127" s="364">
        <f t="shared" si="106"/>
        <v>24898600</v>
      </c>
      <c r="BA127" s="365">
        <f t="shared" si="120"/>
        <v>5</v>
      </c>
      <c r="BB127" s="365">
        <f t="shared" si="121"/>
        <v>5</v>
      </c>
      <c r="BC127" s="367"/>
      <c r="BD127" s="335"/>
      <c r="BF127" s="335"/>
      <c r="BG127" s="335"/>
    </row>
    <row r="128" spans="3:68" ht="16.5" x14ac:dyDescent="0.3">
      <c r="C128" s="350">
        <v>7</v>
      </c>
      <c r="D128" s="351" t="s">
        <v>400</v>
      </c>
      <c r="E128" s="351">
        <f t="shared" si="99"/>
        <v>6</v>
      </c>
      <c r="F128" s="332" t="s">
        <v>405</v>
      </c>
      <c r="G128" s="332"/>
      <c r="H128" s="352">
        <f t="shared" si="100"/>
        <v>12301.700000000003</v>
      </c>
      <c r="I128" s="353">
        <f t="shared" si="107"/>
        <v>3721.2642500000006</v>
      </c>
      <c r="J128" s="352">
        <f t="shared" si="101"/>
        <v>5142.37</v>
      </c>
      <c r="K128" s="353">
        <f t="shared" si="102"/>
        <v>1555.5669249999999</v>
      </c>
      <c r="L128" s="354">
        <f t="shared" si="108"/>
        <v>0.13268348263914764</v>
      </c>
      <c r="M128" s="355">
        <f t="shared" si="103"/>
        <v>0.41802108651649761</v>
      </c>
      <c r="N128" s="356"/>
      <c r="O128" s="362"/>
      <c r="P128" s="358">
        <f t="shared" si="109"/>
        <v>59.613095750993757</v>
      </c>
      <c r="Q128" s="359">
        <f t="shared" si="110"/>
        <v>0.13268348263914767</v>
      </c>
      <c r="R128" s="360">
        <f t="shared" si="111"/>
        <v>0.13268348263914767</v>
      </c>
      <c r="S128" s="360" t="str">
        <f t="shared" si="112"/>
        <v>N/A</v>
      </c>
      <c r="T128" s="361"/>
      <c r="U128" s="361"/>
      <c r="V128" s="362"/>
      <c r="W128" s="362"/>
      <c r="X128" s="361"/>
      <c r="Y128" s="361"/>
      <c r="Z128" s="361"/>
      <c r="AA128" s="361"/>
      <c r="AB128" s="361"/>
      <c r="AC128" s="361"/>
      <c r="AD128" s="361"/>
      <c r="AE128" s="361"/>
      <c r="AF128" s="363">
        <f t="shared" si="113"/>
        <v>218265.92095997412</v>
      </c>
      <c r="AG128" s="363">
        <f t="shared" si="114"/>
        <v>180739.08860344501</v>
      </c>
      <c r="AH128" s="364">
        <f t="shared" si="104"/>
        <v>879448.16066206503</v>
      </c>
      <c r="AI128" s="364">
        <f t="shared" si="115"/>
        <v>55065.291318669435</v>
      </c>
      <c r="AJ128" s="364">
        <f t="shared" si="116"/>
        <v>33975.845708887762</v>
      </c>
      <c r="AK128" s="352">
        <f t="shared" si="117"/>
        <v>3272658999.9999995</v>
      </c>
      <c r="AL128" s="352">
        <f t="shared" si="118"/>
        <v>0</v>
      </c>
      <c r="AM128" s="352">
        <f t="shared" si="118"/>
        <v>3272658999.9999995</v>
      </c>
      <c r="AN128" s="352">
        <f t="shared" si="118"/>
        <v>0</v>
      </c>
      <c r="AO128" s="352">
        <f t="shared" si="118"/>
        <v>0</v>
      </c>
      <c r="AP128" s="352">
        <f t="shared" si="118"/>
        <v>0</v>
      </c>
      <c r="AQ128" s="352">
        <f t="shared" si="118"/>
        <v>0</v>
      </c>
      <c r="AR128" s="364">
        <f t="shared" si="105"/>
        <v>12215474999.999998</v>
      </c>
      <c r="AS128" s="364">
        <f t="shared" si="105"/>
        <v>8737624999.9999981</v>
      </c>
      <c r="AT128" s="364">
        <f t="shared" si="105"/>
        <v>204912499.99999997</v>
      </c>
      <c r="AU128" s="364">
        <f t="shared" si="105"/>
        <v>146537000.78616351</v>
      </c>
      <c r="AV128" s="364">
        <f t="shared" si="105"/>
        <v>7537069999.999999</v>
      </c>
      <c r="AW128" s="364">
        <f t="shared" si="105"/>
        <v>7537069999.999999</v>
      </c>
      <c r="AX128" s="364">
        <f t="shared" si="105"/>
        <v>126433099.99999997</v>
      </c>
      <c r="AY128" s="364">
        <f t="shared" si="119"/>
        <v>89041.137027557197</v>
      </c>
      <c r="AZ128" s="364">
        <f t="shared" si="106"/>
        <v>331345599.99999994</v>
      </c>
      <c r="BA128" s="365">
        <f t="shared" si="120"/>
        <v>75</v>
      </c>
      <c r="BB128" s="365">
        <f t="shared" si="121"/>
        <v>76.999999999999986</v>
      </c>
      <c r="BC128" s="90"/>
    </row>
    <row r="129" spans="3:56" ht="16.5" x14ac:dyDescent="0.3">
      <c r="C129" s="350">
        <v>8</v>
      </c>
      <c r="D129" s="351" t="s">
        <v>400</v>
      </c>
      <c r="E129" s="351">
        <f t="shared" si="99"/>
        <v>6</v>
      </c>
      <c r="F129" s="332" t="s">
        <v>406</v>
      </c>
      <c r="G129" s="332"/>
      <c r="H129" s="352">
        <f t="shared" si="100"/>
        <v>4978.1299999999992</v>
      </c>
      <c r="I129" s="353">
        <f t="shared" si="107"/>
        <v>1505.8843249999998</v>
      </c>
      <c r="J129" s="352">
        <f t="shared" si="101"/>
        <v>1898.5</v>
      </c>
      <c r="K129" s="353">
        <f t="shared" si="102"/>
        <v>574.29624999999999</v>
      </c>
      <c r="L129" s="354">
        <f t="shared" si="108"/>
        <v>5.3693036363300993E-2</v>
      </c>
      <c r="M129" s="355">
        <f t="shared" si="103"/>
        <v>0.38136810408727784</v>
      </c>
      <c r="N129" s="356"/>
      <c r="O129" s="362"/>
      <c r="P129" s="358">
        <f t="shared" si="109"/>
        <v>59.130633390449823</v>
      </c>
      <c r="Q129" s="359">
        <f t="shared" si="110"/>
        <v>5.3693036363301007E-2</v>
      </c>
      <c r="R129" s="360">
        <f t="shared" si="111"/>
        <v>5.3693036363301007E-2</v>
      </c>
      <c r="S129" s="360" t="str">
        <f t="shared" si="112"/>
        <v>N/A</v>
      </c>
      <c r="T129" s="361"/>
      <c r="U129" s="361"/>
      <c r="V129" s="362"/>
      <c r="W129" s="362"/>
      <c r="X129" s="361"/>
      <c r="Y129" s="361"/>
      <c r="Z129" s="361"/>
      <c r="AA129" s="361"/>
      <c r="AB129" s="361"/>
      <c r="AC129" s="361"/>
      <c r="AD129" s="361"/>
      <c r="AE129" s="361"/>
      <c r="AF129" s="363">
        <f t="shared" si="113"/>
        <v>238150.89337602328</v>
      </c>
      <c r="AG129" s="363">
        <f t="shared" si="114"/>
        <v>196326.67868876376</v>
      </c>
      <c r="AH129" s="364">
        <f t="shared" si="104"/>
        <v>254873.49435023838</v>
      </c>
      <c r="AI129" s="364">
        <f t="shared" si="115"/>
        <v>58168.969917393893</v>
      </c>
      <c r="AJ129" s="364">
        <f t="shared" si="116"/>
        <v>32017.001040235948</v>
      </c>
      <c r="AK129" s="352">
        <f t="shared" si="117"/>
        <v>383810000</v>
      </c>
      <c r="AL129" s="352">
        <f t="shared" si="118"/>
        <v>0</v>
      </c>
      <c r="AM129" s="352">
        <f t="shared" si="118"/>
        <v>195242400</v>
      </c>
      <c r="AN129" s="352">
        <f t="shared" si="118"/>
        <v>188567600.00000003</v>
      </c>
      <c r="AO129" s="352">
        <f t="shared" si="118"/>
        <v>0</v>
      </c>
      <c r="AP129" s="352">
        <f t="shared" si="118"/>
        <v>0</v>
      </c>
      <c r="AQ129" s="352">
        <f t="shared" si="118"/>
        <v>0</v>
      </c>
      <c r="AR129" s="364">
        <f t="shared" si="105"/>
        <v>5172881200</v>
      </c>
      <c r="AS129" s="364">
        <f t="shared" si="105"/>
        <v>3742775600</v>
      </c>
      <c r="AT129" s="364">
        <f t="shared" si="105"/>
        <v>87595740</v>
      </c>
      <c r="AU129" s="364">
        <f t="shared" si="105"/>
        <v>63447955.345911957</v>
      </c>
      <c r="AV129" s="364">
        <f t="shared" si="105"/>
        <v>2845826200</v>
      </c>
      <c r="AW129" s="364">
        <f t="shared" si="105"/>
        <v>2853523900</v>
      </c>
      <c r="AX129" s="364">
        <f t="shared" si="105"/>
        <v>48213900</v>
      </c>
      <c r="AY129" s="364">
        <f t="shared" si="119"/>
        <v>90185.970957629848</v>
      </c>
      <c r="AZ129" s="364">
        <f t="shared" si="106"/>
        <v>135809640</v>
      </c>
      <c r="BA129" s="365">
        <f t="shared" si="120"/>
        <v>30</v>
      </c>
      <c r="BB129" s="365">
        <f t="shared" si="121"/>
        <v>42</v>
      </c>
      <c r="BC129" s="90"/>
    </row>
    <row r="130" spans="3:56" ht="16.5" x14ac:dyDescent="0.3">
      <c r="C130" s="350">
        <v>9</v>
      </c>
      <c r="D130" s="351" t="s">
        <v>400</v>
      </c>
      <c r="E130" s="351">
        <f t="shared" si="99"/>
        <v>4</v>
      </c>
      <c r="F130" s="332" t="s">
        <v>407</v>
      </c>
      <c r="G130" s="332"/>
      <c r="H130" s="352">
        <f t="shared" si="100"/>
        <v>5852.42</v>
      </c>
      <c r="I130" s="353">
        <f t="shared" si="107"/>
        <v>1770.3570500000001</v>
      </c>
      <c r="J130" s="352">
        <f t="shared" si="101"/>
        <v>2166.1999999999998</v>
      </c>
      <c r="K130" s="353">
        <f t="shared" si="102"/>
        <v>655.27549999999997</v>
      </c>
      <c r="L130" s="354">
        <f t="shared" si="108"/>
        <v>6.3122939712966536E-2</v>
      </c>
      <c r="M130" s="355">
        <f t="shared" si="103"/>
        <v>0.37013748158881282</v>
      </c>
      <c r="N130" s="356"/>
      <c r="O130" s="362"/>
      <c r="P130" s="358">
        <f t="shared" si="109"/>
        <v>36</v>
      </c>
      <c r="Q130" s="359">
        <f t="shared" si="110"/>
        <v>6.312293971296655E-2</v>
      </c>
      <c r="R130" s="360">
        <f t="shared" si="111"/>
        <v>6.312293971296655E-2</v>
      </c>
      <c r="S130" s="360" t="str">
        <f t="shared" si="112"/>
        <v>N/A</v>
      </c>
      <c r="T130" s="361"/>
      <c r="U130" s="361"/>
      <c r="V130" s="362"/>
      <c r="W130" s="362"/>
      <c r="X130" s="361"/>
      <c r="Y130" s="361"/>
      <c r="Z130" s="361"/>
      <c r="AA130" s="361"/>
      <c r="AB130" s="361"/>
      <c r="AC130" s="361"/>
      <c r="AD130" s="361"/>
      <c r="AE130" s="361"/>
      <c r="AF130" s="363">
        <f t="shared" si="113"/>
        <v>248264.55818964695</v>
      </c>
      <c r="AG130" s="363">
        <f t="shared" si="114"/>
        <v>224715.50642948403</v>
      </c>
      <c r="AH130" s="364">
        <f t="shared" si="104"/>
        <v>1199618.4611460159</v>
      </c>
      <c r="AI130" s="364">
        <f t="shared" si="115"/>
        <v>52298.320273867917</v>
      </c>
      <c r="AJ130" s="364">
        <f t="shared" si="116"/>
        <v>36594.651909342239</v>
      </c>
      <c r="AK130" s="352">
        <f t="shared" si="117"/>
        <v>2123753000.0000002</v>
      </c>
      <c r="AL130" s="352">
        <f t="shared" si="118"/>
        <v>0</v>
      </c>
      <c r="AM130" s="352">
        <f t="shared" si="118"/>
        <v>2123753000.0000002</v>
      </c>
      <c r="AN130" s="352">
        <f t="shared" si="118"/>
        <v>0</v>
      </c>
      <c r="AO130" s="352">
        <f t="shared" si="118"/>
        <v>0</v>
      </c>
      <c r="AP130" s="352">
        <f t="shared" si="118"/>
        <v>0</v>
      </c>
      <c r="AQ130" s="352">
        <f t="shared" si="118"/>
        <v>0</v>
      </c>
      <c r="AR130" s="364">
        <f t="shared" si="105"/>
        <v>3333121200.0000005</v>
      </c>
      <c r="AS130" s="364">
        <f t="shared" si="105"/>
        <v>2777601000.0000005</v>
      </c>
      <c r="AT130" s="364">
        <f t="shared" si="105"/>
        <v>92586700</v>
      </c>
      <c r="AU130" s="364">
        <f t="shared" si="105"/>
        <v>77155583.333333328</v>
      </c>
      <c r="AV130" s="364">
        <f t="shared" si="105"/>
        <v>2332281600</v>
      </c>
      <c r="AW130" s="364">
        <f t="shared" si="105"/>
        <v>2332281600</v>
      </c>
      <c r="AX130" s="364">
        <f t="shared" si="105"/>
        <v>64785600</v>
      </c>
      <c r="AY130" s="364">
        <f t="shared" si="119"/>
        <v>88892.972183210164</v>
      </c>
      <c r="AZ130" s="364">
        <f t="shared" si="106"/>
        <v>157372300</v>
      </c>
      <c r="BA130" s="365">
        <f t="shared" si="120"/>
        <v>36</v>
      </c>
      <c r="BB130" s="365">
        <f t="shared" si="121"/>
        <v>38</v>
      </c>
      <c r="BC130" s="90"/>
    </row>
    <row r="131" spans="3:56" ht="16.5" x14ac:dyDescent="0.3">
      <c r="C131" s="350">
        <v>10</v>
      </c>
      <c r="D131" s="351" t="s">
        <v>400</v>
      </c>
      <c r="E131" s="351">
        <f t="shared" si="99"/>
        <v>1</v>
      </c>
      <c r="F131" s="332" t="s">
        <v>408</v>
      </c>
      <c r="G131" s="332"/>
      <c r="H131" s="352">
        <f t="shared" si="100"/>
        <v>322.05</v>
      </c>
      <c r="I131" s="353">
        <f t="shared" si="107"/>
        <v>97.420124999999999</v>
      </c>
      <c r="J131" s="352">
        <f t="shared" si="101"/>
        <v>120.73585287</v>
      </c>
      <c r="K131" s="353">
        <f t="shared" si="102"/>
        <v>36.522595493174997</v>
      </c>
      <c r="L131" s="354">
        <f t="shared" si="108"/>
        <v>3.4735618316116875E-3</v>
      </c>
      <c r="M131" s="355">
        <f t="shared" si="103"/>
        <v>0.37489785086166744</v>
      </c>
      <c r="N131" s="356"/>
      <c r="O131" s="362"/>
      <c r="P131" s="358">
        <f t="shared" si="109"/>
        <v>59.999999999999993</v>
      </c>
      <c r="Q131" s="359">
        <f t="shared" si="110"/>
        <v>3.4735618316116879E-3</v>
      </c>
      <c r="R131" s="360">
        <f t="shared" si="111"/>
        <v>3.4735618316116879E-3</v>
      </c>
      <c r="S131" s="360" t="str">
        <f t="shared" si="112"/>
        <v>N/A</v>
      </c>
      <c r="T131" s="361"/>
      <c r="U131" s="361"/>
      <c r="V131" s="362"/>
      <c r="W131" s="362"/>
      <c r="X131" s="361"/>
      <c r="Y131" s="361"/>
      <c r="Z131" s="361"/>
      <c r="AA131" s="361"/>
      <c r="AB131" s="361"/>
      <c r="AC131" s="361"/>
      <c r="AD131" s="361"/>
      <c r="AE131" s="361"/>
      <c r="AF131" s="363">
        <f t="shared" si="113"/>
        <v>244860.79450928333</v>
      </c>
      <c r="AG131" s="363">
        <f t="shared" si="114"/>
        <v>194482.84878860851</v>
      </c>
      <c r="AH131" s="364">
        <f t="shared" si="104"/>
        <v>549996.21484780486</v>
      </c>
      <c r="AI131" s="364">
        <f t="shared" si="115"/>
        <v>56659.750744520192</v>
      </c>
      <c r="AJ131" s="364">
        <f t="shared" si="116"/>
        <v>33763.044340170985</v>
      </c>
      <c r="AK131" s="352">
        <f t="shared" si="117"/>
        <v>53580700</v>
      </c>
      <c r="AL131" s="352">
        <f t="shared" si="118"/>
        <v>0</v>
      </c>
      <c r="AM131" s="352">
        <f t="shared" si="118"/>
        <v>53580700</v>
      </c>
      <c r="AN131" s="352">
        <f t="shared" si="118"/>
        <v>0</v>
      </c>
      <c r="AO131" s="352">
        <f t="shared" si="118"/>
        <v>0</v>
      </c>
      <c r="AP131" s="352">
        <f t="shared" si="118"/>
        <v>0</v>
      </c>
      <c r="AQ131" s="352">
        <f t="shared" si="118"/>
        <v>0</v>
      </c>
      <c r="AR131" s="364">
        <f t="shared" si="105"/>
        <v>331188000</v>
      </c>
      <c r="AS131" s="364">
        <f t="shared" si="105"/>
        <v>220792000</v>
      </c>
      <c r="AT131" s="364">
        <f t="shared" si="105"/>
        <v>5519800</v>
      </c>
      <c r="AU131" s="364">
        <f t="shared" si="105"/>
        <v>3679866.6666666665</v>
      </c>
      <c r="AV131" s="364">
        <f t="shared" si="105"/>
        <v>197351999.99999997</v>
      </c>
      <c r="AW131" s="364">
        <f t="shared" si="105"/>
        <v>197351999.99999997</v>
      </c>
      <c r="AX131" s="364">
        <f t="shared" si="105"/>
        <v>3289200</v>
      </c>
      <c r="AY131" s="364">
        <f t="shared" si="119"/>
        <v>90422.795084691184</v>
      </c>
      <c r="AZ131" s="364">
        <f t="shared" si="106"/>
        <v>8809000</v>
      </c>
      <c r="BA131" s="365">
        <f t="shared" si="120"/>
        <v>2</v>
      </c>
      <c r="BB131" s="365">
        <f t="shared" si="121"/>
        <v>2</v>
      </c>
      <c r="BC131" s="368"/>
      <c r="BD131" s="335"/>
    </row>
    <row r="132" spans="3:56" ht="16.5" x14ac:dyDescent="0.3">
      <c r="C132" s="350">
        <v>11</v>
      </c>
      <c r="D132" s="351" t="s">
        <v>400</v>
      </c>
      <c r="E132" s="351">
        <f t="shared" si="99"/>
        <v>1</v>
      </c>
      <c r="F132" s="332" t="s">
        <v>409</v>
      </c>
      <c r="G132" s="332"/>
      <c r="H132" s="352">
        <f t="shared" si="100"/>
        <v>636.23</v>
      </c>
      <c r="I132" s="353">
        <f t="shared" si="107"/>
        <v>192.459575</v>
      </c>
      <c r="J132" s="352">
        <f t="shared" si="101"/>
        <v>238.56414713000001</v>
      </c>
      <c r="K132" s="353">
        <f t="shared" si="102"/>
        <v>72.165654506825007</v>
      </c>
      <c r="L132" s="354">
        <f t="shared" si="108"/>
        <v>6.862239540836217E-3</v>
      </c>
      <c r="M132" s="355">
        <f t="shared" si="103"/>
        <v>0.3749652596230923</v>
      </c>
      <c r="N132" s="356"/>
      <c r="O132" s="362"/>
      <c r="P132" s="358">
        <f t="shared" si="109"/>
        <v>62.999999999999993</v>
      </c>
      <c r="Q132" s="359">
        <f t="shared" si="110"/>
        <v>6.8622395408362187E-3</v>
      </c>
      <c r="R132" s="360">
        <f t="shared" si="111"/>
        <v>6.8622395408362187E-3</v>
      </c>
      <c r="S132" s="360" t="str">
        <f t="shared" si="112"/>
        <v>N/A</v>
      </c>
      <c r="T132" s="361"/>
      <c r="U132" s="361"/>
      <c r="V132" s="362"/>
      <c r="W132" s="362"/>
      <c r="X132" s="361"/>
      <c r="Y132" s="361"/>
      <c r="Z132" s="361"/>
      <c r="AA132" s="361"/>
      <c r="AB132" s="361"/>
      <c r="AC132" s="361"/>
      <c r="AD132" s="361"/>
      <c r="AE132" s="361"/>
      <c r="AF132" s="363">
        <f t="shared" si="113"/>
        <v>191764.66415462503</v>
      </c>
      <c r="AG132" s="363">
        <f t="shared" si="114"/>
        <v>186969.29501752087</v>
      </c>
      <c r="AH132" s="364">
        <f t="shared" si="104"/>
        <v>550001.21454076783</v>
      </c>
      <c r="AI132" s="364">
        <f t="shared" si="115"/>
        <v>37760.033503139552</v>
      </c>
      <c r="AJ132" s="364">
        <f t="shared" si="116"/>
        <v>32770.050541782606</v>
      </c>
      <c r="AK132" s="352">
        <f t="shared" si="117"/>
        <v>105853000</v>
      </c>
      <c r="AL132" s="352">
        <f t="shared" si="118"/>
        <v>0</v>
      </c>
      <c r="AM132" s="352">
        <f t="shared" si="118"/>
        <v>105853000</v>
      </c>
      <c r="AN132" s="352">
        <f t="shared" si="118"/>
        <v>0</v>
      </c>
      <c r="AO132" s="352">
        <f t="shared" si="118"/>
        <v>0</v>
      </c>
      <c r="AP132" s="352">
        <f t="shared" si="118"/>
        <v>0</v>
      </c>
      <c r="AQ132" s="352">
        <f t="shared" si="118"/>
        <v>0</v>
      </c>
      <c r="AR132" s="364">
        <f t="shared" si="105"/>
        <v>457838639.99999994</v>
      </c>
      <c r="AS132" s="364">
        <f t="shared" si="105"/>
        <v>436036800</v>
      </c>
      <c r="AT132" s="364">
        <f t="shared" si="105"/>
        <v>7267280</v>
      </c>
      <c r="AU132" s="364">
        <f t="shared" si="105"/>
        <v>6921219.0476190476</v>
      </c>
      <c r="AV132" s="364">
        <f t="shared" si="105"/>
        <v>397335330</v>
      </c>
      <c r="AW132" s="364">
        <f t="shared" si="105"/>
        <v>397335330</v>
      </c>
      <c r="AX132" s="364">
        <f t="shared" si="105"/>
        <v>6306910</v>
      </c>
      <c r="AY132" s="364">
        <f t="shared" si="119"/>
        <v>70530.084044922158</v>
      </c>
      <c r="AZ132" s="364">
        <f t="shared" si="106"/>
        <v>13574190</v>
      </c>
      <c r="BA132" s="365">
        <f t="shared" si="120"/>
        <v>4</v>
      </c>
      <c r="BB132" s="365">
        <f t="shared" si="121"/>
        <v>4</v>
      </c>
      <c r="BC132" s="90"/>
    </row>
    <row r="133" spans="3:56" ht="16.5" x14ac:dyDescent="0.3">
      <c r="C133" s="350">
        <v>12</v>
      </c>
      <c r="D133" s="351" t="s">
        <v>400</v>
      </c>
      <c r="E133" s="351">
        <f t="shared" si="99"/>
        <v>4</v>
      </c>
      <c r="F133" s="332" t="s">
        <v>410</v>
      </c>
      <c r="G133" s="332"/>
      <c r="H133" s="352">
        <f t="shared" si="100"/>
        <v>4770.3900000000003</v>
      </c>
      <c r="I133" s="353">
        <f t="shared" si="107"/>
        <v>1443.0429750000001</v>
      </c>
      <c r="J133" s="352">
        <f t="shared" si="101"/>
        <v>1776.1399999999999</v>
      </c>
      <c r="K133" s="353">
        <f t="shared" si="102"/>
        <v>537.28234999999995</v>
      </c>
      <c r="L133" s="354">
        <f t="shared" si="108"/>
        <v>5.1452397534240267E-2</v>
      </c>
      <c r="M133" s="355">
        <f t="shared" si="103"/>
        <v>0.3723259523854443</v>
      </c>
      <c r="N133" s="356"/>
      <c r="O133" s="362"/>
      <c r="P133" s="358">
        <f t="shared" si="109"/>
        <v>57.991057334934872</v>
      </c>
      <c r="Q133" s="359">
        <f t="shared" si="110"/>
        <v>5.1452397534240274E-2</v>
      </c>
      <c r="R133" s="360">
        <f t="shared" si="111"/>
        <v>5.1452397534240274E-2</v>
      </c>
      <c r="S133" s="360" t="str">
        <f t="shared" si="112"/>
        <v>N/A</v>
      </c>
      <c r="T133" s="361"/>
      <c r="U133" s="361"/>
      <c r="V133" s="362"/>
      <c r="W133" s="362"/>
      <c r="X133" s="361"/>
      <c r="Y133" s="361"/>
      <c r="Z133" s="361"/>
      <c r="AA133" s="361"/>
      <c r="AB133" s="361"/>
      <c r="AC133" s="361"/>
      <c r="AD133" s="361"/>
      <c r="AE133" s="361"/>
      <c r="AF133" s="363">
        <f t="shared" si="113"/>
        <v>238034.990354699</v>
      </c>
      <c r="AG133" s="363">
        <f t="shared" si="114"/>
        <v>179228.58927330194</v>
      </c>
      <c r="AH133" s="364">
        <f t="shared" si="104"/>
        <v>550004.13275980228</v>
      </c>
      <c r="AI133" s="364">
        <f t="shared" si="115"/>
        <v>56456.946474515076</v>
      </c>
      <c r="AJ133" s="364">
        <f t="shared" si="116"/>
        <v>30794.647678458779</v>
      </c>
      <c r="AK133" s="352">
        <f t="shared" si="117"/>
        <v>793679600</v>
      </c>
      <c r="AL133" s="352">
        <f t="shared" si="118"/>
        <v>0</v>
      </c>
      <c r="AM133" s="352">
        <f t="shared" si="118"/>
        <v>793679600</v>
      </c>
      <c r="AN133" s="352">
        <f t="shared" si="118"/>
        <v>0</v>
      </c>
      <c r="AO133" s="352">
        <f t="shared" si="118"/>
        <v>0</v>
      </c>
      <c r="AP133" s="352">
        <f t="shared" si="118"/>
        <v>0</v>
      </c>
      <c r="AQ133" s="352">
        <f t="shared" si="118"/>
        <v>0</v>
      </c>
      <c r="AR133" s="364">
        <f t="shared" si="105"/>
        <v>4722298800</v>
      </c>
      <c r="AS133" s="364">
        <f t="shared" si="105"/>
        <v>2844113117</v>
      </c>
      <c r="AT133" s="364">
        <f t="shared" si="105"/>
        <v>81469800</v>
      </c>
      <c r="AU133" s="364">
        <f t="shared" si="105"/>
        <v>49128169.770833336</v>
      </c>
      <c r="AV133" s="364">
        <f t="shared" si="105"/>
        <v>2575795200</v>
      </c>
      <c r="AW133" s="364">
        <f t="shared" si="105"/>
        <v>2616727778.666667</v>
      </c>
      <c r="AX133" s="364">
        <f t="shared" si="105"/>
        <v>44438000</v>
      </c>
      <c r="AY133" s="364">
        <f t="shared" si="119"/>
        <v>87251.594152973848</v>
      </c>
      <c r="AZ133" s="364">
        <f t="shared" si="106"/>
        <v>125907800</v>
      </c>
      <c r="BA133" s="365">
        <f t="shared" si="120"/>
        <v>29</v>
      </c>
      <c r="BB133" s="365">
        <f t="shared" si="121"/>
        <v>29</v>
      </c>
      <c r="BC133" s="90"/>
    </row>
    <row r="134" spans="3:56" ht="16.5" x14ac:dyDescent="0.3">
      <c r="C134" s="350">
        <v>13</v>
      </c>
      <c r="D134" s="351" t="s">
        <v>400</v>
      </c>
      <c r="E134" s="351">
        <f t="shared" si="99"/>
        <v>3</v>
      </c>
      <c r="F134" s="332" t="s">
        <v>411</v>
      </c>
      <c r="G134" s="332"/>
      <c r="H134" s="352">
        <f t="shared" si="100"/>
        <v>3682.2</v>
      </c>
      <c r="I134" s="353">
        <f t="shared" si="107"/>
        <v>1113.8654999999999</v>
      </c>
      <c r="J134" s="352">
        <f t="shared" si="101"/>
        <v>1529.54</v>
      </c>
      <c r="K134" s="353">
        <f t="shared" si="102"/>
        <v>462.68584999999996</v>
      </c>
      <c r="L134" s="354">
        <f t="shared" si="108"/>
        <v>3.9715414924268139E-2</v>
      </c>
      <c r="M134" s="355">
        <f t="shared" si="103"/>
        <v>0.41538754005757428</v>
      </c>
      <c r="N134" s="356"/>
      <c r="O134" s="362"/>
      <c r="P134" s="358">
        <f t="shared" si="109"/>
        <v>36.000000000000007</v>
      </c>
      <c r="Q134" s="359">
        <f t="shared" si="110"/>
        <v>3.9715414924268146E-2</v>
      </c>
      <c r="R134" s="360">
        <f t="shared" si="111"/>
        <v>3.9715414924268146E-2</v>
      </c>
      <c r="S134" s="360" t="str">
        <f t="shared" si="112"/>
        <v>N/A</v>
      </c>
      <c r="T134" s="361"/>
      <c r="U134" s="361"/>
      <c r="V134" s="362"/>
      <c r="W134" s="362"/>
      <c r="X134" s="361"/>
      <c r="Y134" s="361"/>
      <c r="Z134" s="361"/>
      <c r="AA134" s="361"/>
      <c r="AB134" s="361"/>
      <c r="AC134" s="361"/>
      <c r="AD134" s="361"/>
      <c r="AE134" s="361"/>
      <c r="AF134" s="363">
        <f t="shared" si="113"/>
        <v>219021.39162025379</v>
      </c>
      <c r="AG134" s="363">
        <f t="shared" si="114"/>
        <v>195997.38227712535</v>
      </c>
      <c r="AH134" s="364">
        <f t="shared" si="104"/>
        <v>536473.65862395416</v>
      </c>
      <c r="AI134" s="364">
        <f t="shared" si="115"/>
        <v>57383.319619828435</v>
      </c>
      <c r="AJ134" s="364">
        <f t="shared" si="116"/>
        <v>32254.253318735526</v>
      </c>
      <c r="AK134" s="352">
        <f t="shared" si="117"/>
        <v>597559500</v>
      </c>
      <c r="AL134" s="352">
        <f t="shared" si="118"/>
        <v>0</v>
      </c>
      <c r="AM134" s="352">
        <f t="shared" si="118"/>
        <v>576119500</v>
      </c>
      <c r="AN134" s="352">
        <f t="shared" si="118"/>
        <v>21440000</v>
      </c>
      <c r="AO134" s="352">
        <f t="shared" si="118"/>
        <v>0</v>
      </c>
      <c r="AP134" s="352">
        <f t="shared" si="118"/>
        <v>0</v>
      </c>
      <c r="AQ134" s="352">
        <f t="shared" si="118"/>
        <v>0</v>
      </c>
      <c r="AR134" s="364">
        <f t="shared" si="105"/>
        <v>2301022800</v>
      </c>
      <c r="AS134" s="364">
        <f t="shared" si="105"/>
        <v>1917519000</v>
      </c>
      <c r="AT134" s="364">
        <f t="shared" si="105"/>
        <v>63917300</v>
      </c>
      <c r="AU134" s="364">
        <f t="shared" si="105"/>
        <v>53264416.666666672</v>
      </c>
      <c r="AV134" s="364">
        <f t="shared" si="105"/>
        <v>1293368400</v>
      </c>
      <c r="AW134" s="364">
        <f t="shared" si="105"/>
        <v>1293368400</v>
      </c>
      <c r="AX134" s="364">
        <f t="shared" si="105"/>
        <v>35926900</v>
      </c>
      <c r="AY134" s="364">
        <f t="shared" si="119"/>
        <v>89637.572938563957</v>
      </c>
      <c r="AZ134" s="364">
        <f t="shared" si="106"/>
        <v>99844200</v>
      </c>
      <c r="BA134" s="365">
        <f t="shared" si="120"/>
        <v>23</v>
      </c>
      <c r="BB134" s="365">
        <f t="shared" si="121"/>
        <v>29.999999999999996</v>
      </c>
      <c r="BC134" s="90"/>
    </row>
    <row r="135" spans="3:56" ht="16.5" x14ac:dyDescent="0.3">
      <c r="C135" s="350">
        <v>14</v>
      </c>
      <c r="D135" s="351" t="s">
        <v>412</v>
      </c>
      <c r="E135" s="351">
        <f t="shared" si="99"/>
        <v>1</v>
      </c>
      <c r="F135" s="332" t="s">
        <v>413</v>
      </c>
      <c r="G135" s="332"/>
      <c r="H135" s="352">
        <f t="shared" si="100"/>
        <v>987.1</v>
      </c>
      <c r="I135" s="353">
        <f t="shared" si="107"/>
        <v>298.59775000000002</v>
      </c>
      <c r="J135" s="352">
        <f t="shared" si="101"/>
        <v>370.06</v>
      </c>
      <c r="K135" s="353">
        <f t="shared" si="102"/>
        <v>111.94315</v>
      </c>
      <c r="L135" s="354">
        <f t="shared" si="108"/>
        <v>1.0646647675776732E-2</v>
      </c>
      <c r="M135" s="355">
        <f t="shared" si="103"/>
        <v>0.3748961604700638</v>
      </c>
      <c r="N135" s="356"/>
      <c r="O135" s="362"/>
      <c r="P135" s="358">
        <f t="shared" si="109"/>
        <v>60</v>
      </c>
      <c r="Q135" s="359">
        <f t="shared" si="110"/>
        <v>1.0646647675776734E-2</v>
      </c>
      <c r="R135" s="360">
        <f t="shared" si="111"/>
        <v>1.0646647675776734E-2</v>
      </c>
      <c r="S135" s="360" t="str">
        <f t="shared" si="112"/>
        <v>N/A</v>
      </c>
      <c r="T135" s="361"/>
      <c r="U135" s="361"/>
      <c r="V135" s="362"/>
      <c r="W135" s="362"/>
      <c r="X135" s="361"/>
      <c r="Y135" s="361"/>
      <c r="Z135" s="361"/>
      <c r="AA135" s="361"/>
      <c r="AB135" s="361"/>
      <c r="AC135" s="361"/>
      <c r="AD135" s="361"/>
      <c r="AE135" s="361"/>
      <c r="AF135" s="363">
        <f t="shared" si="113"/>
        <v>244273.76753289503</v>
      </c>
      <c r="AG135" s="363">
        <f t="shared" si="114"/>
        <v>181998.94321358652</v>
      </c>
      <c r="AH135" s="364">
        <f t="shared" si="104"/>
        <v>550004.14437148301</v>
      </c>
      <c r="AI135" s="364">
        <f t="shared" si="115"/>
        <v>58366.481328141286</v>
      </c>
      <c r="AJ135" s="364">
        <f t="shared" si="116"/>
        <v>31835.80586256929</v>
      </c>
      <c r="AK135" s="352">
        <f t="shared" si="117"/>
        <v>164230000</v>
      </c>
      <c r="AL135" s="352">
        <f t="shared" si="118"/>
        <v>0</v>
      </c>
      <c r="AM135" s="352">
        <f t="shared" si="118"/>
        <v>164230000</v>
      </c>
      <c r="AN135" s="352">
        <f t="shared" si="118"/>
        <v>0</v>
      </c>
      <c r="AO135" s="352">
        <f t="shared" si="118"/>
        <v>0</v>
      </c>
      <c r="AP135" s="352">
        <f t="shared" si="118"/>
        <v>0</v>
      </c>
      <c r="AQ135" s="352">
        <f t="shared" si="118"/>
        <v>0</v>
      </c>
      <c r="AR135" s="364">
        <f t="shared" si="105"/>
        <v>1045686000.0000001</v>
      </c>
      <c r="AS135" s="364">
        <f t="shared" si="105"/>
        <v>627411600</v>
      </c>
      <c r="AT135" s="364">
        <f t="shared" si="105"/>
        <v>17428100</v>
      </c>
      <c r="AU135" s="364">
        <f t="shared" si="105"/>
        <v>10456860</v>
      </c>
      <c r="AV135" s="364">
        <f t="shared" si="105"/>
        <v>570366000</v>
      </c>
      <c r="AW135" s="364">
        <f t="shared" si="105"/>
        <v>570366000</v>
      </c>
      <c r="AX135" s="364">
        <f t="shared" si="105"/>
        <v>9506100</v>
      </c>
      <c r="AY135" s="364">
        <f t="shared" si="119"/>
        <v>90202.287190710573</v>
      </c>
      <c r="AZ135" s="364">
        <f t="shared" si="106"/>
        <v>26934200</v>
      </c>
      <c r="BA135" s="365">
        <f t="shared" si="120"/>
        <v>6</v>
      </c>
      <c r="BB135" s="365">
        <f t="shared" si="121"/>
        <v>6</v>
      </c>
      <c r="BC135" s="90"/>
    </row>
    <row r="136" spans="3:56" ht="16.5" x14ac:dyDescent="0.3">
      <c r="C136" s="350">
        <v>15</v>
      </c>
      <c r="D136" s="351" t="s">
        <v>400</v>
      </c>
      <c r="E136" s="351">
        <f t="shared" si="99"/>
        <v>1</v>
      </c>
      <c r="F136" s="332" t="s">
        <v>414</v>
      </c>
      <c r="G136" s="332"/>
      <c r="H136" s="352">
        <f t="shared" si="100"/>
        <v>527.69000000000005</v>
      </c>
      <c r="I136" s="353">
        <f t="shared" si="107"/>
        <v>159.62622500000001</v>
      </c>
      <c r="J136" s="352">
        <f t="shared" si="101"/>
        <v>197.86</v>
      </c>
      <c r="K136" s="353">
        <f t="shared" si="102"/>
        <v>59.852650000000004</v>
      </c>
      <c r="L136" s="354">
        <f t="shared" si="108"/>
        <v>5.6915505136567969E-3</v>
      </c>
      <c r="M136" s="355">
        <f t="shared" si="103"/>
        <v>0.37495499251454451</v>
      </c>
      <c r="N136" s="356"/>
      <c r="O136" s="362"/>
      <c r="P136" s="358">
        <f t="shared" si="109"/>
        <v>52</v>
      </c>
      <c r="Q136" s="359">
        <f t="shared" si="110"/>
        <v>5.6915505136567977E-3</v>
      </c>
      <c r="R136" s="360">
        <f t="shared" si="111"/>
        <v>5.6915505136567977E-3</v>
      </c>
      <c r="S136" s="360" t="str">
        <f t="shared" si="112"/>
        <v>N/A</v>
      </c>
      <c r="T136" s="361"/>
      <c r="U136" s="361"/>
      <c r="V136" s="362"/>
      <c r="W136" s="362"/>
      <c r="X136" s="361"/>
      <c r="Y136" s="361"/>
      <c r="Z136" s="361"/>
      <c r="AA136" s="361"/>
      <c r="AB136" s="361"/>
      <c r="AC136" s="361"/>
      <c r="AD136" s="361"/>
      <c r="AE136" s="361"/>
      <c r="AF136" s="363">
        <f t="shared" si="113"/>
        <v>247307.22031522411</v>
      </c>
      <c r="AG136" s="363">
        <f t="shared" si="114"/>
        <v>202402.2296037403</v>
      </c>
      <c r="AH136" s="364">
        <f t="shared" si="104"/>
        <v>440009.15263140498</v>
      </c>
      <c r="AI136" s="364">
        <f t="shared" si="115"/>
        <v>58369.481581112377</v>
      </c>
      <c r="AJ136" s="364">
        <f t="shared" si="116"/>
        <v>33259.572479396789</v>
      </c>
      <c r="AK136" s="352">
        <f t="shared" si="117"/>
        <v>70237000</v>
      </c>
      <c r="AL136" s="352">
        <f t="shared" si="118"/>
        <v>0</v>
      </c>
      <c r="AM136" s="352">
        <f t="shared" si="118"/>
        <v>70237000</v>
      </c>
      <c r="AN136" s="352">
        <f t="shared" si="118"/>
        <v>0</v>
      </c>
      <c r="AO136" s="352">
        <f t="shared" si="118"/>
        <v>0</v>
      </c>
      <c r="AP136" s="352">
        <f t="shared" si="118"/>
        <v>0</v>
      </c>
      <c r="AQ136" s="352">
        <f t="shared" si="118"/>
        <v>0</v>
      </c>
      <c r="AR136" s="364">
        <f t="shared" si="105"/>
        <v>484499600.00000006</v>
      </c>
      <c r="AS136" s="364">
        <f t="shared" si="105"/>
        <v>344740100</v>
      </c>
      <c r="AT136" s="364">
        <f t="shared" si="105"/>
        <v>9317300</v>
      </c>
      <c r="AU136" s="364">
        <f t="shared" si="105"/>
        <v>6629617.307692308</v>
      </c>
      <c r="AV136" s="364">
        <f t="shared" si="105"/>
        <v>276073200</v>
      </c>
      <c r="AW136" s="364">
        <f t="shared" si="105"/>
        <v>276073200</v>
      </c>
      <c r="AX136" s="364">
        <f t="shared" si="105"/>
        <v>5309100</v>
      </c>
      <c r="AY136" s="364">
        <f t="shared" si="119"/>
        <v>91629.054060509166</v>
      </c>
      <c r="AZ136" s="364">
        <f t="shared" si="106"/>
        <v>14626400</v>
      </c>
      <c r="BA136" s="365">
        <f t="shared" si="120"/>
        <v>3</v>
      </c>
      <c r="BB136" s="365">
        <f t="shared" si="121"/>
        <v>3</v>
      </c>
      <c r="BC136" s="90"/>
    </row>
    <row r="137" spans="3:56" ht="16.5" x14ac:dyDescent="0.3">
      <c r="C137" s="350">
        <v>16</v>
      </c>
      <c r="D137" s="351" t="s">
        <v>400</v>
      </c>
      <c r="E137" s="351">
        <f t="shared" si="99"/>
        <v>1</v>
      </c>
      <c r="F137" s="332" t="s">
        <v>415</v>
      </c>
      <c r="G137" s="332"/>
      <c r="H137" s="352">
        <f t="shared" si="100"/>
        <v>173.66</v>
      </c>
      <c r="I137" s="353">
        <f t="shared" si="107"/>
        <v>52.532149999999994</v>
      </c>
      <c r="J137" s="352">
        <f t="shared" si="101"/>
        <v>65.88</v>
      </c>
      <c r="K137" s="353">
        <f t="shared" si="102"/>
        <v>19.928699999999999</v>
      </c>
      <c r="L137" s="354">
        <f t="shared" si="108"/>
        <v>1.8730593003499008E-3</v>
      </c>
      <c r="M137" s="355">
        <f t="shared" si="103"/>
        <v>0.37936197166877805</v>
      </c>
      <c r="N137" s="356"/>
      <c r="O137" s="362"/>
      <c r="P137" s="358">
        <f t="shared" si="109"/>
        <v>36</v>
      </c>
      <c r="Q137" s="359">
        <f t="shared" si="110"/>
        <v>1.873059300349901E-3</v>
      </c>
      <c r="R137" s="360">
        <f t="shared" si="111"/>
        <v>1.873059300349901E-3</v>
      </c>
      <c r="S137" s="360" t="str">
        <f t="shared" si="112"/>
        <v>N/A</v>
      </c>
      <c r="T137" s="361"/>
      <c r="U137" s="361"/>
      <c r="V137" s="362"/>
      <c r="W137" s="362"/>
      <c r="X137" s="361"/>
      <c r="Y137" s="361"/>
      <c r="Z137" s="361"/>
      <c r="AA137" s="361"/>
      <c r="AB137" s="361"/>
      <c r="AC137" s="361"/>
      <c r="AD137" s="361"/>
      <c r="AE137" s="361"/>
      <c r="AF137" s="363">
        <f t="shared" si="113"/>
        <v>257195.02526507</v>
      </c>
      <c r="AG137" s="363">
        <f t="shared" si="114"/>
        <v>237323.55848600261</v>
      </c>
      <c r="AH137" s="364">
        <f t="shared" si="104"/>
        <v>499979.53634107881</v>
      </c>
      <c r="AI137" s="364">
        <f t="shared" si="115"/>
        <v>60307.830538060982</v>
      </c>
      <c r="AJ137" s="364">
        <f t="shared" si="116"/>
        <v>36012.232509044465</v>
      </c>
      <c r="AK137" s="352">
        <f t="shared" si="117"/>
        <v>26265000</v>
      </c>
      <c r="AL137" s="352">
        <f t="shared" si="118"/>
        <v>0</v>
      </c>
      <c r="AM137" s="352">
        <f t="shared" si="118"/>
        <v>26265000</v>
      </c>
      <c r="AN137" s="352">
        <f t="shared" si="118"/>
        <v>0</v>
      </c>
      <c r="AO137" s="352">
        <f t="shared" si="118"/>
        <v>0</v>
      </c>
      <c r="AP137" s="352">
        <f t="shared" si="118"/>
        <v>0</v>
      </c>
      <c r="AQ137" s="352">
        <f t="shared" si="118"/>
        <v>0</v>
      </c>
      <c r="AR137" s="364">
        <f t="shared" si="105"/>
        <v>114051600</v>
      </c>
      <c r="AS137" s="364">
        <f t="shared" si="105"/>
        <v>99795150</v>
      </c>
      <c r="AT137" s="364">
        <f t="shared" si="105"/>
        <v>3168100</v>
      </c>
      <c r="AU137" s="364">
        <f t="shared" si="105"/>
        <v>2772087.5</v>
      </c>
      <c r="AV137" s="364">
        <f t="shared" si="105"/>
        <v>68104800</v>
      </c>
      <c r="AW137" s="364">
        <f t="shared" si="105"/>
        <v>68104800</v>
      </c>
      <c r="AX137" s="364">
        <f t="shared" si="105"/>
        <v>1891800</v>
      </c>
      <c r="AY137" s="364">
        <f t="shared" si="119"/>
        <v>96320.063047105446</v>
      </c>
      <c r="AZ137" s="364">
        <f t="shared" si="106"/>
        <v>5059900</v>
      </c>
      <c r="BA137" s="365">
        <f t="shared" si="120"/>
        <v>1</v>
      </c>
      <c r="BB137" s="365">
        <f t="shared" si="121"/>
        <v>1</v>
      </c>
      <c r="BC137" s="90"/>
    </row>
    <row r="138" spans="3:56" ht="16.5" x14ac:dyDescent="0.3">
      <c r="C138" s="350">
        <v>17</v>
      </c>
      <c r="D138" s="351" t="s">
        <v>412</v>
      </c>
      <c r="E138" s="351">
        <f t="shared" si="99"/>
        <v>3</v>
      </c>
      <c r="F138" s="332" t="s">
        <v>416</v>
      </c>
      <c r="G138" s="332"/>
      <c r="H138" s="352">
        <f t="shared" si="100"/>
        <v>4718.29</v>
      </c>
      <c r="I138" s="353">
        <f t="shared" si="107"/>
        <v>1427.282725</v>
      </c>
      <c r="J138" s="352">
        <f t="shared" si="101"/>
        <v>1946.1269377856631</v>
      </c>
      <c r="K138" s="353">
        <f t="shared" si="102"/>
        <v>588.7033986801631</v>
      </c>
      <c r="L138" s="354">
        <f t="shared" si="108"/>
        <v>5.0890458172566704E-2</v>
      </c>
      <c r="M138" s="355">
        <f t="shared" si="103"/>
        <v>0.41246446017215199</v>
      </c>
      <c r="N138" s="356"/>
      <c r="O138" s="362"/>
      <c r="P138" s="358">
        <f t="shared" si="109"/>
        <v>36</v>
      </c>
      <c r="Q138" s="359">
        <f t="shared" si="110"/>
        <v>5.0890458172566717E-2</v>
      </c>
      <c r="R138" s="360">
        <f t="shared" si="111"/>
        <v>5.0890458172566717E-2</v>
      </c>
      <c r="S138" s="360" t="str">
        <f t="shared" si="112"/>
        <v>N/A</v>
      </c>
      <c r="T138" s="361"/>
      <c r="U138" s="361"/>
      <c r="V138" s="362"/>
      <c r="W138" s="362"/>
      <c r="X138" s="361"/>
      <c r="Y138" s="361"/>
      <c r="Z138" s="361"/>
      <c r="AA138" s="361"/>
      <c r="AB138" s="361"/>
      <c r="AC138" s="361"/>
      <c r="AD138" s="361"/>
      <c r="AE138" s="361"/>
      <c r="AF138" s="363">
        <f t="shared" si="113"/>
        <v>228365.93147144347</v>
      </c>
      <c r="AG138" s="363">
        <f t="shared" si="114"/>
        <v>180267.91347095594</v>
      </c>
      <c r="AH138" s="364">
        <f t="shared" si="104"/>
        <v>185387.2364355844</v>
      </c>
      <c r="AI138" s="364">
        <f t="shared" si="115"/>
        <v>59516.169089764604</v>
      </c>
      <c r="AJ138" s="364">
        <f t="shared" si="116"/>
        <v>34213.193465226032</v>
      </c>
      <c r="AK138" s="352">
        <f t="shared" si="117"/>
        <v>264600000.00000021</v>
      </c>
      <c r="AL138" s="352">
        <f t="shared" si="118"/>
        <v>0</v>
      </c>
      <c r="AM138" s="352">
        <f t="shared" si="118"/>
        <v>264600000.00000021</v>
      </c>
      <c r="AN138" s="352">
        <f t="shared" si="118"/>
        <v>0</v>
      </c>
      <c r="AO138" s="352">
        <f t="shared" si="118"/>
        <v>0</v>
      </c>
      <c r="AP138" s="352">
        <f t="shared" si="118"/>
        <v>0</v>
      </c>
      <c r="AQ138" s="352">
        <f t="shared" si="118"/>
        <v>0</v>
      </c>
      <c r="AR138" s="364">
        <f t="shared" si="118"/>
        <v>3058070400</v>
      </c>
      <c r="AS138" s="364">
        <f t="shared" si="118"/>
        <v>2038713600</v>
      </c>
      <c r="AT138" s="364">
        <f t="shared" si="118"/>
        <v>84946400</v>
      </c>
      <c r="AU138" s="364">
        <f t="shared" si="118"/>
        <v>56630933.333333328</v>
      </c>
      <c r="AV138" s="364">
        <f t="shared" si="118"/>
        <v>1757948400</v>
      </c>
      <c r="AW138" s="364">
        <f t="shared" si="118"/>
        <v>1757948400</v>
      </c>
      <c r="AX138" s="364">
        <f t="shared" si="118"/>
        <v>48831900</v>
      </c>
      <c r="AY138" s="364">
        <f t="shared" si="119"/>
        <v>93729.362554990628</v>
      </c>
      <c r="AZ138" s="364">
        <f t="shared" si="106"/>
        <v>133778299.99999999</v>
      </c>
      <c r="BA138" s="365">
        <f t="shared" si="120"/>
        <v>28</v>
      </c>
      <c r="BB138" s="365">
        <f t="shared" si="121"/>
        <v>39</v>
      </c>
      <c r="BC138" s="90"/>
    </row>
    <row r="139" spans="3:56" ht="16.5" x14ac:dyDescent="0.3">
      <c r="C139" s="350">
        <v>18</v>
      </c>
      <c r="D139" s="351" t="s">
        <v>400</v>
      </c>
      <c r="E139" s="351">
        <f t="shared" si="99"/>
        <v>2</v>
      </c>
      <c r="F139" s="332" t="s">
        <v>417</v>
      </c>
      <c r="G139" s="332"/>
      <c r="H139" s="352">
        <f t="shared" si="100"/>
        <v>3203.6400000000003</v>
      </c>
      <c r="I139" s="369">
        <f t="shared" si="107"/>
        <v>969.10110000000009</v>
      </c>
      <c r="J139" s="352">
        <f t="shared" si="101"/>
        <v>1212.29</v>
      </c>
      <c r="K139" s="369">
        <f t="shared" si="102"/>
        <v>366.71772499999997</v>
      </c>
      <c r="L139" s="354">
        <f t="shared" si="108"/>
        <v>3.4553769992934226E-2</v>
      </c>
      <c r="M139" s="370">
        <f t="shared" si="103"/>
        <v>0.37841018341636384</v>
      </c>
      <c r="N139" s="356"/>
      <c r="O139" s="362"/>
      <c r="P139" s="358">
        <f t="shared" si="109"/>
        <v>55.064763831142066</v>
      </c>
      <c r="Q139" s="359">
        <f t="shared" si="110"/>
        <v>3.4553769992934233E-2</v>
      </c>
      <c r="R139" s="360">
        <f t="shared" si="111"/>
        <v>3.4553769992934233E-2</v>
      </c>
      <c r="S139" s="360" t="str">
        <f t="shared" si="112"/>
        <v>N/A</v>
      </c>
      <c r="T139" s="361"/>
      <c r="U139" s="361"/>
      <c r="V139" s="362"/>
      <c r="W139" s="362"/>
      <c r="X139" s="361"/>
      <c r="Y139" s="361"/>
      <c r="Z139" s="361"/>
      <c r="AA139" s="361"/>
      <c r="AB139" s="361"/>
      <c r="AC139" s="361"/>
      <c r="AD139" s="361"/>
      <c r="AE139" s="361"/>
      <c r="AF139" s="363">
        <f t="shared" si="113"/>
        <v>239857.29759858214</v>
      </c>
      <c r="AG139" s="363">
        <f t="shared" si="114"/>
        <v>192128.85287541896</v>
      </c>
      <c r="AH139" s="364">
        <f t="shared" si="104"/>
        <v>243327.5537505839</v>
      </c>
      <c r="AI139" s="364">
        <f t="shared" si="115"/>
        <v>56185.159628856054</v>
      </c>
      <c r="AJ139" s="364">
        <f t="shared" si="116"/>
        <v>33970.965464800312</v>
      </c>
      <c r="AK139" s="352">
        <f t="shared" si="117"/>
        <v>235809000</v>
      </c>
      <c r="AL139" s="352">
        <f t="shared" si="118"/>
        <v>0</v>
      </c>
      <c r="AM139" s="352">
        <f t="shared" si="118"/>
        <v>235809000</v>
      </c>
      <c r="AN139" s="352">
        <f t="shared" si="118"/>
        <v>0</v>
      </c>
      <c r="AO139" s="352">
        <f t="shared" si="118"/>
        <v>0</v>
      </c>
      <c r="AP139" s="352">
        <f t="shared" si="118"/>
        <v>0</v>
      </c>
      <c r="AQ139" s="352">
        <f t="shared" si="118"/>
        <v>0</v>
      </c>
      <c r="AR139" s="364">
        <f t="shared" si="118"/>
        <v>2987514000</v>
      </c>
      <c r="AS139" s="364">
        <f t="shared" si="118"/>
        <v>2014962000</v>
      </c>
      <c r="AT139" s="364">
        <f t="shared" si="118"/>
        <v>54449100</v>
      </c>
      <c r="AU139" s="364">
        <f t="shared" si="118"/>
        <v>36946233.333333336</v>
      </c>
      <c r="AV139" s="364">
        <f t="shared" si="118"/>
        <v>1818404400</v>
      </c>
      <c r="AW139" s="364">
        <f t="shared" si="118"/>
        <v>1818404400</v>
      </c>
      <c r="AX139" s="364">
        <f t="shared" si="118"/>
        <v>32921300</v>
      </c>
      <c r="AY139" s="364">
        <f t="shared" si="119"/>
        <v>90156.125093656374</v>
      </c>
      <c r="AZ139" s="364">
        <f t="shared" si="106"/>
        <v>87370400</v>
      </c>
      <c r="BA139" s="365">
        <f t="shared" si="120"/>
        <v>19</v>
      </c>
      <c r="BB139" s="365">
        <f t="shared" si="121"/>
        <v>20</v>
      </c>
      <c r="BC139" s="90"/>
    </row>
    <row r="140" spans="3:56" ht="16.5" x14ac:dyDescent="0.3">
      <c r="C140" s="350">
        <v>19</v>
      </c>
      <c r="D140" s="351" t="s">
        <v>400</v>
      </c>
      <c r="E140" s="351">
        <f t="shared" si="99"/>
        <v>1</v>
      </c>
      <c r="F140" s="332" t="s">
        <v>418</v>
      </c>
      <c r="G140" s="332"/>
      <c r="H140" s="352">
        <f t="shared" si="100"/>
        <v>897.9</v>
      </c>
      <c r="I140" s="369">
        <f t="shared" si="107"/>
        <v>271.61474999999996</v>
      </c>
      <c r="J140" s="352">
        <f t="shared" si="101"/>
        <v>330.26</v>
      </c>
      <c r="K140" s="369">
        <f t="shared" si="102"/>
        <v>99.903649999999999</v>
      </c>
      <c r="L140" s="354">
        <f t="shared" si="108"/>
        <v>9.6845557168269945E-3</v>
      </c>
      <c r="M140" s="370">
        <f t="shared" si="103"/>
        <v>0.36781378772691836</v>
      </c>
      <c r="N140" s="356"/>
      <c r="O140" s="362"/>
      <c r="P140" s="358">
        <f t="shared" si="109"/>
        <v>60</v>
      </c>
      <c r="Q140" s="359">
        <f t="shared" si="110"/>
        <v>9.6845557168269963E-3</v>
      </c>
      <c r="R140" s="360">
        <f t="shared" si="111"/>
        <v>9.6845557168269963E-3</v>
      </c>
      <c r="S140" s="360" t="str">
        <f t="shared" si="112"/>
        <v>N/A</v>
      </c>
      <c r="T140" s="361"/>
      <c r="U140" s="361"/>
      <c r="V140" s="362"/>
      <c r="W140" s="362"/>
      <c r="X140" s="361"/>
      <c r="Y140" s="361"/>
      <c r="Z140" s="361"/>
      <c r="AA140" s="361"/>
      <c r="AB140" s="361"/>
      <c r="AC140" s="361"/>
      <c r="AD140" s="361"/>
      <c r="AE140" s="361"/>
      <c r="AF140" s="363">
        <f t="shared" si="113"/>
        <v>248971.52156102404</v>
      </c>
      <c r="AG140" s="363">
        <f t="shared" si="114"/>
        <v>188143.84743033245</v>
      </c>
      <c r="AH140" s="364">
        <f t="shared" si="104"/>
        <v>549990.3815974649</v>
      </c>
      <c r="AI140" s="364">
        <f t="shared" si="115"/>
        <v>58365.018836421819</v>
      </c>
      <c r="AJ140" s="364">
        <f t="shared" si="116"/>
        <v>31835.163591078912</v>
      </c>
      <c r="AK140" s="352">
        <f t="shared" si="117"/>
        <v>149385500</v>
      </c>
      <c r="AL140" s="352">
        <f t="shared" si="118"/>
        <v>0</v>
      </c>
      <c r="AM140" s="352">
        <f t="shared" si="118"/>
        <v>0</v>
      </c>
      <c r="AN140" s="352">
        <f t="shared" si="118"/>
        <v>149385500</v>
      </c>
      <c r="AO140" s="352">
        <f t="shared" si="118"/>
        <v>0</v>
      </c>
      <c r="AP140" s="352">
        <f t="shared" si="118"/>
        <v>0</v>
      </c>
      <c r="AQ140" s="352">
        <f t="shared" si="118"/>
        <v>0</v>
      </c>
      <c r="AR140" s="364">
        <f t="shared" si="118"/>
        <v>951168000.00000012</v>
      </c>
      <c r="AS140" s="364">
        <f t="shared" si="118"/>
        <v>586553600</v>
      </c>
      <c r="AT140" s="364">
        <f t="shared" si="118"/>
        <v>15852800</v>
      </c>
      <c r="AU140" s="364">
        <f t="shared" si="118"/>
        <v>9775893.333333334</v>
      </c>
      <c r="AV140" s="364">
        <f t="shared" si="118"/>
        <v>518814000</v>
      </c>
      <c r="AW140" s="364">
        <f t="shared" si="118"/>
        <v>518814000</v>
      </c>
      <c r="AX140" s="364">
        <f t="shared" si="118"/>
        <v>8646900</v>
      </c>
      <c r="AY140" s="364">
        <f t="shared" si="119"/>
        <v>90200.182427500724</v>
      </c>
      <c r="AZ140" s="364">
        <f t="shared" si="106"/>
        <v>24499700</v>
      </c>
      <c r="BA140" s="365">
        <f t="shared" si="120"/>
        <v>5</v>
      </c>
      <c r="BB140" s="365">
        <f t="shared" si="121"/>
        <v>5</v>
      </c>
      <c r="BC140" s="90"/>
    </row>
    <row r="141" spans="3:56" ht="16.5" x14ac:dyDescent="0.3">
      <c r="C141" s="350">
        <v>20</v>
      </c>
      <c r="D141" s="351" t="s">
        <v>400</v>
      </c>
      <c r="E141" s="351">
        <f t="shared" si="99"/>
        <v>2</v>
      </c>
      <c r="F141" s="332" t="s">
        <v>419</v>
      </c>
      <c r="G141" s="332"/>
      <c r="H141" s="352">
        <f t="shared" si="100"/>
        <v>3315.04</v>
      </c>
      <c r="I141" s="369">
        <f t="shared" si="107"/>
        <v>1002.7995999999999</v>
      </c>
      <c r="J141" s="352">
        <f t="shared" si="101"/>
        <v>1246.83</v>
      </c>
      <c r="K141" s="369">
        <f t="shared" si="102"/>
        <v>377.16607499999998</v>
      </c>
      <c r="L141" s="354">
        <f t="shared" si="108"/>
        <v>3.5755306363192074E-2</v>
      </c>
      <c r="M141" s="370">
        <f t="shared" si="103"/>
        <v>0.37611310874076931</v>
      </c>
      <c r="N141" s="356"/>
      <c r="O141" s="362"/>
      <c r="P141" s="358">
        <f t="shared" si="109"/>
        <v>60</v>
      </c>
      <c r="Q141" s="359">
        <f t="shared" si="110"/>
        <v>3.5755306363192081E-2</v>
      </c>
      <c r="R141" s="360">
        <f t="shared" si="111"/>
        <v>3.5755306363192081E-2</v>
      </c>
      <c r="S141" s="360" t="str">
        <f t="shared" si="112"/>
        <v>N/A</v>
      </c>
      <c r="T141" s="361"/>
      <c r="U141" s="361"/>
      <c r="V141" s="362"/>
      <c r="W141" s="362"/>
      <c r="X141" s="361"/>
      <c r="Y141" s="361"/>
      <c r="Z141" s="361"/>
      <c r="AA141" s="361"/>
      <c r="AB141" s="361"/>
      <c r="AC141" s="361"/>
      <c r="AD141" s="361"/>
      <c r="AE141" s="361"/>
      <c r="AF141" s="363">
        <f t="shared" si="113"/>
        <v>275880.47254780278</v>
      </c>
      <c r="AG141" s="363">
        <f t="shared" si="114"/>
        <v>215064.11554467972</v>
      </c>
      <c r="AH141" s="364">
        <f t="shared" si="104"/>
        <v>392124.20906430361</v>
      </c>
      <c r="AI141" s="364">
        <f t="shared" si="115"/>
        <v>68621.48728419916</v>
      </c>
      <c r="AJ141" s="364">
        <f t="shared" si="116"/>
        <v>34160.464363966639</v>
      </c>
      <c r="AK141" s="352">
        <f t="shared" si="117"/>
        <v>393222000</v>
      </c>
      <c r="AL141" s="352">
        <f t="shared" si="118"/>
        <v>0</v>
      </c>
      <c r="AM141" s="352">
        <f t="shared" si="118"/>
        <v>0</v>
      </c>
      <c r="AN141" s="352">
        <f t="shared" si="118"/>
        <v>393222000</v>
      </c>
      <c r="AO141" s="352">
        <f t="shared" si="118"/>
        <v>0</v>
      </c>
      <c r="AP141" s="352">
        <f t="shared" si="118"/>
        <v>0</v>
      </c>
      <c r="AQ141" s="352">
        <f t="shared" si="118"/>
        <v>0</v>
      </c>
      <c r="AR141" s="364">
        <f t="shared" si="118"/>
        <v>4128816000</v>
      </c>
      <c r="AS141" s="364">
        <f t="shared" si="118"/>
        <v>2752544000</v>
      </c>
      <c r="AT141" s="364">
        <f t="shared" si="118"/>
        <v>68813600</v>
      </c>
      <c r="AU141" s="364">
        <f t="shared" si="118"/>
        <v>45875733.333333328</v>
      </c>
      <c r="AV141" s="364">
        <f t="shared" si="118"/>
        <v>2055366000.0000002</v>
      </c>
      <c r="AW141" s="364">
        <f t="shared" si="118"/>
        <v>2055366000.0000002</v>
      </c>
      <c r="AX141" s="364">
        <f t="shared" si="118"/>
        <v>34256100</v>
      </c>
      <c r="AY141" s="364">
        <f t="shared" si="119"/>
        <v>102781.95164816581</v>
      </c>
      <c r="AZ141" s="364">
        <f t="shared" si="106"/>
        <v>103069700</v>
      </c>
      <c r="BA141" s="365">
        <f t="shared" si="120"/>
        <v>20</v>
      </c>
      <c r="BB141" s="365">
        <f t="shared" si="121"/>
        <v>20</v>
      </c>
      <c r="BC141" s="90"/>
    </row>
    <row r="142" spans="3:56" ht="16.5" x14ac:dyDescent="0.3">
      <c r="C142" s="350">
        <v>21</v>
      </c>
      <c r="D142" s="351" t="s">
        <v>400</v>
      </c>
      <c r="E142" s="351">
        <f t="shared" si="99"/>
        <v>1</v>
      </c>
      <c r="F142" s="332" t="s">
        <v>420</v>
      </c>
      <c r="G142" s="332"/>
      <c r="H142" s="352">
        <f t="shared" si="100"/>
        <v>481.36</v>
      </c>
      <c r="I142" s="369">
        <f t="shared" si="107"/>
        <v>145.6114</v>
      </c>
      <c r="J142" s="352">
        <f t="shared" si="101"/>
        <v>177.42000000000007</v>
      </c>
      <c r="K142" s="369">
        <f t="shared" si="102"/>
        <v>53.669550000000022</v>
      </c>
      <c r="L142" s="354">
        <f t="shared" si="108"/>
        <v>5.1918451273547644E-3</v>
      </c>
      <c r="M142" s="370">
        <f t="shared" si="103"/>
        <v>0.36858068805052363</v>
      </c>
      <c r="N142" s="356"/>
      <c r="O142" s="362"/>
      <c r="P142" s="358">
        <f t="shared" si="109"/>
        <v>24</v>
      </c>
      <c r="Q142" s="359">
        <f t="shared" si="110"/>
        <v>5.1918451273547652E-3</v>
      </c>
      <c r="R142" s="360">
        <f t="shared" si="111"/>
        <v>5.1918451273547652E-3</v>
      </c>
      <c r="S142" s="360" t="str">
        <f t="shared" si="112"/>
        <v>N/A</v>
      </c>
      <c r="T142" s="361"/>
      <c r="U142" s="361"/>
      <c r="V142" s="362"/>
      <c r="W142" s="362"/>
      <c r="X142" s="361"/>
      <c r="Y142" s="361"/>
      <c r="Z142" s="361"/>
      <c r="AA142" s="361"/>
      <c r="AB142" s="361"/>
      <c r="AC142" s="361"/>
      <c r="AD142" s="361"/>
      <c r="AE142" s="361"/>
      <c r="AF142" s="363">
        <f t="shared" si="113"/>
        <v>257783.97620252069</v>
      </c>
      <c r="AG142" s="363">
        <f t="shared" si="114"/>
        <v>230173.65837177061</v>
      </c>
      <c r="AH142" s="364">
        <f t="shared" si="104"/>
        <v>171003.09453792765</v>
      </c>
      <c r="AI142" s="364">
        <f t="shared" si="115"/>
        <v>61059.77966010903</v>
      </c>
      <c r="AJ142" s="364">
        <f t="shared" si="116"/>
        <v>33526.907920671045</v>
      </c>
      <c r="AK142" s="352">
        <f t="shared" si="117"/>
        <v>24900000</v>
      </c>
      <c r="AL142" s="352">
        <f t="shared" si="118"/>
        <v>0</v>
      </c>
      <c r="AM142" s="352">
        <f t="shared" si="118"/>
        <v>24900000</v>
      </c>
      <c r="AN142" s="352">
        <f t="shared" si="118"/>
        <v>0</v>
      </c>
      <c r="AO142" s="352">
        <f t="shared" si="118"/>
        <v>0</v>
      </c>
      <c r="AP142" s="352">
        <f t="shared" si="118"/>
        <v>0</v>
      </c>
      <c r="AQ142" s="352">
        <f t="shared" si="118"/>
        <v>0</v>
      </c>
      <c r="AR142" s="364">
        <f t="shared" si="118"/>
        <v>213384000</v>
      </c>
      <c r="AS142" s="364">
        <f t="shared" si="118"/>
        <v>177820000</v>
      </c>
      <c r="AT142" s="364">
        <f t="shared" si="118"/>
        <v>8891000</v>
      </c>
      <c r="AU142" s="364">
        <f t="shared" si="118"/>
        <v>7409166.666666667</v>
      </c>
      <c r="AV142" s="364">
        <f t="shared" si="118"/>
        <v>117165600</v>
      </c>
      <c r="AW142" s="364">
        <f t="shared" si="118"/>
        <v>117165600</v>
      </c>
      <c r="AX142" s="364">
        <f t="shared" si="118"/>
        <v>4881900</v>
      </c>
      <c r="AY142" s="364">
        <f t="shared" si="119"/>
        <v>94586.687580780068</v>
      </c>
      <c r="AZ142" s="364">
        <f t="shared" si="106"/>
        <v>13772900</v>
      </c>
      <c r="BA142" s="365">
        <f t="shared" si="120"/>
        <v>3</v>
      </c>
      <c r="BB142" s="365">
        <f t="shared" si="121"/>
        <v>7</v>
      </c>
      <c r="BC142" s="90"/>
    </row>
    <row r="143" spans="3:56" ht="16.5" x14ac:dyDescent="0.3">
      <c r="C143" s="350">
        <v>22</v>
      </c>
      <c r="D143" s="351" t="s">
        <v>400</v>
      </c>
      <c r="E143" s="351">
        <f t="shared" si="99"/>
        <v>1</v>
      </c>
      <c r="F143" s="332" t="s">
        <v>421</v>
      </c>
      <c r="G143" s="332"/>
      <c r="H143" s="352">
        <f t="shared" si="100"/>
        <v>1588.66</v>
      </c>
      <c r="I143" s="369">
        <f t="shared" si="107"/>
        <v>480.56965000000002</v>
      </c>
      <c r="J143" s="352">
        <f t="shared" si="101"/>
        <v>585.9</v>
      </c>
      <c r="K143" s="369">
        <f t="shared" si="102"/>
        <v>177.23474999999999</v>
      </c>
      <c r="L143" s="354">
        <f t="shared" si="108"/>
        <v>1.7134944075169144E-2</v>
      </c>
      <c r="M143" s="370">
        <f t="shared" si="103"/>
        <v>0.36880137977918492</v>
      </c>
      <c r="N143" s="356"/>
      <c r="O143" s="362"/>
      <c r="P143" s="358">
        <f t="shared" si="109"/>
        <v>60</v>
      </c>
      <c r="Q143" s="359">
        <f t="shared" si="110"/>
        <v>1.7134944075169148E-2</v>
      </c>
      <c r="R143" s="360">
        <f t="shared" si="111"/>
        <v>1.7134944075169148E-2</v>
      </c>
      <c r="S143" s="360" t="str">
        <f t="shared" si="112"/>
        <v>N/A</v>
      </c>
      <c r="T143" s="361"/>
      <c r="U143" s="361"/>
      <c r="V143" s="362"/>
      <c r="W143" s="362"/>
      <c r="X143" s="361"/>
      <c r="Y143" s="361"/>
      <c r="Z143" s="361"/>
      <c r="AA143" s="361"/>
      <c r="AB143" s="361"/>
      <c r="AC143" s="361"/>
      <c r="AD143" s="361"/>
      <c r="AE143" s="361"/>
      <c r="AF143" s="363">
        <f t="shared" si="113"/>
        <v>255529.53780226508</v>
      </c>
      <c r="AG143" s="363">
        <f t="shared" si="114"/>
        <v>190356.2013092805</v>
      </c>
      <c r="AH143" s="364">
        <f t="shared" si="104"/>
        <v>550000.40056628629</v>
      </c>
      <c r="AI143" s="364">
        <f t="shared" si="115"/>
        <v>60090.041058564559</v>
      </c>
      <c r="AJ143" s="364">
        <f t="shared" si="116"/>
        <v>32774.604055832489</v>
      </c>
      <c r="AK143" s="352">
        <f t="shared" si="117"/>
        <v>264313500</v>
      </c>
      <c r="AL143" s="352">
        <f t="shared" si="118"/>
        <v>0</v>
      </c>
      <c r="AM143" s="352">
        <f t="shared" si="118"/>
        <v>264313500</v>
      </c>
      <c r="AN143" s="352">
        <f t="shared" si="118"/>
        <v>0</v>
      </c>
      <c r="AO143" s="352">
        <f t="shared" si="118"/>
        <v>0</v>
      </c>
      <c r="AP143" s="352">
        <f t="shared" si="118"/>
        <v>0</v>
      </c>
      <c r="AQ143" s="352">
        <f t="shared" si="118"/>
        <v>0</v>
      </c>
      <c r="AR143" s="364">
        <f t="shared" si="118"/>
        <v>1732647000</v>
      </c>
      <c r="AS143" s="364">
        <f t="shared" si="118"/>
        <v>1039588200.0000001</v>
      </c>
      <c r="AT143" s="364">
        <f t="shared" si="118"/>
        <v>28877450</v>
      </c>
      <c r="AU143" s="364">
        <f t="shared" si="118"/>
        <v>17326470.000000004</v>
      </c>
      <c r="AV143" s="364">
        <f t="shared" si="118"/>
        <v>945028800</v>
      </c>
      <c r="AW143" s="364">
        <f t="shared" si="118"/>
        <v>945028800</v>
      </c>
      <c r="AX143" s="364">
        <f t="shared" si="118"/>
        <v>15750480</v>
      </c>
      <c r="AY143" s="364">
        <f t="shared" si="119"/>
        <v>92864.645114397048</v>
      </c>
      <c r="AZ143" s="364">
        <f t="shared" si="106"/>
        <v>44627930</v>
      </c>
      <c r="BA143" s="365">
        <f t="shared" si="120"/>
        <v>10</v>
      </c>
      <c r="BB143" s="365">
        <f t="shared" si="121"/>
        <v>9</v>
      </c>
      <c r="BC143" s="90"/>
    </row>
    <row r="144" spans="3:56" ht="16.5" x14ac:dyDescent="0.3">
      <c r="C144" s="350">
        <v>23</v>
      </c>
      <c r="D144" s="351" t="s">
        <v>400</v>
      </c>
      <c r="E144" s="351">
        <f t="shared" si="99"/>
        <v>1</v>
      </c>
      <c r="F144" s="332" t="s">
        <v>422</v>
      </c>
      <c r="G144" s="332"/>
      <c r="H144" s="352">
        <f t="shared" si="100"/>
        <v>737.75</v>
      </c>
      <c r="I144" s="369">
        <f t="shared" si="107"/>
        <v>223.169375</v>
      </c>
      <c r="J144" s="369">
        <f t="shared" si="101"/>
        <v>275.19</v>
      </c>
      <c r="K144" s="369">
        <f t="shared" si="102"/>
        <v>83.244974999999997</v>
      </c>
      <c r="L144" s="354">
        <f t="shared" si="108"/>
        <v>7.9572123622776662E-3</v>
      </c>
      <c r="M144" s="370">
        <f t="shared" si="103"/>
        <v>0.37301253812267027</v>
      </c>
      <c r="N144" s="356"/>
      <c r="O144" s="362"/>
      <c r="P144" s="358">
        <f t="shared" si="109"/>
        <v>60</v>
      </c>
      <c r="Q144" s="359">
        <f t="shared" si="110"/>
        <v>7.9572123622776679E-3</v>
      </c>
      <c r="R144" s="360">
        <f t="shared" si="111"/>
        <v>7.9572123622776679E-3</v>
      </c>
      <c r="S144" s="360" t="str">
        <f t="shared" si="112"/>
        <v>N/A</v>
      </c>
      <c r="T144" s="361"/>
      <c r="U144" s="361"/>
      <c r="V144" s="362"/>
      <c r="W144" s="362"/>
      <c r="X144" s="361"/>
      <c r="Y144" s="361"/>
      <c r="Z144" s="361"/>
      <c r="AA144" s="361"/>
      <c r="AB144" s="361"/>
      <c r="AC144" s="361"/>
      <c r="AD144" s="361"/>
      <c r="AE144" s="361"/>
      <c r="AF144" s="363">
        <f t="shared" si="113"/>
        <v>283860.97779475577</v>
      </c>
      <c r="AG144" s="363">
        <f t="shared" si="114"/>
        <v>268937.35427673964</v>
      </c>
      <c r="AH144" s="364">
        <f t="shared" si="104"/>
        <v>327105.81368971436</v>
      </c>
      <c r="AI144" s="364">
        <f t="shared" si="115"/>
        <v>66800.38423730855</v>
      </c>
      <c r="AJ144" s="364">
        <f t="shared" si="116"/>
        <v>38265.555029671967</v>
      </c>
      <c r="AK144" s="352">
        <f t="shared" si="117"/>
        <v>73000000</v>
      </c>
      <c r="AL144" s="352">
        <f t="shared" si="118"/>
        <v>0</v>
      </c>
      <c r="AM144" s="352">
        <f t="shared" si="118"/>
        <v>73000000</v>
      </c>
      <c r="AN144" s="352">
        <f t="shared" si="118"/>
        <v>0</v>
      </c>
      <c r="AO144" s="352">
        <f t="shared" si="118"/>
        <v>0</v>
      </c>
      <c r="AP144" s="352">
        <f t="shared" si="118"/>
        <v>0</v>
      </c>
      <c r="AQ144" s="352">
        <f t="shared" si="118"/>
        <v>0</v>
      </c>
      <c r="AR144" s="364">
        <f t="shared" si="118"/>
        <v>894468000.00000012</v>
      </c>
      <c r="AS144" s="364">
        <f t="shared" si="118"/>
        <v>819929000</v>
      </c>
      <c r="AT144" s="364">
        <f t="shared" si="118"/>
        <v>14907800</v>
      </c>
      <c r="AU144" s="364">
        <f t="shared" si="118"/>
        <v>13665483.333333334</v>
      </c>
      <c r="AV144" s="364">
        <f t="shared" si="118"/>
        <v>512381999.99999994</v>
      </c>
      <c r="AW144" s="364">
        <f t="shared" si="118"/>
        <v>512381999.99999994</v>
      </c>
      <c r="AX144" s="364">
        <f t="shared" si="118"/>
        <v>8539700</v>
      </c>
      <c r="AY144" s="364">
        <f t="shared" si="119"/>
        <v>105065.93926698051</v>
      </c>
      <c r="AZ144" s="364">
        <f t="shared" si="106"/>
        <v>23447500</v>
      </c>
      <c r="BA144" s="365">
        <f t="shared" si="120"/>
        <v>4</v>
      </c>
      <c r="BB144" s="365">
        <f t="shared" si="121"/>
        <v>4</v>
      </c>
      <c r="BC144" s="90"/>
    </row>
    <row r="145" spans="3:55" ht="16.5" x14ac:dyDescent="0.3">
      <c r="C145" s="350">
        <v>24</v>
      </c>
      <c r="D145" s="351" t="s">
        <v>400</v>
      </c>
      <c r="E145" s="351">
        <f t="shared" si="99"/>
        <v>1</v>
      </c>
      <c r="F145" s="371" t="s">
        <v>423</v>
      </c>
      <c r="G145" s="371"/>
      <c r="H145" s="352">
        <f t="shared" si="100"/>
        <v>72.16</v>
      </c>
      <c r="I145" s="369">
        <f t="shared" si="107"/>
        <v>21.828399999999998</v>
      </c>
      <c r="J145" s="369">
        <f t="shared" si="101"/>
        <v>27.91</v>
      </c>
      <c r="K145" s="369">
        <f t="shared" si="102"/>
        <v>8.4427749999999993</v>
      </c>
      <c r="L145" s="354">
        <f t="shared" si="108"/>
        <v>7.7830219459431563E-4</v>
      </c>
      <c r="M145" s="370">
        <f t="shared" si="103"/>
        <v>0.38677937915742794</v>
      </c>
      <c r="N145" s="356"/>
      <c r="O145" s="362"/>
      <c r="P145" s="358">
        <f t="shared" si="109"/>
        <v>12</v>
      </c>
      <c r="Q145" s="359">
        <f t="shared" si="110"/>
        <v>7.7830219459431573E-4</v>
      </c>
      <c r="R145" s="360">
        <f t="shared" si="111"/>
        <v>7.7830219459431573E-4</v>
      </c>
      <c r="S145" s="360" t="str">
        <f t="shared" si="112"/>
        <v>N/A</v>
      </c>
      <c r="T145" s="361"/>
      <c r="U145" s="361"/>
      <c r="V145" s="362"/>
      <c r="W145" s="362"/>
      <c r="X145" s="361"/>
      <c r="Y145" s="361"/>
      <c r="Z145" s="361"/>
      <c r="AA145" s="361"/>
      <c r="AB145" s="361"/>
      <c r="AC145" s="361"/>
      <c r="AD145" s="361"/>
      <c r="AE145" s="361"/>
      <c r="AF145" s="363">
        <f t="shared" si="113"/>
        <v>265672.86822164519</v>
      </c>
      <c r="AG145" s="363">
        <f t="shared" si="114"/>
        <v>251607.5875526708</v>
      </c>
      <c r="AH145" s="364">
        <f t="shared" si="104"/>
        <v>550040.3144527314</v>
      </c>
      <c r="AI145" s="364">
        <f t="shared" si="115"/>
        <v>65281.926297850514</v>
      </c>
      <c r="AJ145" s="364">
        <f t="shared" si="116"/>
        <v>36099.759945758742</v>
      </c>
      <c r="AK145" s="352">
        <f t="shared" si="117"/>
        <v>12006500</v>
      </c>
      <c r="AL145" s="352">
        <f t="shared" si="118"/>
        <v>0</v>
      </c>
      <c r="AM145" s="352">
        <f t="shared" si="118"/>
        <v>0</v>
      </c>
      <c r="AN145" s="352">
        <f t="shared" si="118"/>
        <v>12006500</v>
      </c>
      <c r="AO145" s="352">
        <f t="shared" si="118"/>
        <v>0</v>
      </c>
      <c r="AP145" s="352">
        <f t="shared" si="118"/>
        <v>0</v>
      </c>
      <c r="AQ145" s="352">
        <f t="shared" si="118"/>
        <v>0</v>
      </c>
      <c r="AR145" s="364">
        <f t="shared" si="118"/>
        <v>17100000</v>
      </c>
      <c r="AS145" s="364">
        <f t="shared" si="118"/>
        <v>15675000</v>
      </c>
      <c r="AT145" s="364">
        <f t="shared" si="118"/>
        <v>1425000</v>
      </c>
      <c r="AU145" s="364">
        <f t="shared" si="118"/>
        <v>1306250</v>
      </c>
      <c r="AV145" s="364">
        <f t="shared" si="118"/>
        <v>9456000</v>
      </c>
      <c r="AW145" s="364">
        <f t="shared" si="118"/>
        <v>9456000</v>
      </c>
      <c r="AX145" s="364">
        <f t="shared" si="118"/>
        <v>788000</v>
      </c>
      <c r="AY145" s="364">
        <f t="shared" si="119"/>
        <v>101381.68624360925</v>
      </c>
      <c r="AZ145" s="364">
        <f t="shared" si="106"/>
        <v>2213000</v>
      </c>
      <c r="BA145" s="365">
        <f t="shared" si="120"/>
        <v>0</v>
      </c>
      <c r="BB145" s="365">
        <f t="shared" si="121"/>
        <v>0</v>
      </c>
      <c r="BC145" s="90"/>
    </row>
    <row r="146" spans="3:55" ht="16.5" x14ac:dyDescent="0.3">
      <c r="C146" s="350">
        <v>25</v>
      </c>
      <c r="D146" s="351" t="s">
        <v>400</v>
      </c>
      <c r="E146" s="351">
        <f t="shared" si="99"/>
        <v>1</v>
      </c>
      <c r="F146" s="371" t="s">
        <v>424</v>
      </c>
      <c r="G146" s="371"/>
      <c r="H146" s="352">
        <f t="shared" si="100"/>
        <v>112.5</v>
      </c>
      <c r="I146" s="369">
        <f t="shared" si="107"/>
        <v>34.03125</v>
      </c>
      <c r="J146" s="369">
        <f t="shared" si="101"/>
        <v>40.96</v>
      </c>
      <c r="K146" s="369">
        <f t="shared" si="102"/>
        <v>12.3904</v>
      </c>
      <c r="L146" s="354">
        <f t="shared" si="108"/>
        <v>1.2134007329803285E-3</v>
      </c>
      <c r="M146" s="370">
        <f t="shared" si="103"/>
        <v>0.36408888888888891</v>
      </c>
      <c r="N146" s="356"/>
      <c r="O146" s="362"/>
      <c r="P146" s="358">
        <f t="shared" si="109"/>
        <v>1</v>
      </c>
      <c r="Q146" s="359">
        <f t="shared" si="110"/>
        <v>1.2134007329803289E-3</v>
      </c>
      <c r="R146" s="360">
        <f t="shared" si="111"/>
        <v>1.2134007329803289E-3</v>
      </c>
      <c r="S146" s="360" t="str">
        <f t="shared" si="112"/>
        <v>N/A</v>
      </c>
      <c r="T146" s="361"/>
      <c r="U146" s="361"/>
      <c r="V146" s="362"/>
      <c r="W146" s="362"/>
      <c r="X146" s="361"/>
      <c r="Y146" s="361"/>
      <c r="Z146" s="361"/>
      <c r="AA146" s="361"/>
      <c r="AB146" s="361"/>
      <c r="AC146" s="361"/>
      <c r="AD146" s="361"/>
      <c r="AE146" s="361"/>
      <c r="AF146" s="363">
        <f t="shared" si="113"/>
        <v>0</v>
      </c>
      <c r="AG146" s="363">
        <f t="shared" si="114"/>
        <v>0</v>
      </c>
      <c r="AH146" s="364">
        <f t="shared" si="104"/>
        <v>0</v>
      </c>
      <c r="AI146" s="364">
        <f t="shared" si="115"/>
        <v>0</v>
      </c>
      <c r="AJ146" s="364">
        <f t="shared" si="116"/>
        <v>0</v>
      </c>
      <c r="AK146" s="352">
        <f t="shared" si="117"/>
        <v>0</v>
      </c>
      <c r="AL146" s="352">
        <f t="shared" si="118"/>
        <v>0</v>
      </c>
      <c r="AM146" s="352">
        <f t="shared" si="118"/>
        <v>0</v>
      </c>
      <c r="AN146" s="352">
        <f t="shared" si="118"/>
        <v>0</v>
      </c>
      <c r="AO146" s="352">
        <f t="shared" si="118"/>
        <v>0</v>
      </c>
      <c r="AP146" s="352">
        <f t="shared" si="118"/>
        <v>0</v>
      </c>
      <c r="AQ146" s="352">
        <f t="shared" si="118"/>
        <v>0</v>
      </c>
      <c r="AR146" s="364">
        <f t="shared" si="118"/>
        <v>0</v>
      </c>
      <c r="AS146" s="364">
        <f t="shared" si="118"/>
        <v>0</v>
      </c>
      <c r="AT146" s="364">
        <f t="shared" si="118"/>
        <v>0</v>
      </c>
      <c r="AU146" s="364">
        <f t="shared" si="118"/>
        <v>0</v>
      </c>
      <c r="AV146" s="364">
        <f t="shared" si="118"/>
        <v>0</v>
      </c>
      <c r="AW146" s="364">
        <f t="shared" si="118"/>
        <v>0</v>
      </c>
      <c r="AX146" s="364">
        <f t="shared" si="118"/>
        <v>0</v>
      </c>
      <c r="AY146" s="364">
        <f t="shared" si="119"/>
        <v>0</v>
      </c>
      <c r="AZ146" s="364">
        <f t="shared" si="106"/>
        <v>0</v>
      </c>
      <c r="BA146" s="365">
        <f t="shared" si="120"/>
        <v>1</v>
      </c>
      <c r="BB146" s="365">
        <f t="shared" si="121"/>
        <v>0</v>
      </c>
      <c r="BC146" s="90"/>
    </row>
    <row r="147" spans="3:55" ht="16.5" x14ac:dyDescent="0.3">
      <c r="C147" s="350">
        <v>26</v>
      </c>
      <c r="D147" s="351" t="s">
        <v>400</v>
      </c>
      <c r="E147" s="351">
        <f t="shared" si="99"/>
        <v>1</v>
      </c>
      <c r="F147" s="332" t="s">
        <v>425</v>
      </c>
      <c r="G147" s="332"/>
      <c r="H147" s="352">
        <f t="shared" si="100"/>
        <v>213.16</v>
      </c>
      <c r="I147" s="369">
        <f t="shared" si="107"/>
        <v>64.480899999999991</v>
      </c>
      <c r="J147" s="369">
        <f t="shared" si="101"/>
        <v>79.5</v>
      </c>
      <c r="K147" s="369">
        <f t="shared" si="102"/>
        <v>24.048749999999998</v>
      </c>
      <c r="L147" s="354">
        <f t="shared" si="108"/>
        <v>2.2990977799296607E-3</v>
      </c>
      <c r="M147" s="370">
        <f t="shared" si="103"/>
        <v>0.37295927941452428</v>
      </c>
      <c r="N147" s="356"/>
      <c r="O147" s="362"/>
      <c r="P147" s="358">
        <f t="shared" si="109"/>
        <v>12</v>
      </c>
      <c r="Q147" s="359">
        <f t="shared" si="110"/>
        <v>2.2990977799296607E-3</v>
      </c>
      <c r="R147" s="360">
        <f t="shared" si="111"/>
        <v>2.2990977799296607E-3</v>
      </c>
      <c r="S147" s="360" t="str">
        <f t="shared" si="112"/>
        <v>N/A</v>
      </c>
      <c r="T147" s="361"/>
      <c r="U147" s="361"/>
      <c r="V147" s="362"/>
      <c r="W147" s="362"/>
      <c r="X147" s="361"/>
      <c r="Y147" s="361"/>
      <c r="Z147" s="361"/>
      <c r="AA147" s="361"/>
      <c r="AB147" s="361"/>
      <c r="AC147" s="361"/>
      <c r="AD147" s="361"/>
      <c r="AE147" s="361"/>
      <c r="AF147" s="363">
        <f t="shared" si="113"/>
        <v>271378.45002339</v>
      </c>
      <c r="AG147" s="363">
        <f t="shared" si="114"/>
        <v>242609.10996760053</v>
      </c>
      <c r="AH147" s="364">
        <f t="shared" si="104"/>
        <v>509995.98330668471</v>
      </c>
      <c r="AI147" s="364">
        <f t="shared" si="115"/>
        <v>64378.75401863188</v>
      </c>
      <c r="AJ147" s="364">
        <f t="shared" si="116"/>
        <v>35559.367192455444</v>
      </c>
      <c r="AK147" s="352">
        <f t="shared" si="117"/>
        <v>32885000</v>
      </c>
      <c r="AL147" s="352">
        <f t="shared" si="118"/>
        <v>0</v>
      </c>
      <c r="AM147" s="352">
        <f t="shared" si="118"/>
        <v>32885000</v>
      </c>
      <c r="AN147" s="352">
        <f t="shared" si="118"/>
        <v>0</v>
      </c>
      <c r="AO147" s="352">
        <f t="shared" si="118"/>
        <v>0</v>
      </c>
      <c r="AP147" s="352">
        <f t="shared" si="118"/>
        <v>0</v>
      </c>
      <c r="AQ147" s="352">
        <f t="shared" si="118"/>
        <v>0</v>
      </c>
      <c r="AR147" s="364">
        <f t="shared" si="118"/>
        <v>49814400</v>
      </c>
      <c r="AS147" s="364">
        <f t="shared" si="118"/>
        <v>41512000</v>
      </c>
      <c r="AT147" s="364">
        <f t="shared" si="118"/>
        <v>4151200</v>
      </c>
      <c r="AU147" s="364">
        <f t="shared" si="118"/>
        <v>3459333.3333333335</v>
      </c>
      <c r="AV147" s="364">
        <f t="shared" si="118"/>
        <v>27514800</v>
      </c>
      <c r="AW147" s="364">
        <f t="shared" si="118"/>
        <v>27514800</v>
      </c>
      <c r="AX147" s="364">
        <f t="shared" si="118"/>
        <v>2292900</v>
      </c>
      <c r="AY147" s="364">
        <f t="shared" si="119"/>
        <v>99938.121211087331</v>
      </c>
      <c r="AZ147" s="364">
        <f t="shared" si="106"/>
        <v>6444100</v>
      </c>
      <c r="BA147" s="365">
        <f t="shared" si="120"/>
        <v>1</v>
      </c>
      <c r="BB147" s="365">
        <f t="shared" si="121"/>
        <v>1</v>
      </c>
      <c r="BC147" s="90"/>
    </row>
    <row r="148" spans="3:55" ht="16.5" x14ac:dyDescent="0.3">
      <c r="C148" s="350">
        <v>27</v>
      </c>
      <c r="D148" s="351" t="s">
        <v>400</v>
      </c>
      <c r="E148" s="351">
        <f t="shared" si="99"/>
        <v>1</v>
      </c>
      <c r="F148" s="332" t="s">
        <v>426</v>
      </c>
      <c r="G148" s="332"/>
      <c r="H148" s="352">
        <f t="shared" si="100"/>
        <v>172.16</v>
      </c>
      <c r="I148" s="369">
        <f t="shared" si="107"/>
        <v>52.078399999999995</v>
      </c>
      <c r="J148" s="369">
        <f t="shared" si="101"/>
        <v>64.19</v>
      </c>
      <c r="K148" s="369">
        <f t="shared" si="102"/>
        <v>19.417475</v>
      </c>
      <c r="L148" s="354">
        <f t="shared" si="108"/>
        <v>1.8568806239101631E-3</v>
      </c>
      <c r="M148" s="370">
        <f t="shared" si="103"/>
        <v>0.37285083643122674</v>
      </c>
      <c r="N148" s="356"/>
      <c r="O148" s="362"/>
      <c r="P148" s="358">
        <f t="shared" si="109"/>
        <v>24</v>
      </c>
      <c r="Q148" s="359">
        <f t="shared" si="110"/>
        <v>1.8568806239101633E-3</v>
      </c>
      <c r="R148" s="360">
        <f t="shared" si="111"/>
        <v>1.8568806239101633E-3</v>
      </c>
      <c r="S148" s="360" t="str">
        <f t="shared" si="112"/>
        <v>N/A</v>
      </c>
      <c r="T148" s="361"/>
      <c r="U148" s="361"/>
      <c r="V148" s="362"/>
      <c r="W148" s="362"/>
      <c r="X148" s="361"/>
      <c r="Y148" s="361"/>
      <c r="Z148" s="361"/>
      <c r="AA148" s="361"/>
      <c r="AB148" s="361"/>
      <c r="AC148" s="361"/>
      <c r="AD148" s="361"/>
      <c r="AE148" s="361"/>
      <c r="AF148" s="363">
        <f t="shared" si="113"/>
        <v>262253.26670949749</v>
      </c>
      <c r="AG148" s="363">
        <f t="shared" si="114"/>
        <v>248553.40786241944</v>
      </c>
      <c r="AH148" s="364">
        <f t="shared" si="104"/>
        <v>549911.28759716125</v>
      </c>
      <c r="AI148" s="364">
        <f t="shared" si="115"/>
        <v>61296.045961473479</v>
      </c>
      <c r="AJ148" s="364">
        <f t="shared" si="116"/>
        <v>35110.525668991373</v>
      </c>
      <c r="AK148" s="352">
        <f t="shared" si="117"/>
        <v>28638500</v>
      </c>
      <c r="AL148" s="352">
        <f t="shared" si="118"/>
        <v>0</v>
      </c>
      <c r="AM148" s="352">
        <f t="shared" si="118"/>
        <v>28638500</v>
      </c>
      <c r="AN148" s="352">
        <f t="shared" si="118"/>
        <v>0</v>
      </c>
      <c r="AO148" s="352">
        <f t="shared" si="118"/>
        <v>0</v>
      </c>
      <c r="AP148" s="352">
        <f t="shared" si="118"/>
        <v>0</v>
      </c>
      <c r="AQ148" s="352">
        <f t="shared" si="118"/>
        <v>0</v>
      </c>
      <c r="AR148" s="364">
        <f t="shared" si="118"/>
        <v>76612800</v>
      </c>
      <c r="AS148" s="364">
        <f t="shared" si="118"/>
        <v>70228400</v>
      </c>
      <c r="AT148" s="364">
        <f t="shared" si="118"/>
        <v>3192200</v>
      </c>
      <c r="AU148" s="364">
        <f t="shared" si="118"/>
        <v>2926183.3333333335</v>
      </c>
      <c r="AV148" s="364">
        <f t="shared" si="118"/>
        <v>43884000.000000007</v>
      </c>
      <c r="AW148" s="364">
        <f t="shared" si="118"/>
        <v>43884000.000000007</v>
      </c>
      <c r="AX148" s="364">
        <f t="shared" si="118"/>
        <v>1828500</v>
      </c>
      <c r="AY148" s="364">
        <f t="shared" si="119"/>
        <v>96406.571630464852</v>
      </c>
      <c r="AZ148" s="364">
        <f t="shared" si="106"/>
        <v>5020700</v>
      </c>
      <c r="BA148" s="365">
        <f t="shared" si="120"/>
        <v>1</v>
      </c>
      <c r="BB148" s="365">
        <f t="shared" si="121"/>
        <v>1</v>
      </c>
      <c r="BC148" s="90"/>
    </row>
    <row r="149" spans="3:55" ht="16.5" x14ac:dyDescent="0.3">
      <c r="C149" s="350">
        <v>28</v>
      </c>
      <c r="D149" s="351" t="s">
        <v>400</v>
      </c>
      <c r="E149" s="351">
        <f t="shared" si="99"/>
        <v>1</v>
      </c>
      <c r="F149" s="332" t="s">
        <v>427</v>
      </c>
      <c r="G149" s="332"/>
      <c r="H149" s="352">
        <f t="shared" si="100"/>
        <v>288.77</v>
      </c>
      <c r="I149" s="369">
        <f t="shared" si="107"/>
        <v>87.352924999999985</v>
      </c>
      <c r="J149" s="369">
        <f t="shared" si="101"/>
        <v>109.67484599999999</v>
      </c>
      <c r="K149" s="369">
        <f t="shared" si="102"/>
        <v>33.176640914999993</v>
      </c>
      <c r="L149" s="354">
        <f t="shared" si="108"/>
        <v>3.1146109303353728E-3</v>
      </c>
      <c r="M149" s="370">
        <f t="shared" si="103"/>
        <v>0.37979999999999997</v>
      </c>
      <c r="N149" s="356"/>
      <c r="O149" s="362"/>
      <c r="P149" s="358">
        <f t="shared" si="109"/>
        <v>36</v>
      </c>
      <c r="Q149" s="359">
        <f t="shared" si="110"/>
        <v>3.1146109303353733E-3</v>
      </c>
      <c r="R149" s="360">
        <f t="shared" si="111"/>
        <v>3.1146109303353733E-3</v>
      </c>
      <c r="S149" s="360" t="str">
        <f t="shared" si="112"/>
        <v>N/A</v>
      </c>
      <c r="T149" s="361"/>
      <c r="U149" s="361"/>
      <c r="V149" s="362"/>
      <c r="W149" s="362"/>
      <c r="X149" s="361"/>
      <c r="Y149" s="361"/>
      <c r="Z149" s="361"/>
      <c r="AA149" s="361"/>
      <c r="AB149" s="361"/>
      <c r="AC149" s="361"/>
      <c r="AD149" s="361"/>
      <c r="AE149" s="361"/>
      <c r="AF149" s="363">
        <f t="shared" si="113"/>
        <v>247119.65328271696</v>
      </c>
      <c r="AG149" s="363">
        <f t="shared" si="114"/>
        <v>238414.73343444426</v>
      </c>
      <c r="AH149" s="364">
        <f t="shared" si="104"/>
        <v>560942.86482106929</v>
      </c>
      <c r="AI149" s="364">
        <f t="shared" si="115"/>
        <v>59510.314050731569</v>
      </c>
      <c r="AJ149" s="364">
        <f t="shared" si="116"/>
        <v>32943.37310399166</v>
      </c>
      <c r="AK149" s="352">
        <f t="shared" si="117"/>
        <v>49000000</v>
      </c>
      <c r="AL149" s="352">
        <f t="shared" si="118"/>
        <v>0</v>
      </c>
      <c r="AM149" s="352">
        <f t="shared" si="118"/>
        <v>0</v>
      </c>
      <c r="AN149" s="352">
        <f t="shared" si="118"/>
        <v>49000000</v>
      </c>
      <c r="AO149" s="352">
        <f t="shared" si="118"/>
        <v>0</v>
      </c>
      <c r="AP149" s="352">
        <f t="shared" si="118"/>
        <v>0</v>
      </c>
      <c r="AQ149" s="352">
        <f t="shared" si="118"/>
        <v>0</v>
      </c>
      <c r="AR149" s="364">
        <f t="shared" si="118"/>
        <v>187142400</v>
      </c>
      <c r="AS149" s="364">
        <f t="shared" si="118"/>
        <v>176745600</v>
      </c>
      <c r="AT149" s="364">
        <f t="shared" si="118"/>
        <v>5198400</v>
      </c>
      <c r="AU149" s="364">
        <f t="shared" si="118"/>
        <v>4909600</v>
      </c>
      <c r="AV149" s="364">
        <f t="shared" si="118"/>
        <v>103597200.00000001</v>
      </c>
      <c r="AW149" s="364">
        <f t="shared" si="118"/>
        <v>103597200.00000001</v>
      </c>
      <c r="AX149" s="364">
        <f t="shared" si="118"/>
        <v>2877700</v>
      </c>
      <c r="AY149" s="364">
        <f t="shared" si="119"/>
        <v>92453.687154723229</v>
      </c>
      <c r="AZ149" s="364">
        <f t="shared" si="106"/>
        <v>8076100</v>
      </c>
      <c r="BA149" s="365">
        <f t="shared" si="120"/>
        <v>2</v>
      </c>
      <c r="BB149" s="365">
        <f t="shared" si="121"/>
        <v>2</v>
      </c>
      <c r="BC149" s="90"/>
    </row>
    <row r="150" spans="3:55" ht="16.5" x14ac:dyDescent="0.3">
      <c r="C150" s="350">
        <v>29</v>
      </c>
      <c r="D150" s="351" t="s">
        <v>400</v>
      </c>
      <c r="E150" s="351">
        <f t="shared" si="99"/>
        <v>3</v>
      </c>
      <c r="F150" s="332" t="s">
        <v>428</v>
      </c>
      <c r="G150" s="332"/>
      <c r="H150" s="352">
        <f t="shared" si="100"/>
        <v>4055.21</v>
      </c>
      <c r="I150" s="369">
        <f t="shared" si="107"/>
        <v>1226.7010250000001</v>
      </c>
      <c r="J150" s="369">
        <f t="shared" si="101"/>
        <v>1492.1278280000001</v>
      </c>
      <c r="K150" s="369">
        <f t="shared" si="102"/>
        <v>451.36866797000005</v>
      </c>
      <c r="L150" s="354">
        <f t="shared" si="108"/>
        <v>4.3738620323459182E-2</v>
      </c>
      <c r="M150" s="370">
        <f t="shared" si="103"/>
        <v>0.36795328182757492</v>
      </c>
      <c r="N150" s="356"/>
      <c r="O150" s="362"/>
      <c r="P150" s="358">
        <f t="shared" si="109"/>
        <v>60.000000000000007</v>
      </c>
      <c r="Q150" s="359">
        <f t="shared" si="110"/>
        <v>4.3738620323459196E-2</v>
      </c>
      <c r="R150" s="360">
        <f t="shared" si="111"/>
        <v>4.3738620323459196E-2</v>
      </c>
      <c r="S150" s="360" t="str">
        <f t="shared" si="112"/>
        <v>N/A</v>
      </c>
      <c r="T150" s="361"/>
      <c r="U150" s="361"/>
      <c r="V150" s="362"/>
      <c r="W150" s="362"/>
      <c r="X150" s="361"/>
      <c r="Y150" s="361"/>
      <c r="Z150" s="361"/>
      <c r="AA150" s="361"/>
      <c r="AB150" s="361"/>
      <c r="AC150" s="361"/>
      <c r="AD150" s="361"/>
      <c r="AE150" s="361"/>
      <c r="AF150" s="363">
        <f t="shared" si="113"/>
        <v>248243.30519868358</v>
      </c>
      <c r="AG150" s="363">
        <f t="shared" si="114"/>
        <v>223066.80505647921</v>
      </c>
      <c r="AH150" s="364">
        <f t="shared" si="104"/>
        <v>460046.89692013583</v>
      </c>
      <c r="AI150" s="364">
        <f t="shared" si="115"/>
        <v>55582.655113539171</v>
      </c>
      <c r="AJ150" s="364">
        <f t="shared" si="116"/>
        <v>34609.166483740402</v>
      </c>
      <c r="AK150" s="352">
        <f t="shared" si="117"/>
        <v>564340000</v>
      </c>
      <c r="AL150" s="352">
        <f t="shared" si="118"/>
        <v>0</v>
      </c>
      <c r="AM150" s="352">
        <f t="shared" si="118"/>
        <v>564340000</v>
      </c>
      <c r="AN150" s="352">
        <f t="shared" si="118"/>
        <v>0</v>
      </c>
      <c r="AO150" s="352">
        <f t="shared" si="118"/>
        <v>0</v>
      </c>
      <c r="AP150" s="352">
        <f t="shared" si="118"/>
        <v>0</v>
      </c>
      <c r="AQ150" s="352">
        <f t="shared" si="118"/>
        <v>0</v>
      </c>
      <c r="AR150" s="364">
        <f t="shared" si="118"/>
        <v>4090998000</v>
      </c>
      <c r="AS150" s="364">
        <f t="shared" si="118"/>
        <v>3409165000</v>
      </c>
      <c r="AT150" s="364">
        <f t="shared" si="118"/>
        <v>68183300</v>
      </c>
      <c r="AU150" s="364">
        <f t="shared" ref="AR150:BC160" si="122">SUMIF($G$13:$G$104,$F150,AU$13:AU$104)</f>
        <v>56819416.666666672</v>
      </c>
      <c r="AV150" s="364">
        <f t="shared" si="122"/>
        <v>2547306000</v>
      </c>
      <c r="AW150" s="364">
        <f t="shared" si="122"/>
        <v>2547306000</v>
      </c>
      <c r="AX150" s="364">
        <f t="shared" si="122"/>
        <v>42455100</v>
      </c>
      <c r="AY150" s="364">
        <f t="shared" si="119"/>
        <v>90191.821597279573</v>
      </c>
      <c r="AZ150" s="364">
        <f t="shared" si="122"/>
        <v>110638400</v>
      </c>
      <c r="BA150" s="365">
        <f t="shared" si="120"/>
        <v>25</v>
      </c>
      <c r="BB150" s="365">
        <f t="shared" si="121"/>
        <v>22</v>
      </c>
      <c r="BC150" s="90"/>
    </row>
    <row r="151" spans="3:55" ht="16.5" x14ac:dyDescent="0.3">
      <c r="C151" s="350">
        <v>30</v>
      </c>
      <c r="D151" s="351" t="s">
        <v>400</v>
      </c>
      <c r="E151" s="351">
        <f t="shared" si="99"/>
        <v>1</v>
      </c>
      <c r="F151" s="332" t="s">
        <v>429</v>
      </c>
      <c r="G151" s="332"/>
      <c r="H151" s="352">
        <f t="shared" si="100"/>
        <v>2175.34</v>
      </c>
      <c r="I151" s="369">
        <f t="shared" si="107"/>
        <v>658.04034999999999</v>
      </c>
      <c r="J151" s="369">
        <f t="shared" si="101"/>
        <v>802.31</v>
      </c>
      <c r="K151" s="369">
        <f t="shared" si="102"/>
        <v>242.69877499999998</v>
      </c>
      <c r="L151" s="354">
        <f t="shared" si="108"/>
        <v>2.346274800427936E-2</v>
      </c>
      <c r="M151" s="370">
        <f t="shared" si="103"/>
        <v>0.36882050621971735</v>
      </c>
      <c r="N151" s="356"/>
      <c r="O151" s="362"/>
      <c r="P151" s="358">
        <f t="shared" si="109"/>
        <v>12</v>
      </c>
      <c r="Q151" s="359">
        <f t="shared" si="110"/>
        <v>2.3462748004279364E-2</v>
      </c>
      <c r="R151" s="360">
        <f t="shared" si="111"/>
        <v>2.3462748004279364E-2</v>
      </c>
      <c r="S151" s="360" t="str">
        <f t="shared" si="112"/>
        <v>N/A</v>
      </c>
      <c r="T151" s="361"/>
      <c r="U151" s="361"/>
      <c r="V151" s="362"/>
      <c r="W151" s="362"/>
      <c r="X151" s="361"/>
      <c r="Y151" s="361"/>
      <c r="Z151" s="361"/>
      <c r="AA151" s="361"/>
      <c r="AB151" s="361"/>
      <c r="AC151" s="361"/>
      <c r="AD151" s="361"/>
      <c r="AE151" s="361"/>
      <c r="AF151" s="363">
        <f t="shared" si="113"/>
        <v>277987.00261260074</v>
      </c>
      <c r="AG151" s="363">
        <f t="shared" si="114"/>
        <v>277987.00261260074</v>
      </c>
      <c r="AH151" s="364">
        <f t="shared" si="104"/>
        <v>549999.70746474736</v>
      </c>
      <c r="AI151" s="364">
        <f t="shared" si="115"/>
        <v>63915.077548056135</v>
      </c>
      <c r="AJ151" s="364">
        <f t="shared" si="116"/>
        <v>37237.230209363304</v>
      </c>
      <c r="AK151" s="352">
        <f t="shared" si="117"/>
        <v>361922000</v>
      </c>
      <c r="AL151" s="352">
        <f t="shared" ref="AL151:AQ160" si="123">SUMIF($G$13:$G$104,$F151,AL$13:AL$104)</f>
        <v>0</v>
      </c>
      <c r="AM151" s="352">
        <f t="shared" si="123"/>
        <v>361922000</v>
      </c>
      <c r="AN151" s="352">
        <f t="shared" si="123"/>
        <v>0</v>
      </c>
      <c r="AO151" s="352">
        <f t="shared" si="123"/>
        <v>0</v>
      </c>
      <c r="AP151" s="352">
        <f t="shared" si="123"/>
        <v>0</v>
      </c>
      <c r="AQ151" s="352">
        <f t="shared" si="123"/>
        <v>0</v>
      </c>
      <c r="AR151" s="364">
        <f t="shared" si="122"/>
        <v>504704400</v>
      </c>
      <c r="AS151" s="364">
        <f t="shared" si="122"/>
        <v>504704400</v>
      </c>
      <c r="AT151" s="364">
        <f t="shared" si="122"/>
        <v>42058700</v>
      </c>
      <c r="AU151" s="364">
        <f t="shared" si="122"/>
        <v>42058700</v>
      </c>
      <c r="AV151" s="364">
        <f t="shared" si="122"/>
        <v>294043200</v>
      </c>
      <c r="AW151" s="364">
        <f t="shared" si="122"/>
        <v>294043200</v>
      </c>
      <c r="AX151" s="364">
        <f t="shared" si="122"/>
        <v>24503600</v>
      </c>
      <c r="AY151" s="364">
        <f t="shared" si="119"/>
        <v>101152.30775741943</v>
      </c>
      <c r="AZ151" s="364">
        <f t="shared" si="122"/>
        <v>66562300</v>
      </c>
      <c r="BA151" s="365">
        <f t="shared" si="120"/>
        <v>13</v>
      </c>
      <c r="BB151" s="365">
        <f t="shared" si="121"/>
        <v>12</v>
      </c>
      <c r="BC151" s="90"/>
    </row>
    <row r="152" spans="3:55" ht="16.5" x14ac:dyDescent="0.3">
      <c r="C152" s="350">
        <v>31</v>
      </c>
      <c r="D152" s="351" t="s">
        <v>430</v>
      </c>
      <c r="E152" s="351">
        <f t="shared" si="99"/>
        <v>1</v>
      </c>
      <c r="F152" s="332" t="s">
        <v>431</v>
      </c>
      <c r="G152" s="332"/>
      <c r="H152" s="352">
        <f t="shared" si="100"/>
        <v>144.72</v>
      </c>
      <c r="I152" s="369">
        <f t="shared" si="107"/>
        <v>43.777799999999999</v>
      </c>
      <c r="J152" s="369">
        <f t="shared" si="101"/>
        <v>52.69</v>
      </c>
      <c r="K152" s="369">
        <f t="shared" si="102"/>
        <v>15.938724999999998</v>
      </c>
      <c r="L152" s="354">
        <f t="shared" si="108"/>
        <v>1.5609187029058946E-3</v>
      </c>
      <c r="M152" s="370">
        <f t="shared" si="103"/>
        <v>0.36408236594803756</v>
      </c>
      <c r="N152" s="356"/>
      <c r="O152" s="362"/>
      <c r="P152" s="358">
        <f t="shared" si="109"/>
        <v>60.000000000000007</v>
      </c>
      <c r="Q152" s="359">
        <f t="shared" si="110"/>
        <v>1.5609187029058948E-3</v>
      </c>
      <c r="R152" s="360" t="str">
        <f t="shared" si="111"/>
        <v>N/A</v>
      </c>
      <c r="S152" s="360">
        <f t="shared" si="112"/>
        <v>1.5609187029058948E-3</v>
      </c>
      <c r="T152" s="361"/>
      <c r="U152" s="361"/>
      <c r="V152" s="362"/>
      <c r="W152" s="362"/>
      <c r="X152" s="361"/>
      <c r="Y152" s="361"/>
      <c r="Z152" s="361"/>
      <c r="AA152" s="361"/>
      <c r="AB152" s="361"/>
      <c r="AC152" s="361"/>
      <c r="AD152" s="361"/>
      <c r="AE152" s="361"/>
      <c r="AF152" s="363">
        <f t="shared" si="113"/>
        <v>451597.28899268928</v>
      </c>
      <c r="AG152" s="363">
        <f t="shared" si="114"/>
        <v>449176.33694734756</v>
      </c>
      <c r="AH152" s="364">
        <f t="shared" si="104"/>
        <v>1650014.3908556392</v>
      </c>
      <c r="AI152" s="364">
        <f t="shared" si="115"/>
        <v>122043.59287127266</v>
      </c>
      <c r="AJ152" s="364">
        <f t="shared" si="116"/>
        <v>38249.980583766199</v>
      </c>
      <c r="AK152" s="352">
        <f t="shared" si="117"/>
        <v>72234000</v>
      </c>
      <c r="AL152" s="352">
        <f t="shared" si="123"/>
        <v>0</v>
      </c>
      <c r="AM152" s="352">
        <f t="shared" si="123"/>
        <v>0</v>
      </c>
      <c r="AN152" s="352">
        <f t="shared" si="123"/>
        <v>72234000</v>
      </c>
      <c r="AO152" s="352">
        <f t="shared" si="123"/>
        <v>0</v>
      </c>
      <c r="AP152" s="352">
        <f t="shared" si="123"/>
        <v>0</v>
      </c>
      <c r="AQ152" s="352">
        <f t="shared" si="123"/>
        <v>0</v>
      </c>
      <c r="AR152" s="364">
        <f t="shared" si="122"/>
        <v>320568000.00000006</v>
      </c>
      <c r="AS152" s="364">
        <f t="shared" si="122"/>
        <v>318252786.66666669</v>
      </c>
      <c r="AT152" s="364">
        <f t="shared" si="122"/>
        <v>5342800</v>
      </c>
      <c r="AU152" s="364">
        <f t="shared" si="122"/>
        <v>5304213.111111111</v>
      </c>
      <c r="AV152" s="364">
        <f t="shared" si="122"/>
        <v>100470000</v>
      </c>
      <c r="AW152" s="364">
        <f t="shared" si="122"/>
        <v>100470000</v>
      </c>
      <c r="AX152" s="364">
        <f t="shared" si="122"/>
        <v>1674500</v>
      </c>
      <c r="AY152" s="364">
        <f t="shared" si="119"/>
        <v>160293.57345503886</v>
      </c>
      <c r="AZ152" s="364">
        <f t="shared" si="122"/>
        <v>7017300</v>
      </c>
      <c r="BA152" s="365">
        <f t="shared" si="120"/>
        <v>1</v>
      </c>
      <c r="BB152" s="365">
        <f t="shared" si="121"/>
        <v>1</v>
      </c>
      <c r="BC152" s="90"/>
    </row>
    <row r="153" spans="3:55" ht="16.5" x14ac:dyDescent="0.3">
      <c r="C153" s="350">
        <v>32</v>
      </c>
      <c r="D153" s="351" t="s">
        <v>430</v>
      </c>
      <c r="E153" s="351">
        <f t="shared" si="99"/>
        <v>1</v>
      </c>
      <c r="F153" s="332" t="s">
        <v>432</v>
      </c>
      <c r="G153" s="332"/>
      <c r="H153" s="352">
        <f t="shared" si="100"/>
        <v>361.74</v>
      </c>
      <c r="I153" s="369">
        <f t="shared" si="107"/>
        <v>109.42635</v>
      </c>
      <c r="J153" s="369">
        <f t="shared" si="101"/>
        <v>131.69</v>
      </c>
      <c r="K153" s="369">
        <f t="shared" si="102"/>
        <v>39.836224999999999</v>
      </c>
      <c r="L153" s="354">
        <f t="shared" si="108"/>
        <v>3.9016496102071471E-3</v>
      </c>
      <c r="M153" s="370">
        <f t="shared" si="103"/>
        <v>0.36404599988942332</v>
      </c>
      <c r="N153" s="356"/>
      <c r="O153" s="362"/>
      <c r="P153" s="358">
        <f t="shared" si="109"/>
        <v>62</v>
      </c>
      <c r="Q153" s="359">
        <f t="shared" si="110"/>
        <v>3.9016496102071479E-3</v>
      </c>
      <c r="R153" s="360" t="str">
        <f t="shared" si="111"/>
        <v>N/A</v>
      </c>
      <c r="S153" s="360">
        <f t="shared" si="112"/>
        <v>3.9016496102071479E-3</v>
      </c>
      <c r="T153" s="361"/>
      <c r="U153" s="361"/>
      <c r="V153" s="362"/>
      <c r="W153" s="362"/>
      <c r="X153" s="361"/>
      <c r="Y153" s="361"/>
      <c r="Z153" s="361"/>
      <c r="AA153" s="361"/>
      <c r="AB153" s="361"/>
      <c r="AC153" s="361"/>
      <c r="AD153" s="361"/>
      <c r="AE153" s="361"/>
      <c r="AF153" s="363">
        <f t="shared" si="113"/>
        <v>275278.6565494095</v>
      </c>
      <c r="AG153" s="363">
        <f t="shared" si="114"/>
        <v>227877.61169207061</v>
      </c>
      <c r="AH153" s="364">
        <f t="shared" si="104"/>
        <v>652722.12771421147</v>
      </c>
      <c r="AI153" s="364">
        <f t="shared" si="115"/>
        <v>70443.727676194991</v>
      </c>
      <c r="AJ153" s="364">
        <f t="shared" si="116"/>
        <v>28138.560776266411</v>
      </c>
      <c r="AK153" s="352">
        <f t="shared" si="117"/>
        <v>71425000</v>
      </c>
      <c r="AL153" s="352">
        <f t="shared" si="123"/>
        <v>0</v>
      </c>
      <c r="AM153" s="352">
        <f t="shared" si="123"/>
        <v>0</v>
      </c>
      <c r="AN153" s="352">
        <f t="shared" si="123"/>
        <v>71425000</v>
      </c>
      <c r="AO153" s="352">
        <f t="shared" si="123"/>
        <v>0</v>
      </c>
      <c r="AP153" s="352">
        <f t="shared" si="123"/>
        <v>0</v>
      </c>
      <c r="AQ153" s="352">
        <f t="shared" si="123"/>
        <v>0</v>
      </c>
      <c r="AR153" s="364">
        <f t="shared" si="122"/>
        <v>477920799.99999994</v>
      </c>
      <c r="AS153" s="364">
        <f t="shared" si="122"/>
        <v>395183973.33333331</v>
      </c>
      <c r="AT153" s="364">
        <f t="shared" si="122"/>
        <v>7708400</v>
      </c>
      <c r="AU153" s="364">
        <f t="shared" si="122"/>
        <v>6373935.0537634408</v>
      </c>
      <c r="AV153" s="364">
        <f t="shared" si="122"/>
        <v>190904200</v>
      </c>
      <c r="AW153" s="364">
        <f t="shared" si="122"/>
        <v>190904200</v>
      </c>
      <c r="AX153" s="364">
        <f t="shared" si="122"/>
        <v>3079100</v>
      </c>
      <c r="AY153" s="364">
        <f t="shared" si="119"/>
        <v>98582.288452461406</v>
      </c>
      <c r="AZ153" s="364">
        <f t="shared" si="122"/>
        <v>10787500</v>
      </c>
      <c r="BA153" s="365">
        <f t="shared" si="120"/>
        <v>2</v>
      </c>
      <c r="BB153" s="365">
        <f t="shared" si="121"/>
        <v>2</v>
      </c>
      <c r="BC153" s="90"/>
    </row>
    <row r="154" spans="3:55" ht="16.5" x14ac:dyDescent="0.3">
      <c r="C154" s="350">
        <v>33</v>
      </c>
      <c r="D154" s="351" t="s">
        <v>430</v>
      </c>
      <c r="E154" s="351">
        <f t="shared" si="99"/>
        <v>1</v>
      </c>
      <c r="F154" s="332" t="s">
        <v>433</v>
      </c>
      <c r="G154" s="332"/>
      <c r="H154" s="352">
        <f t="shared" si="100"/>
        <v>356.56</v>
      </c>
      <c r="I154" s="369">
        <f t="shared" si="107"/>
        <v>107.85939999999999</v>
      </c>
      <c r="J154" s="369">
        <f t="shared" si="101"/>
        <v>129.81</v>
      </c>
      <c r="K154" s="369">
        <f t="shared" si="102"/>
        <v>39.267524999999999</v>
      </c>
      <c r="L154" s="354">
        <f t="shared" si="108"/>
        <v>3.8457792475685864E-3</v>
      </c>
      <c r="M154" s="370">
        <f t="shared" si="103"/>
        <v>0.3640621494278663</v>
      </c>
      <c r="N154" s="356"/>
      <c r="O154" s="362"/>
      <c r="P154" s="358">
        <f t="shared" si="109"/>
        <v>2</v>
      </c>
      <c r="Q154" s="359">
        <f t="shared" si="110"/>
        <v>3.8457792475685868E-3</v>
      </c>
      <c r="R154" s="360" t="str">
        <f t="shared" si="111"/>
        <v>N/A</v>
      </c>
      <c r="S154" s="360">
        <f t="shared" si="112"/>
        <v>3.8457792475685868E-3</v>
      </c>
      <c r="T154" s="361"/>
      <c r="U154" s="361"/>
      <c r="V154" s="362"/>
      <c r="W154" s="362"/>
      <c r="X154" s="361"/>
      <c r="Y154" s="361"/>
      <c r="Z154" s="361"/>
      <c r="AA154" s="361"/>
      <c r="AB154" s="361"/>
      <c r="AC154" s="361"/>
      <c r="AD154" s="361"/>
      <c r="AE154" s="361"/>
      <c r="AF154" s="363">
        <f t="shared" si="113"/>
        <v>311055.89160508587</v>
      </c>
      <c r="AG154" s="363">
        <f t="shared" si="114"/>
        <v>311055.89160508587</v>
      </c>
      <c r="AH154" s="364">
        <f t="shared" si="104"/>
        <v>579995.80935922137</v>
      </c>
      <c r="AI154" s="364">
        <f t="shared" si="115"/>
        <v>74192.884440299138</v>
      </c>
      <c r="AJ154" s="364">
        <f t="shared" si="116"/>
        <v>37600.802526251769</v>
      </c>
      <c r="AK154" s="352">
        <f t="shared" si="117"/>
        <v>62558000</v>
      </c>
      <c r="AL154" s="352">
        <f t="shared" si="123"/>
        <v>0</v>
      </c>
      <c r="AM154" s="352">
        <f t="shared" si="123"/>
        <v>0</v>
      </c>
      <c r="AN154" s="352">
        <f t="shared" si="123"/>
        <v>62558000</v>
      </c>
      <c r="AO154" s="352">
        <f t="shared" si="123"/>
        <v>0</v>
      </c>
      <c r="AP154" s="352">
        <f t="shared" si="123"/>
        <v>0</v>
      </c>
      <c r="AQ154" s="352">
        <f t="shared" si="123"/>
        <v>0</v>
      </c>
      <c r="AR154" s="364">
        <f t="shared" si="122"/>
        <v>16004800</v>
      </c>
      <c r="AS154" s="364">
        <f t="shared" si="122"/>
        <v>16004800</v>
      </c>
      <c r="AT154" s="364">
        <f t="shared" si="122"/>
        <v>8002400</v>
      </c>
      <c r="AU154" s="364">
        <f t="shared" si="122"/>
        <v>8002400</v>
      </c>
      <c r="AV154" s="364">
        <f t="shared" si="122"/>
        <v>8111200</v>
      </c>
      <c r="AW154" s="364">
        <f t="shared" si="122"/>
        <v>8111200</v>
      </c>
      <c r="AX154" s="364">
        <f t="shared" si="122"/>
        <v>4055600</v>
      </c>
      <c r="AY154" s="364">
        <f t="shared" si="119"/>
        <v>111793.6869665509</v>
      </c>
      <c r="AZ154" s="364">
        <f t="shared" si="122"/>
        <v>12058000</v>
      </c>
      <c r="BA154" s="365">
        <f t="shared" si="120"/>
        <v>2</v>
      </c>
      <c r="BB154" s="365">
        <f t="shared" si="121"/>
        <v>2</v>
      </c>
      <c r="BC154" s="90"/>
    </row>
    <row r="155" spans="3:55" ht="16.5" x14ac:dyDescent="0.3">
      <c r="C155" s="350">
        <v>34</v>
      </c>
      <c r="D155" s="351" t="s">
        <v>430</v>
      </c>
      <c r="E155" s="351">
        <f t="shared" si="99"/>
        <v>1</v>
      </c>
      <c r="F155" s="332" t="s">
        <v>434</v>
      </c>
      <c r="G155" s="332"/>
      <c r="H155" s="352">
        <f t="shared" si="100"/>
        <v>693.25</v>
      </c>
      <c r="I155" s="369">
        <f t="shared" si="107"/>
        <v>209.708125</v>
      </c>
      <c r="J155" s="369">
        <f t="shared" si="101"/>
        <v>252.4</v>
      </c>
      <c r="K155" s="369">
        <f t="shared" si="102"/>
        <v>76.350999999999999</v>
      </c>
      <c r="L155" s="354">
        <f t="shared" si="108"/>
        <v>7.4772449612321131E-3</v>
      </c>
      <c r="M155" s="370">
        <f t="shared" si="103"/>
        <v>0.36408222142084384</v>
      </c>
      <c r="N155" s="356"/>
      <c r="O155" s="362"/>
      <c r="P155" s="358">
        <f t="shared" si="109"/>
        <v>36</v>
      </c>
      <c r="Q155" s="359">
        <f t="shared" si="110"/>
        <v>7.4772449612321148E-3</v>
      </c>
      <c r="R155" s="360" t="str">
        <f t="shared" si="111"/>
        <v>N/A</v>
      </c>
      <c r="S155" s="360">
        <f t="shared" si="112"/>
        <v>7.4772449612321148E-3</v>
      </c>
      <c r="T155" s="361"/>
      <c r="U155" s="361"/>
      <c r="V155" s="362"/>
      <c r="W155" s="362"/>
      <c r="X155" s="361"/>
      <c r="Y155" s="361"/>
      <c r="Z155" s="361"/>
      <c r="AA155" s="361"/>
      <c r="AB155" s="361"/>
      <c r="AC155" s="361"/>
      <c r="AD155" s="361"/>
      <c r="AE155" s="361"/>
      <c r="AF155" s="363">
        <f t="shared" si="113"/>
        <v>283106.86827939388</v>
      </c>
      <c r="AG155" s="363">
        <f t="shared" si="114"/>
        <v>222143.24850580431</v>
      </c>
      <c r="AH155" s="364">
        <f t="shared" si="104"/>
        <v>615317.12230987719</v>
      </c>
      <c r="AI155" s="364">
        <f t="shared" si="115"/>
        <v>66587.310339072457</v>
      </c>
      <c r="AJ155" s="364">
        <f t="shared" si="116"/>
        <v>34948.574357812795</v>
      </c>
      <c r="AK155" s="352">
        <f t="shared" si="117"/>
        <v>129037000</v>
      </c>
      <c r="AL155" s="352">
        <f t="shared" si="123"/>
        <v>0</v>
      </c>
      <c r="AM155" s="352">
        <f t="shared" si="123"/>
        <v>0</v>
      </c>
      <c r="AN155" s="352">
        <f t="shared" si="123"/>
        <v>129037000</v>
      </c>
      <c r="AO155" s="352">
        <f t="shared" si="123"/>
        <v>0</v>
      </c>
      <c r="AP155" s="352">
        <f t="shared" si="123"/>
        <v>0</v>
      </c>
      <c r="AQ155" s="352">
        <f t="shared" si="123"/>
        <v>0</v>
      </c>
      <c r="AR155" s="364">
        <f t="shared" si="122"/>
        <v>502700400</v>
      </c>
      <c r="AS155" s="364">
        <f t="shared" si="122"/>
        <v>335133600</v>
      </c>
      <c r="AT155" s="364">
        <f t="shared" si="122"/>
        <v>13963900</v>
      </c>
      <c r="AU155" s="364">
        <f t="shared" si="122"/>
        <v>9309266.666666666</v>
      </c>
      <c r="AV155" s="364">
        <f t="shared" si="122"/>
        <v>263844000.00000003</v>
      </c>
      <c r="AW155" s="364">
        <f t="shared" si="122"/>
        <v>263844000.00000003</v>
      </c>
      <c r="AX155" s="364">
        <f t="shared" si="122"/>
        <v>7329000</v>
      </c>
      <c r="AY155" s="364">
        <f t="shared" si="119"/>
        <v>101535.88469688526</v>
      </c>
      <c r="AZ155" s="364">
        <f t="shared" si="122"/>
        <v>21292900</v>
      </c>
      <c r="BA155" s="365">
        <f t="shared" si="120"/>
        <v>4</v>
      </c>
      <c r="BB155" s="365">
        <f t="shared" si="121"/>
        <v>4</v>
      </c>
      <c r="BC155" s="90"/>
    </row>
    <row r="156" spans="3:55" ht="16.5" x14ac:dyDescent="0.3">
      <c r="C156" s="350">
        <v>35</v>
      </c>
      <c r="D156" s="351" t="s">
        <v>435</v>
      </c>
      <c r="E156" s="351">
        <f t="shared" si="99"/>
        <v>1</v>
      </c>
      <c r="F156" s="332" t="s">
        <v>436</v>
      </c>
      <c r="G156" s="332"/>
      <c r="H156" s="352">
        <f t="shared" si="100"/>
        <v>259.3</v>
      </c>
      <c r="I156" s="369">
        <f t="shared" si="107"/>
        <v>78.438249999999996</v>
      </c>
      <c r="J156" s="369">
        <f t="shared" si="101"/>
        <v>94.4</v>
      </c>
      <c r="K156" s="369">
        <f t="shared" si="102"/>
        <v>28.556000000000001</v>
      </c>
      <c r="L156" s="354">
        <f t="shared" si="108"/>
        <v>2.7967538672159929E-3</v>
      </c>
      <c r="M156" s="370">
        <f t="shared" si="103"/>
        <v>0.36405707674508292</v>
      </c>
      <c r="N156" s="356"/>
      <c r="O156" s="362"/>
      <c r="P156" s="358">
        <f t="shared" si="109"/>
        <v>60.000000000000007</v>
      </c>
      <c r="Q156" s="359">
        <f t="shared" si="110"/>
        <v>2.7967538672159934E-3</v>
      </c>
      <c r="R156" s="360" t="str">
        <f t="shared" si="111"/>
        <v>N/A</v>
      </c>
      <c r="S156" s="360">
        <f t="shared" si="112"/>
        <v>2.7967538672159934E-3</v>
      </c>
      <c r="T156" s="361"/>
      <c r="U156" s="361"/>
      <c r="V156" s="362"/>
      <c r="W156" s="362"/>
      <c r="X156" s="361"/>
      <c r="Y156" s="361"/>
      <c r="Z156" s="361"/>
      <c r="AA156" s="361"/>
      <c r="AB156" s="361"/>
      <c r="AC156" s="361"/>
      <c r="AD156" s="361"/>
      <c r="AE156" s="361"/>
      <c r="AF156" s="363">
        <f t="shared" si="113"/>
        <v>305672.18798151001</v>
      </c>
      <c r="AG156" s="363">
        <f t="shared" si="114"/>
        <v>305672.18798151001</v>
      </c>
      <c r="AH156" s="364">
        <f t="shared" si="104"/>
        <v>579181.71300354099</v>
      </c>
      <c r="AI156" s="364">
        <f t="shared" si="115"/>
        <v>72399.626457754988</v>
      </c>
      <c r="AJ156" s="364">
        <f t="shared" si="116"/>
        <v>37434.542458558164</v>
      </c>
      <c r="AK156" s="352">
        <f t="shared" si="117"/>
        <v>45430000</v>
      </c>
      <c r="AL156" s="352">
        <f t="shared" si="123"/>
        <v>0</v>
      </c>
      <c r="AM156" s="352">
        <f t="shared" si="123"/>
        <v>0</v>
      </c>
      <c r="AN156" s="352">
        <f t="shared" si="123"/>
        <v>45430000</v>
      </c>
      <c r="AO156" s="352">
        <f t="shared" si="123"/>
        <v>0</v>
      </c>
      <c r="AP156" s="352">
        <f t="shared" si="123"/>
        <v>0</v>
      </c>
      <c r="AQ156" s="352">
        <f t="shared" si="123"/>
        <v>0</v>
      </c>
      <c r="AR156" s="364">
        <f t="shared" si="122"/>
        <v>340734000</v>
      </c>
      <c r="AS156" s="364">
        <f t="shared" si="122"/>
        <v>340734000</v>
      </c>
      <c r="AT156" s="364">
        <f t="shared" si="122"/>
        <v>5678900</v>
      </c>
      <c r="AU156" s="364">
        <f t="shared" si="122"/>
        <v>5678900</v>
      </c>
      <c r="AV156" s="364">
        <f t="shared" si="122"/>
        <v>176178000</v>
      </c>
      <c r="AW156" s="364">
        <f t="shared" si="122"/>
        <v>176178000</v>
      </c>
      <c r="AX156" s="364">
        <f t="shared" si="122"/>
        <v>2936300</v>
      </c>
      <c r="AY156" s="364">
        <f t="shared" si="119"/>
        <v>109834.16891631315</v>
      </c>
      <c r="AZ156" s="364">
        <f t="shared" si="122"/>
        <v>8615200</v>
      </c>
      <c r="BA156" s="365">
        <f t="shared" si="120"/>
        <v>2</v>
      </c>
      <c r="BB156" s="365">
        <f t="shared" si="121"/>
        <v>1</v>
      </c>
      <c r="BC156" s="90"/>
    </row>
    <row r="157" spans="3:55" ht="16.5" x14ac:dyDescent="0.3">
      <c r="C157" s="350">
        <v>36</v>
      </c>
      <c r="D157" s="351" t="s">
        <v>430</v>
      </c>
      <c r="E157" s="351">
        <f t="shared" si="99"/>
        <v>1</v>
      </c>
      <c r="F157" s="332" t="s">
        <v>437</v>
      </c>
      <c r="G157" s="332"/>
      <c r="H157" s="352">
        <f t="shared" si="100"/>
        <v>192.82</v>
      </c>
      <c r="I157" s="369">
        <f t="shared" si="107"/>
        <v>58.328049999999998</v>
      </c>
      <c r="J157" s="369">
        <f t="shared" si="101"/>
        <v>78.724295219085633</v>
      </c>
      <c r="K157" s="369">
        <f t="shared" si="102"/>
        <v>23.814099303773403</v>
      </c>
      <c r="L157" s="354">
        <f t="shared" si="108"/>
        <v>2.0797149274068174E-3</v>
      </c>
      <c r="M157" s="370">
        <f t="shared" si="103"/>
        <v>0.40827868073377055</v>
      </c>
      <c r="N157" s="356"/>
      <c r="O157" s="362"/>
      <c r="P157" s="358">
        <f t="shared" si="109"/>
        <v>36</v>
      </c>
      <c r="Q157" s="359">
        <f t="shared" si="110"/>
        <v>2.0797149274068179E-3</v>
      </c>
      <c r="R157" s="360" t="str">
        <f t="shared" si="111"/>
        <v>N/A</v>
      </c>
      <c r="S157" s="360">
        <f t="shared" si="112"/>
        <v>2.0797149274068179E-3</v>
      </c>
      <c r="T157" s="361"/>
      <c r="U157" s="361"/>
      <c r="V157" s="362"/>
      <c r="W157" s="362"/>
      <c r="X157" s="361"/>
      <c r="Y157" s="361"/>
      <c r="Z157" s="361"/>
      <c r="AA157" s="361"/>
      <c r="AB157" s="361"/>
      <c r="AC157" s="361"/>
      <c r="AD157" s="361"/>
      <c r="AE157" s="361"/>
      <c r="AF157" s="363">
        <f t="shared" si="113"/>
        <v>332382.9257210574</v>
      </c>
      <c r="AG157" s="363">
        <f t="shared" si="114"/>
        <v>240096.21052911374</v>
      </c>
      <c r="AH157" s="364">
        <f t="shared" si="104"/>
        <v>1371552.7949245689</v>
      </c>
      <c r="AI157" s="364">
        <f t="shared" si="115"/>
        <v>100476.52887418661</v>
      </c>
      <c r="AJ157" s="364">
        <f t="shared" si="116"/>
        <v>31799.451550326132</v>
      </c>
      <c r="AK157" s="352">
        <f t="shared" si="117"/>
        <v>80000000</v>
      </c>
      <c r="AL157" s="352">
        <f t="shared" si="123"/>
        <v>0</v>
      </c>
      <c r="AM157" s="352">
        <f t="shared" si="123"/>
        <v>0</v>
      </c>
      <c r="AN157" s="352">
        <f t="shared" si="123"/>
        <v>80000000</v>
      </c>
      <c r="AO157" s="352">
        <f t="shared" si="123"/>
        <v>0</v>
      </c>
      <c r="AP157" s="352">
        <f t="shared" si="123"/>
        <v>0</v>
      </c>
      <c r="AQ157" s="352">
        <f t="shared" si="123"/>
        <v>0</v>
      </c>
      <c r="AR157" s="364">
        <f t="shared" si="122"/>
        <v>210981600</v>
      </c>
      <c r="AS157" s="364">
        <f t="shared" si="122"/>
        <v>131863500</v>
      </c>
      <c r="AT157" s="364">
        <f t="shared" si="122"/>
        <v>5860600</v>
      </c>
      <c r="AU157" s="364">
        <f t="shared" si="122"/>
        <v>3662875</v>
      </c>
      <c r="AV157" s="364">
        <f t="shared" si="122"/>
        <v>66772800.000000007</v>
      </c>
      <c r="AW157" s="364">
        <f t="shared" si="122"/>
        <v>66772800.000000007</v>
      </c>
      <c r="AX157" s="364">
        <f t="shared" si="122"/>
        <v>1854800</v>
      </c>
      <c r="AY157" s="364">
        <f t="shared" si="119"/>
        <v>132275.98042451273</v>
      </c>
      <c r="AZ157" s="364">
        <f t="shared" si="122"/>
        <v>7715400</v>
      </c>
      <c r="BA157" s="365">
        <f t="shared" si="120"/>
        <v>1</v>
      </c>
      <c r="BB157" s="365">
        <f t="shared" si="121"/>
        <v>1</v>
      </c>
      <c r="BC157" s="90"/>
    </row>
    <row r="158" spans="3:55" ht="16.5" x14ac:dyDescent="0.3">
      <c r="C158" s="350">
        <v>37</v>
      </c>
      <c r="D158" s="351" t="s">
        <v>438</v>
      </c>
      <c r="E158" s="351">
        <f t="shared" si="99"/>
        <v>1</v>
      </c>
      <c r="F158" s="332" t="s">
        <v>439</v>
      </c>
      <c r="G158" s="332"/>
      <c r="H158" s="352">
        <f t="shared" si="100"/>
        <v>420.84</v>
      </c>
      <c r="I158" s="369">
        <f>H158*$I$118</f>
        <v>127.30409999999999</v>
      </c>
      <c r="J158" s="369">
        <f t="shared" si="101"/>
        <v>171.82</v>
      </c>
      <c r="K158" s="369">
        <f t="shared" si="102"/>
        <v>51.975549999999998</v>
      </c>
      <c r="L158" s="354">
        <f t="shared" si="108"/>
        <v>4.5390894619328128E-3</v>
      </c>
      <c r="M158" s="370">
        <f t="shared" si="103"/>
        <v>0.40827868073377055</v>
      </c>
      <c r="N158" s="356"/>
      <c r="O158" s="362"/>
      <c r="P158" s="358">
        <f t="shared" si="109"/>
        <v>60</v>
      </c>
      <c r="Q158" s="359">
        <f t="shared" si="110"/>
        <v>4.5390894619328137E-3</v>
      </c>
      <c r="R158" s="360" t="str">
        <f t="shared" si="111"/>
        <v>N/A</v>
      </c>
      <c r="S158" s="360">
        <f t="shared" si="112"/>
        <v>4.5390894619328137E-3</v>
      </c>
      <c r="T158" s="361"/>
      <c r="U158" s="361"/>
      <c r="V158" s="362"/>
      <c r="W158" s="362"/>
      <c r="X158" s="361"/>
      <c r="Y158" s="361"/>
      <c r="Z158" s="361"/>
      <c r="AA158" s="361"/>
      <c r="AB158" s="361"/>
      <c r="AC158" s="361"/>
      <c r="AD158" s="361"/>
      <c r="AE158" s="361"/>
      <c r="AF158" s="363">
        <f t="shared" si="113"/>
        <v>229761.87842168097</v>
      </c>
      <c r="AG158" s="363">
        <f t="shared" si="114"/>
        <v>145273.43465661581</v>
      </c>
      <c r="AH158" s="364">
        <f t="shared" si="104"/>
        <v>653553.1848542192</v>
      </c>
      <c r="AI158" s="364">
        <f t="shared" si="115"/>
        <v>57397.994251559852</v>
      </c>
      <c r="AJ158" s="364">
        <f t="shared" si="116"/>
        <v>34774.999391221492</v>
      </c>
      <c r="AK158" s="352">
        <f t="shared" si="117"/>
        <v>83200000</v>
      </c>
      <c r="AL158" s="352">
        <f t="shared" si="123"/>
        <v>0</v>
      </c>
      <c r="AM158" s="352">
        <f t="shared" si="123"/>
        <v>0</v>
      </c>
      <c r="AN158" s="352">
        <f t="shared" si="123"/>
        <v>83200000</v>
      </c>
      <c r="AO158" s="352">
        <f t="shared" si="123"/>
        <v>0</v>
      </c>
      <c r="AP158" s="352">
        <f t="shared" si="123"/>
        <v>0</v>
      </c>
      <c r="AQ158" s="352">
        <f t="shared" si="123"/>
        <v>0</v>
      </c>
      <c r="AR158" s="364">
        <f t="shared" si="122"/>
        <v>438420000</v>
      </c>
      <c r="AS158" s="364">
        <f t="shared" si="122"/>
        <v>219210000</v>
      </c>
      <c r="AT158" s="364">
        <f t="shared" si="122"/>
        <v>7307000</v>
      </c>
      <c r="AU158" s="364">
        <f t="shared" si="122"/>
        <v>3653500</v>
      </c>
      <c r="AV158" s="364">
        <f t="shared" si="122"/>
        <v>265619999.99999997</v>
      </c>
      <c r="AW158" s="364">
        <f t="shared" si="122"/>
        <v>221350000</v>
      </c>
      <c r="AX158" s="364">
        <f t="shared" si="122"/>
        <v>4427000</v>
      </c>
      <c r="AY158" s="364">
        <f t="shared" si="119"/>
        <v>92172.993642781352</v>
      </c>
      <c r="AZ158" s="364">
        <f t="shared" si="122"/>
        <v>11734000</v>
      </c>
      <c r="BA158" s="365">
        <f t="shared" si="120"/>
        <v>3</v>
      </c>
      <c r="BB158" s="365">
        <f t="shared" si="121"/>
        <v>2</v>
      </c>
      <c r="BC158" s="90"/>
    </row>
    <row r="159" spans="3:55" ht="16.5" x14ac:dyDescent="0.3">
      <c r="C159" s="372">
        <v>38</v>
      </c>
      <c r="D159" s="373" t="s">
        <v>430</v>
      </c>
      <c r="E159" s="373">
        <f t="shared" si="99"/>
        <v>1</v>
      </c>
      <c r="F159" s="374" t="s">
        <v>440</v>
      </c>
      <c r="G159" s="374"/>
      <c r="H159" s="375">
        <f t="shared" si="100"/>
        <v>200.81</v>
      </c>
      <c r="I159" s="376">
        <f>H159*$I$118</f>
        <v>60.745024999999998</v>
      </c>
      <c r="J159" s="376">
        <f t="shared" si="101"/>
        <v>73.11</v>
      </c>
      <c r="K159" s="376">
        <f t="shared" si="102"/>
        <v>22.115774999999999</v>
      </c>
      <c r="L159" s="354">
        <f t="shared" si="108"/>
        <v>2.1658933439091537E-3</v>
      </c>
      <c r="M159" s="377">
        <f t="shared" si="103"/>
        <v>0.36407549424829438</v>
      </c>
      <c r="N159" s="378"/>
      <c r="O159" s="379"/>
      <c r="P159" s="358">
        <f t="shared" si="109"/>
        <v>1</v>
      </c>
      <c r="Q159" s="359">
        <f t="shared" si="110"/>
        <v>2.1658933439091541E-3</v>
      </c>
      <c r="R159" s="360" t="str">
        <f t="shared" si="111"/>
        <v>N/A</v>
      </c>
      <c r="S159" s="360">
        <f t="shared" si="112"/>
        <v>2.1658933439091541E-3</v>
      </c>
      <c r="T159" s="380"/>
      <c r="U159" s="361"/>
      <c r="V159" s="379"/>
      <c r="W159" s="379"/>
      <c r="X159" s="361"/>
      <c r="Y159" s="380"/>
      <c r="Z159" s="380"/>
      <c r="AA159" s="380"/>
      <c r="AB159" s="380"/>
      <c r="AC159" s="380"/>
      <c r="AD159" s="380"/>
      <c r="AE159" s="380"/>
      <c r="AF159" s="363">
        <f t="shared" si="113"/>
        <v>0</v>
      </c>
      <c r="AG159" s="363">
        <f t="shared" si="114"/>
        <v>0</v>
      </c>
      <c r="AH159" s="364">
        <f t="shared" si="104"/>
        <v>0</v>
      </c>
      <c r="AI159" s="364">
        <f t="shared" si="115"/>
        <v>0</v>
      </c>
      <c r="AJ159" s="364">
        <f t="shared" si="116"/>
        <v>0</v>
      </c>
      <c r="AK159" s="352">
        <f t="shared" si="117"/>
        <v>0</v>
      </c>
      <c r="AL159" s="352">
        <f t="shared" si="123"/>
        <v>0</v>
      </c>
      <c r="AM159" s="352">
        <f t="shared" si="123"/>
        <v>0</v>
      </c>
      <c r="AN159" s="352">
        <f t="shared" si="123"/>
        <v>0</v>
      </c>
      <c r="AO159" s="352">
        <f t="shared" si="123"/>
        <v>0</v>
      </c>
      <c r="AP159" s="352">
        <f t="shared" si="123"/>
        <v>0</v>
      </c>
      <c r="AQ159" s="352">
        <f t="shared" si="123"/>
        <v>0</v>
      </c>
      <c r="AR159" s="364">
        <f t="shared" si="122"/>
        <v>0</v>
      </c>
      <c r="AS159" s="364">
        <f t="shared" si="122"/>
        <v>0</v>
      </c>
      <c r="AT159" s="364">
        <f t="shared" si="122"/>
        <v>0</v>
      </c>
      <c r="AU159" s="364">
        <f t="shared" si="122"/>
        <v>0</v>
      </c>
      <c r="AV159" s="364">
        <f t="shared" si="122"/>
        <v>0</v>
      </c>
      <c r="AW159" s="364">
        <f t="shared" si="122"/>
        <v>0</v>
      </c>
      <c r="AX159" s="364">
        <f t="shared" si="122"/>
        <v>0</v>
      </c>
      <c r="AY159" s="364">
        <f t="shared" si="119"/>
        <v>0</v>
      </c>
      <c r="AZ159" s="364">
        <f t="shared" si="122"/>
        <v>0</v>
      </c>
      <c r="BA159" s="365">
        <f t="shared" si="120"/>
        <v>1</v>
      </c>
      <c r="BB159" s="365">
        <f t="shared" si="121"/>
        <v>0</v>
      </c>
      <c r="BC159" s="90"/>
    </row>
    <row r="160" spans="3:55" ht="16.5" x14ac:dyDescent="0.3">
      <c r="C160" s="372">
        <v>39</v>
      </c>
      <c r="D160" s="373" t="s">
        <v>441</v>
      </c>
      <c r="E160" s="373">
        <f t="shared" si="99"/>
        <v>3</v>
      </c>
      <c r="F160" s="374" t="s">
        <v>442</v>
      </c>
      <c r="G160" s="374"/>
      <c r="H160" s="375">
        <f>H109</f>
        <v>329.58000000000004</v>
      </c>
      <c r="I160" s="375">
        <f>I109</f>
        <v>99.697950000000006</v>
      </c>
      <c r="J160" s="375">
        <f>J109</f>
        <v>125.12515400000001</v>
      </c>
      <c r="K160" s="375">
        <f>K109</f>
        <v>37.850359085000001</v>
      </c>
      <c r="L160" s="381">
        <f t="shared" si="108"/>
        <v>3.554778787339171E-3</v>
      </c>
      <c r="M160" s="377">
        <f t="shared" si="103"/>
        <v>0.37965032465562226</v>
      </c>
      <c r="N160" s="378"/>
      <c r="O160" s="379"/>
      <c r="P160" s="358">
        <f t="shared" si="109"/>
        <v>1</v>
      </c>
      <c r="Q160" s="359">
        <f t="shared" si="110"/>
        <v>3.5547787873391715E-3</v>
      </c>
      <c r="R160" s="360" t="str">
        <f t="shared" si="111"/>
        <v>N/A</v>
      </c>
      <c r="S160" s="360" t="str">
        <f t="shared" si="112"/>
        <v>N/A</v>
      </c>
      <c r="T160" s="380"/>
      <c r="U160" s="361"/>
      <c r="V160" s="379"/>
      <c r="W160" s="379"/>
      <c r="X160" s="361"/>
      <c r="Y160" s="380"/>
      <c r="Z160" s="380"/>
      <c r="AA160" s="380"/>
      <c r="AB160" s="380"/>
      <c r="AC160" s="380"/>
      <c r="AD160" s="380"/>
      <c r="AE160" s="380"/>
      <c r="AF160" s="363">
        <f t="shared" si="113"/>
        <v>0</v>
      </c>
      <c r="AG160" s="363">
        <f t="shared" si="114"/>
        <v>0</v>
      </c>
      <c r="AH160" s="364">
        <f t="shared" si="104"/>
        <v>0</v>
      </c>
      <c r="AI160" s="364">
        <f t="shared" si="115"/>
        <v>0</v>
      </c>
      <c r="AJ160" s="364">
        <f t="shared" si="116"/>
        <v>0</v>
      </c>
      <c r="AK160" s="352">
        <f t="shared" si="117"/>
        <v>0</v>
      </c>
      <c r="AL160" s="352">
        <f t="shared" si="123"/>
        <v>0</v>
      </c>
      <c r="AM160" s="352">
        <f t="shared" si="123"/>
        <v>0</v>
      </c>
      <c r="AN160" s="352">
        <f t="shared" si="123"/>
        <v>0</v>
      </c>
      <c r="AO160" s="352">
        <f t="shared" si="123"/>
        <v>0</v>
      </c>
      <c r="AP160" s="352">
        <f t="shared" si="123"/>
        <v>0</v>
      </c>
      <c r="AQ160" s="352">
        <f t="shared" si="123"/>
        <v>0</v>
      </c>
      <c r="AR160" s="364">
        <f t="shared" si="122"/>
        <v>0</v>
      </c>
      <c r="AS160" s="364">
        <f t="shared" si="122"/>
        <v>0</v>
      </c>
      <c r="AT160" s="364">
        <f t="shared" si="122"/>
        <v>0</v>
      </c>
      <c r="AU160" s="364">
        <f t="shared" si="122"/>
        <v>0</v>
      </c>
      <c r="AV160" s="364">
        <f t="shared" si="122"/>
        <v>0</v>
      </c>
      <c r="AW160" s="364">
        <f t="shared" si="122"/>
        <v>0</v>
      </c>
      <c r="AX160" s="364">
        <f t="shared" si="122"/>
        <v>0</v>
      </c>
      <c r="AY160" s="364">
        <f t="shared" si="119"/>
        <v>0</v>
      </c>
      <c r="AZ160" s="364">
        <f t="shared" si="122"/>
        <v>0</v>
      </c>
      <c r="BA160" s="365">
        <f t="shared" si="120"/>
        <v>2</v>
      </c>
      <c r="BB160" s="365">
        <f t="shared" si="121"/>
        <v>0</v>
      </c>
      <c r="BC160" s="90"/>
    </row>
    <row r="161" spans="3:55" ht="16.5" x14ac:dyDescent="0.3">
      <c r="C161" s="382" t="s">
        <v>443</v>
      </c>
      <c r="D161" s="383"/>
      <c r="E161" s="383"/>
      <c r="F161" s="383"/>
      <c r="G161" s="383"/>
      <c r="H161" s="384">
        <f>SUM(H122:H160)</f>
        <v>92714.630000000034</v>
      </c>
      <c r="I161" s="384">
        <f>SUM(I122:I160)</f>
        <v>28046.175575000005</v>
      </c>
      <c r="J161" s="384">
        <f>SUM(J122:J160)</f>
        <v>36590.869061004763</v>
      </c>
      <c r="K161" s="384">
        <f>SUM(K122:K160)</f>
        <v>11068.737890953937</v>
      </c>
      <c r="L161" s="385">
        <f t="shared" si="108"/>
        <v>1</v>
      </c>
      <c r="M161" s="386">
        <f t="shared" si="103"/>
        <v>0.39466122079120364</v>
      </c>
      <c r="N161" s="387"/>
      <c r="O161" s="388"/>
      <c r="P161" s="388"/>
      <c r="Q161" s="389">
        <f>SUM(Q122:Q160)</f>
        <v>0.99999999999999978</v>
      </c>
      <c r="R161" s="389">
        <f t="shared" ref="R161:S161" si="124">SUM(R122:R160)</f>
        <v>0.96807817709028221</v>
      </c>
      <c r="S161" s="389">
        <f t="shared" si="124"/>
        <v>2.8367044122378521E-2</v>
      </c>
      <c r="T161" s="390"/>
      <c r="U161" s="391"/>
      <c r="V161" s="388"/>
      <c r="W161" s="388"/>
      <c r="X161" s="391"/>
      <c r="Y161" s="390"/>
      <c r="Z161" s="390"/>
      <c r="AA161" s="390"/>
      <c r="AB161" s="390"/>
      <c r="AC161" s="390"/>
      <c r="AD161" s="390"/>
      <c r="AE161" s="390"/>
      <c r="AF161" s="392"/>
      <c r="AG161" s="392"/>
      <c r="AH161" s="393"/>
      <c r="AI161" s="393"/>
      <c r="AJ161" s="393"/>
      <c r="AK161" s="394">
        <f>SUM(AK122:AK160)</f>
        <v>13996029920</v>
      </c>
      <c r="AL161" s="394">
        <f>SUM(AL122:AL160)</f>
        <v>0</v>
      </c>
      <c r="AM161" s="394">
        <f>SUM(AM122:AM160)</f>
        <v>12638524320</v>
      </c>
      <c r="AN161" s="394">
        <f>SUM(AN122:AN160)</f>
        <v>1357505600</v>
      </c>
      <c r="AO161" s="394">
        <f t="shared" ref="AO161:AZ161" si="125">SUM(AO122:AO160)</f>
        <v>0</v>
      </c>
      <c r="AP161" s="394">
        <f t="shared" si="125"/>
        <v>0</v>
      </c>
      <c r="AQ161" s="394">
        <f t="shared" si="125"/>
        <v>0</v>
      </c>
      <c r="AR161" s="394">
        <f t="shared" si="125"/>
        <v>82151825640</v>
      </c>
      <c r="AS161" s="394">
        <f t="shared" si="125"/>
        <v>60781625478.6129</v>
      </c>
      <c r="AT161" s="394">
        <f t="shared" si="125"/>
        <v>1598336070</v>
      </c>
      <c r="AU161" s="394">
        <f t="shared" si="125"/>
        <v>1200954509.7596757</v>
      </c>
      <c r="AV161" s="394">
        <f t="shared" si="125"/>
        <v>47887668164</v>
      </c>
      <c r="AW161" s="394">
        <f t="shared" si="125"/>
        <v>47897025842.666672</v>
      </c>
      <c r="AX161" s="394">
        <f t="shared" si="125"/>
        <v>932195766.99999988</v>
      </c>
      <c r="AY161" s="394">
        <f>AZ161/I161</f>
        <v>90227.340630915933</v>
      </c>
      <c r="AZ161" s="394">
        <f t="shared" si="125"/>
        <v>2530531837</v>
      </c>
      <c r="BA161" s="384">
        <f>SUM(BA122:BA160)</f>
        <v>563</v>
      </c>
      <c r="BB161" s="384">
        <f>SUM(BB122:BB160)</f>
        <v>592</v>
      </c>
      <c r="BC161" s="219"/>
    </row>
    <row r="162" spans="3:55" x14ac:dyDescent="0.25">
      <c r="H162" s="395"/>
      <c r="AF162" s="1" t="s">
        <v>444</v>
      </c>
      <c r="AK162" s="1" t="b">
        <f>AK108=AK161</f>
        <v>1</v>
      </c>
      <c r="AL162" s="1" t="b">
        <f>AL108=AL161</f>
        <v>1</v>
      </c>
    </row>
    <row r="163" spans="3:55" x14ac:dyDescent="0.25">
      <c r="H163" s="395"/>
    </row>
    <row r="164" spans="3:55" x14ac:dyDescent="0.25">
      <c r="H164" s="395"/>
    </row>
    <row r="166" spans="3:55" x14ac:dyDescent="0.25">
      <c r="F166" s="311">
        <v>3091775000</v>
      </c>
      <c r="G166" s="312">
        <v>193587500</v>
      </c>
      <c r="H166" s="313">
        <v>119445100</v>
      </c>
      <c r="I166" s="312">
        <v>70</v>
      </c>
      <c r="K166" s="312" t="s">
        <v>445</v>
      </c>
    </row>
    <row r="167" spans="3:55" x14ac:dyDescent="0.25">
      <c r="E167" s="2">
        <v>2571.63</v>
      </c>
      <c r="F167" s="396">
        <f>(E167/$E$172)*$F$166</f>
        <v>684139178.85500979</v>
      </c>
      <c r="G167" s="396">
        <f>(E167/$E$172)*$G$166</f>
        <v>42836491.428578794</v>
      </c>
      <c r="H167" s="396">
        <f t="shared" ref="H167:H172" si="126">(E167/$E$172)*$H$166</f>
        <v>26430472.020847097</v>
      </c>
      <c r="I167" s="396">
        <f>(E167/$E$172)*$I$166</f>
        <v>15.489400916900708</v>
      </c>
      <c r="L167" s="312">
        <v>1065155000</v>
      </c>
      <c r="N167" s="317">
        <v>187139600</v>
      </c>
      <c r="P167" s="1">
        <v>110039200</v>
      </c>
      <c r="R167" s="1">
        <v>70</v>
      </c>
      <c r="AO167" s="23">
        <v>175003000</v>
      </c>
      <c r="AT167" s="319">
        <v>33104300</v>
      </c>
    </row>
    <row r="168" spans="3:55" x14ac:dyDescent="0.25">
      <c r="E168" s="2">
        <v>2169.64</v>
      </c>
      <c r="F168" s="396">
        <f>(E168/$E$172)*$F$166</f>
        <v>577196458.28170598</v>
      </c>
      <c r="G168" s="396">
        <f>(E168/$E$172)*$G$166</f>
        <v>36140411.047896355</v>
      </c>
      <c r="H168" s="396">
        <f t="shared" si="126"/>
        <v>22298934.650517646</v>
      </c>
      <c r="I168" s="396">
        <f t="shared" ref="I168:I172" si="127">(E168/$E$172)*$I$166</f>
        <v>13.068141142133374</v>
      </c>
      <c r="K168" s="312">
        <v>794.84</v>
      </c>
      <c r="L168" s="312">
        <f t="shared" ref="L168:L173" si="128">(K168/$K$174)*$L$167</f>
        <v>248501671.65160421</v>
      </c>
      <c r="N168" s="312">
        <f t="shared" ref="N168:N173" si="129">(K168/$K$174)*$N$167</f>
        <v>43659846.155923367</v>
      </c>
      <c r="P168" s="312">
        <f>(K168/$K$174)*$P$167</f>
        <v>25672249.71690055</v>
      </c>
      <c r="R168" s="312">
        <f>(K168/$K$174)*$R$167</f>
        <v>16.331066385279414</v>
      </c>
      <c r="S168" s="312"/>
      <c r="AH168" s="63">
        <v>2534.4899999999998</v>
      </c>
      <c r="AI168" s="397"/>
      <c r="AJ168" s="397"/>
      <c r="AK168" s="397"/>
      <c r="AL168" s="397"/>
      <c r="AM168" s="397"/>
      <c r="AN168" s="397"/>
      <c r="AO168" s="312">
        <f>(AH168/$AH$170)*$AO$167</f>
        <v>126501499.75044422</v>
      </c>
      <c r="AP168" s="312"/>
      <c r="AQ168" s="312"/>
      <c r="AR168" s="312"/>
      <c r="AS168" s="312"/>
      <c r="AT168" s="312">
        <f>(AH168/$AH$170)*$AT$167</f>
        <v>23929553.19730879</v>
      </c>
      <c r="AU168" s="312"/>
      <c r="AV168" s="312"/>
      <c r="AW168" s="312"/>
    </row>
    <row r="169" spans="3:55" x14ac:dyDescent="0.25">
      <c r="E169" s="2">
        <v>2597.09</v>
      </c>
      <c r="F169" s="396">
        <f>(E169/$E$172)*$F$166</f>
        <v>690912386.3124001</v>
      </c>
      <c r="G169" s="396">
        <f>(E169/$E$172)*$G$166</f>
        <v>43260587.068998151</v>
      </c>
      <c r="H169" s="396">
        <f t="shared" si="126"/>
        <v>26692142.563518774</v>
      </c>
      <c r="I169" s="396">
        <f t="shared" si="127"/>
        <v>15.642751183985901</v>
      </c>
      <c r="K169" s="312">
        <v>794.84</v>
      </c>
      <c r="L169" s="312">
        <f t="shared" si="128"/>
        <v>248501671.65160421</v>
      </c>
      <c r="N169" s="312">
        <f t="shared" si="129"/>
        <v>43659846.155923367</v>
      </c>
      <c r="P169" s="312">
        <f t="shared" ref="P169:P173" si="130">(K169/$K$174)*$P$167</f>
        <v>25672249.71690055</v>
      </c>
      <c r="R169" s="312">
        <f t="shared" ref="R169:R173" si="131">(K169/$K$174)*$R$167</f>
        <v>16.331066385279414</v>
      </c>
      <c r="S169" s="312"/>
      <c r="AH169" s="63">
        <v>971.74</v>
      </c>
      <c r="AI169" s="397"/>
      <c r="AJ169" s="397"/>
      <c r="AK169" s="397"/>
      <c r="AL169" s="397"/>
      <c r="AM169" s="397"/>
      <c r="AN169" s="397"/>
      <c r="AO169" s="312">
        <f>(AH169/$AH$170)*$AO$167</f>
        <v>48501500.249555796</v>
      </c>
      <c r="AP169" s="312"/>
      <c r="AQ169" s="312"/>
      <c r="AR169" s="312"/>
      <c r="AS169" s="312"/>
      <c r="AT169" s="312">
        <f>(AH169/$AH$170)*$AT$167</f>
        <v>9174746.8026912101</v>
      </c>
      <c r="AU169" s="312"/>
      <c r="AV169" s="312"/>
      <c r="AW169" s="312"/>
    </row>
    <row r="170" spans="3:55" x14ac:dyDescent="0.25">
      <c r="E170" s="2">
        <v>1382.54</v>
      </c>
      <c r="F170" s="396">
        <f>(E170/$E$172)*$F$166</f>
        <v>367801659.00001371</v>
      </c>
      <c r="G170" s="396">
        <f>(E170/$E$172)*$G$166</f>
        <v>23029426.02927611</v>
      </c>
      <c r="H170" s="396">
        <f t="shared" si="126"/>
        <v>14209347.685204303</v>
      </c>
      <c r="I170" s="396">
        <f t="shared" si="127"/>
        <v>8.3272929401398734</v>
      </c>
      <c r="K170" s="312">
        <v>336.06</v>
      </c>
      <c r="L170" s="312">
        <f t="shared" si="128"/>
        <v>105067022.01101871</v>
      </c>
      <c r="N170" s="312">
        <f t="shared" si="129"/>
        <v>18459473.477881845</v>
      </c>
      <c r="P170" s="312">
        <f t="shared" si="130"/>
        <v>10854280.408461576</v>
      </c>
      <c r="R170" s="312">
        <f t="shared" si="131"/>
        <v>6.9048087280924468</v>
      </c>
      <c r="S170" s="312"/>
      <c r="AH170" s="398">
        <f>SUM(AH168:AH169)</f>
        <v>3506.2299999999996</v>
      </c>
      <c r="AI170" s="398"/>
      <c r="AJ170" s="398"/>
      <c r="AK170" s="398"/>
      <c r="AL170" s="398"/>
      <c r="AM170" s="398"/>
      <c r="AN170" s="398"/>
      <c r="AO170" s="398">
        <f t="shared" ref="AO170:AT170" si="132">SUM(AO168:AO169)</f>
        <v>175003000</v>
      </c>
      <c r="AP170" s="398"/>
      <c r="AQ170" s="398"/>
      <c r="AR170" s="398"/>
      <c r="AS170" s="398"/>
      <c r="AT170" s="398">
        <f t="shared" si="132"/>
        <v>33104300</v>
      </c>
      <c r="AU170" s="398"/>
    </row>
    <row r="171" spans="3:55" x14ac:dyDescent="0.25">
      <c r="E171" s="2">
        <v>2900.86</v>
      </c>
      <c r="F171" s="396">
        <f>(E171/$E$172)*$F$166</f>
        <v>771725317.55087006</v>
      </c>
      <c r="G171" s="396">
        <f>(E171/$E$172)*$G$166</f>
        <v>48320584.42525056</v>
      </c>
      <c r="H171" s="396">
        <f t="shared" si="126"/>
        <v>29814203.079912163</v>
      </c>
      <c r="I171" s="396">
        <f t="shared" si="127"/>
        <v>17.472413816840131</v>
      </c>
      <c r="K171" s="312">
        <v>116.23999999999998</v>
      </c>
      <c r="L171" s="312">
        <f t="shared" si="128"/>
        <v>36341696.835567497</v>
      </c>
      <c r="N171" s="312">
        <f t="shared" si="129"/>
        <v>6384958.6296166908</v>
      </c>
      <c r="P171" s="312">
        <f t="shared" si="130"/>
        <v>3754393.7233814597</v>
      </c>
      <c r="R171" s="312">
        <f t="shared" si="131"/>
        <v>2.3883085358372487</v>
      </c>
      <c r="S171" s="312"/>
      <c r="AZ171" s="1">
        <v>58990100</v>
      </c>
      <c r="BA171" s="1">
        <v>32992000</v>
      </c>
    </row>
    <row r="172" spans="3:55" x14ac:dyDescent="0.25">
      <c r="E172" s="2">
        <f>SUM(E167:E171)</f>
        <v>11621.760000000002</v>
      </c>
      <c r="F172" s="396">
        <f>SUM(F167:F171)</f>
        <v>3091774999.9999995</v>
      </c>
      <c r="G172" s="396">
        <f>SUM(G167:G171)</f>
        <v>193587499.99999997</v>
      </c>
      <c r="H172" s="396">
        <f t="shared" si="126"/>
        <v>119445100</v>
      </c>
      <c r="I172" s="396">
        <f t="shared" si="127"/>
        <v>70</v>
      </c>
      <c r="K172" s="312">
        <v>738.68999999999994</v>
      </c>
      <c r="L172" s="312">
        <f t="shared" si="128"/>
        <v>230946731.20668751</v>
      </c>
      <c r="N172" s="312">
        <f t="shared" si="129"/>
        <v>40575577.168888114</v>
      </c>
      <c r="P172" s="312">
        <f t="shared" si="130"/>
        <v>23858681.172786053</v>
      </c>
      <c r="R172" s="312">
        <f t="shared" si="131"/>
        <v>15.177388440619557</v>
      </c>
      <c r="S172" s="312"/>
      <c r="AZ172" s="1">
        <f>AZ171-24561000</f>
        <v>34429100</v>
      </c>
      <c r="BA172" s="1">
        <f>BA171-13374000</f>
        <v>19618000</v>
      </c>
    </row>
    <row r="173" spans="3:55" x14ac:dyDescent="0.25">
      <c r="F173" s="311" t="b">
        <f>F172=F166</f>
        <v>1</v>
      </c>
      <c r="G173" s="311" t="b">
        <f>G172=G166</f>
        <v>1</v>
      </c>
      <c r="H173" s="311" t="b">
        <f>H172=H166</f>
        <v>1</v>
      </c>
      <c r="K173" s="312">
        <v>626.26</v>
      </c>
      <c r="L173" s="312">
        <f t="shared" si="128"/>
        <v>195796206.64351773</v>
      </c>
      <c r="N173" s="312">
        <f t="shared" si="129"/>
        <v>34399898.411766604</v>
      </c>
      <c r="P173" s="312">
        <f t="shared" si="130"/>
        <v>20227345.261569798</v>
      </c>
      <c r="R173" s="312">
        <f t="shared" si="131"/>
        <v>12.86736152489191</v>
      </c>
      <c r="S173" s="312"/>
      <c r="AT173" s="319">
        <v>13374000</v>
      </c>
      <c r="AZ173" s="1">
        <f>ROUND(AZ172*1.02,-2)</f>
        <v>35117700</v>
      </c>
      <c r="BA173" s="1">
        <f>ROUND(BA172*1.02,-2)</f>
        <v>20010400</v>
      </c>
    </row>
    <row r="174" spans="3:55" x14ac:dyDescent="0.25">
      <c r="K174" s="312">
        <f>SUM(K168:K173)</f>
        <v>3406.9300000000003</v>
      </c>
      <c r="L174" s="312">
        <f>SUM(L168:L173)</f>
        <v>1065154999.9999998</v>
      </c>
      <c r="M174" s="315" t="b">
        <f>L174=L167</f>
        <v>1</v>
      </c>
      <c r="N174" s="312">
        <f>SUM(N168:N173)</f>
        <v>187139600</v>
      </c>
      <c r="O174" s="315" t="b">
        <f>N174=N167</f>
        <v>1</v>
      </c>
      <c r="P174" s="312">
        <f>SUM(P168:P173)</f>
        <v>110039199.99999999</v>
      </c>
      <c r="Q174" s="315" t="b">
        <f>P174=P167</f>
        <v>1</v>
      </c>
      <c r="R174" s="312">
        <f>SUM(R168:R173)</f>
        <v>69.999999999999986</v>
      </c>
      <c r="S174" s="312"/>
      <c r="AQ174" s="23">
        <v>969.72</v>
      </c>
      <c r="AR174" s="396"/>
      <c r="AS174" s="396"/>
      <c r="AT174" s="396">
        <f>(AQ174/$AQ$176)*$AT$173</f>
        <v>9094057.4153285194</v>
      </c>
      <c r="AU174" s="396"/>
    </row>
    <row r="175" spans="3:55" x14ac:dyDescent="0.25">
      <c r="AQ175" s="23">
        <v>456.38</v>
      </c>
      <c r="AR175" s="396"/>
      <c r="AS175" s="396"/>
      <c r="AT175" s="396">
        <f>(AQ175/$AQ$176)*$AT$173</f>
        <v>4279942.5846714824</v>
      </c>
      <c r="AU175" s="396"/>
    </row>
    <row r="176" spans="3:55" x14ac:dyDescent="0.25">
      <c r="K176" s="312" t="s">
        <v>446</v>
      </c>
      <c r="L176" s="312">
        <v>1336437000</v>
      </c>
      <c r="N176" s="317">
        <v>231649100</v>
      </c>
      <c r="P176" s="319">
        <v>136099600</v>
      </c>
      <c r="R176" s="1">
        <v>86</v>
      </c>
      <c r="AQ176" s="23">
        <f>SUM(AQ174:AQ175)</f>
        <v>1426.1</v>
      </c>
      <c r="AR176" s="23"/>
      <c r="AS176" s="23"/>
      <c r="AT176" s="23">
        <f t="shared" ref="AT176" si="133">SUM(AT174:AT175)</f>
        <v>13374000.000000002</v>
      </c>
      <c r="AU176" s="23"/>
    </row>
    <row r="177" spans="5:47" x14ac:dyDescent="0.25">
      <c r="K177" s="312">
        <v>2647.53</v>
      </c>
      <c r="L177" s="399">
        <f>(K177/$K$187)*$L$176</f>
        <v>254980114.04883042</v>
      </c>
      <c r="N177" s="399">
        <f>(K177/$K$187)*$N$176</f>
        <v>44196556.91761671</v>
      </c>
      <c r="P177" s="399">
        <f>(K177/$K$187)*$P$176</f>
        <v>25966574.952654108</v>
      </c>
      <c r="R177" s="399">
        <f>(K177/$K$187)*$R$176</f>
        <v>16.408023579262931</v>
      </c>
    </row>
    <row r="178" spans="5:47" x14ac:dyDescent="0.25">
      <c r="G178" s="2">
        <v>11325000</v>
      </c>
      <c r="H178" s="311">
        <v>6988000</v>
      </c>
      <c r="K178" s="312">
        <v>2627.62</v>
      </c>
      <c r="L178" s="399">
        <f t="shared" ref="L178:L186" si="134">(K178/$K$187)*$L$176</f>
        <v>253062608.27147859</v>
      </c>
      <c r="N178" s="399">
        <f t="shared" ref="N178:N186" si="135">(K178/$K$187)*$N$176</f>
        <v>43864189.220846601</v>
      </c>
      <c r="P178" s="399">
        <f t="shared" ref="P178:P186" si="136">(K178/$K$187)*$P$176</f>
        <v>25771300.675381575</v>
      </c>
      <c r="R178" s="399">
        <f t="shared" ref="R178:R186" si="137">(K178/$K$187)*$R$176</f>
        <v>16.284631682112334</v>
      </c>
    </row>
    <row r="179" spans="5:47" x14ac:dyDescent="0.25">
      <c r="G179" s="2">
        <v>11551000</v>
      </c>
      <c r="H179" s="311">
        <v>7127000</v>
      </c>
      <c r="K179" s="312">
        <v>2627.62</v>
      </c>
      <c r="L179" s="399">
        <f t="shared" si="134"/>
        <v>253062608.27147859</v>
      </c>
      <c r="N179" s="399">
        <f t="shared" si="135"/>
        <v>43864189.220846601</v>
      </c>
      <c r="P179" s="399">
        <f t="shared" si="136"/>
        <v>25771300.675381575</v>
      </c>
      <c r="R179" s="399">
        <f t="shared" si="137"/>
        <v>16.284631682112334</v>
      </c>
      <c r="AR179" s="7"/>
      <c r="AS179" s="7"/>
      <c r="AT179" s="7">
        <f>ROUND(AT174*1.02,-2)</f>
        <v>9275900</v>
      </c>
      <c r="AU179" s="7"/>
    </row>
    <row r="180" spans="5:47" x14ac:dyDescent="0.25">
      <c r="G180" s="400">
        <f>(G179-G178)/G178</f>
        <v>1.9955849889624726E-2</v>
      </c>
      <c r="H180" s="400">
        <f>(H179-H178)/H178</f>
        <v>1.9891242129364627E-2</v>
      </c>
      <c r="K180" s="312">
        <v>2627.57</v>
      </c>
      <c r="L180" s="399">
        <f t="shared" si="134"/>
        <v>253057792.83758271</v>
      </c>
      <c r="N180" s="399">
        <f t="shared" si="135"/>
        <v>43863354.545565918</v>
      </c>
      <c r="P180" s="399">
        <f t="shared" si="136"/>
        <v>25770810.282922331</v>
      </c>
      <c r="R180" s="399">
        <f t="shared" si="137"/>
        <v>16.284321807935662</v>
      </c>
      <c r="AR180" s="7"/>
      <c r="AS180" s="7"/>
      <c r="AT180" s="7">
        <f>ROUND(AT175*1.02,-2)</f>
        <v>4365500</v>
      </c>
      <c r="AU180" s="7"/>
    </row>
    <row r="181" spans="5:47" x14ac:dyDescent="0.25">
      <c r="K181" s="312">
        <v>1516.63</v>
      </c>
      <c r="L181" s="399">
        <f t="shared" si="134"/>
        <v>146064630.19111311</v>
      </c>
      <c r="N181" s="399">
        <f t="shared" si="135"/>
        <v>25317871.41900754</v>
      </c>
      <c r="P181" s="399">
        <f t="shared" si="136"/>
        <v>14874878.309384143</v>
      </c>
      <c r="R181" s="399">
        <f t="shared" si="137"/>
        <v>9.3992894513065171</v>
      </c>
    </row>
    <row r="182" spans="5:47" x14ac:dyDescent="0.25">
      <c r="F182" s="2">
        <v>576119500</v>
      </c>
      <c r="G182" s="2">
        <v>61644700</v>
      </c>
      <c r="H182" s="311">
        <v>34662600</v>
      </c>
      <c r="I182" s="312">
        <v>30</v>
      </c>
      <c r="K182" s="312">
        <v>338.57</v>
      </c>
      <c r="L182" s="399">
        <f t="shared" si="134"/>
        <v>32607229.082772437</v>
      </c>
      <c r="N182" s="399">
        <f t="shared" si="135"/>
        <v>5651920.1956531135</v>
      </c>
      <c r="P182" s="399">
        <f t="shared" si="136"/>
        <v>3320643.4985515182</v>
      </c>
      <c r="R182" s="399">
        <f t="shared" si="137"/>
        <v>2.0982819999135236</v>
      </c>
    </row>
    <row r="183" spans="5:47" x14ac:dyDescent="0.25">
      <c r="E183" s="2">
        <v>958.51</v>
      </c>
      <c r="F183" s="396">
        <f>(E183/$E$185)*$F$182</f>
        <v>155308893.56086171</v>
      </c>
      <c r="G183" s="396">
        <f>(E183/$E$185)*$G$182</f>
        <v>16618028.29255259</v>
      </c>
      <c r="H183" s="396">
        <f>(E183/$E$185)*$H$182</f>
        <v>9344259.4009449873</v>
      </c>
      <c r="I183" s="396">
        <f>(E183/$E$185)*$I$182</f>
        <v>8.0873270334120804</v>
      </c>
      <c r="K183" s="312">
        <v>737.75</v>
      </c>
      <c r="L183" s="399">
        <f t="shared" si="134"/>
        <v>71051727.134168312</v>
      </c>
      <c r="N183" s="399">
        <f t="shared" si="135"/>
        <v>12315633.766556649</v>
      </c>
      <c r="P183" s="399">
        <f t="shared" si="136"/>
        <v>7235740.736203392</v>
      </c>
      <c r="R183" s="399">
        <f t="shared" si="137"/>
        <v>4.5721934767882617</v>
      </c>
    </row>
    <row r="184" spans="5:47" x14ac:dyDescent="0.25">
      <c r="E184" s="2">
        <v>2597.09</v>
      </c>
      <c r="F184" s="396">
        <f>(E184/$E$185)*$F$182</f>
        <v>420810606.43913823</v>
      </c>
      <c r="G184" s="396">
        <f>(E184/$E$185)*$G$182</f>
        <v>45026671.70744741</v>
      </c>
      <c r="H184" s="396">
        <f>(E184/$E$185)*$H$182</f>
        <v>25318340.599055011</v>
      </c>
      <c r="I184" s="396">
        <f>(E184/$E$185)*$I$182</f>
        <v>21.912672966587916</v>
      </c>
      <c r="K184" s="312">
        <v>247.27</v>
      </c>
      <c r="L184" s="399">
        <f t="shared" si="134"/>
        <v>23814246.788838767</v>
      </c>
      <c r="N184" s="399">
        <f t="shared" si="135"/>
        <v>4127803.1331161815</v>
      </c>
      <c r="P184" s="399">
        <f t="shared" si="136"/>
        <v>2425186.8679647753</v>
      </c>
      <c r="R184" s="399">
        <f t="shared" si="137"/>
        <v>1.53245175331133</v>
      </c>
    </row>
    <row r="185" spans="5:47" x14ac:dyDescent="0.25">
      <c r="E185" s="2">
        <f>SUM(E183:E184)</f>
        <v>3555.6000000000004</v>
      </c>
      <c r="F185" s="2">
        <f t="shared" ref="F185:H185" si="138">SUM(F183:F184)</f>
        <v>576119500</v>
      </c>
      <c r="G185" s="2">
        <f t="shared" si="138"/>
        <v>61644700</v>
      </c>
      <c r="H185" s="2">
        <f t="shared" si="138"/>
        <v>34662600</v>
      </c>
      <c r="K185" s="312">
        <v>245.63</v>
      </c>
      <c r="L185" s="399">
        <f t="shared" si="134"/>
        <v>23656300.557052881</v>
      </c>
      <c r="N185" s="399">
        <f t="shared" si="135"/>
        <v>4100425.783909603</v>
      </c>
      <c r="P185" s="399">
        <f t="shared" si="136"/>
        <v>2409101.9953014427</v>
      </c>
      <c r="R185" s="399">
        <f t="shared" si="137"/>
        <v>1.5222878803165039</v>
      </c>
    </row>
    <row r="186" spans="5:47" x14ac:dyDescent="0.25">
      <c r="K186" s="312">
        <v>260.41000000000003</v>
      </c>
      <c r="L186" s="399">
        <f t="shared" si="134"/>
        <v>25079742.816684205</v>
      </c>
      <c r="N186" s="399">
        <f t="shared" si="135"/>
        <v>4347155.7968810806</v>
      </c>
      <c r="P186" s="399">
        <f t="shared" si="136"/>
        <v>2554062.0062551349</v>
      </c>
      <c r="R186" s="399">
        <f t="shared" si="137"/>
        <v>1.6138866869406052</v>
      </c>
    </row>
    <row r="187" spans="5:47" x14ac:dyDescent="0.25">
      <c r="K187" s="312">
        <f>SUM(K177:K186)</f>
        <v>13876.6</v>
      </c>
      <c r="L187" s="312">
        <f>SUM(L177:L186)</f>
        <v>1336437000.0000002</v>
      </c>
      <c r="M187" s="315" t="b">
        <f>L176=L187</f>
        <v>1</v>
      </c>
      <c r="N187" s="312">
        <f>SUM(N177:N186)</f>
        <v>231649099.99999997</v>
      </c>
      <c r="O187" s="315" t="b">
        <f>N176=N187</f>
        <v>1</v>
      </c>
      <c r="P187" s="312">
        <f>SUM(P177:P186)</f>
        <v>136099599.99999997</v>
      </c>
      <c r="Q187" s="315" t="b">
        <f>P176=P187</f>
        <v>1</v>
      </c>
      <c r="R187" s="312">
        <f>SUM(R177:R186)</f>
        <v>86</v>
      </c>
      <c r="S187" s="315" t="b">
        <f>R176=R187</f>
        <v>1</v>
      </c>
    </row>
    <row r="189" spans="5:47" x14ac:dyDescent="0.25">
      <c r="K189" s="312" t="s">
        <v>447</v>
      </c>
      <c r="L189" s="312">
        <v>2123753000</v>
      </c>
      <c r="M189" s="315">
        <v>92586700</v>
      </c>
      <c r="N189" s="317">
        <v>64785600</v>
      </c>
      <c r="O189" s="317">
        <v>38</v>
      </c>
    </row>
    <row r="190" spans="5:47" x14ac:dyDescent="0.25">
      <c r="K190" s="63">
        <v>2597.09</v>
      </c>
      <c r="L190" s="399">
        <f>(K190/$K$194)*$L$189</f>
        <v>942443925.55045617</v>
      </c>
      <c r="M190" s="401">
        <f>(K190/$K$194)*$M$189</f>
        <v>41086591.991518043</v>
      </c>
      <c r="N190" s="399">
        <f>(K190/$K$194)*$N$189</f>
        <v>28749480.36948818</v>
      </c>
      <c r="O190" s="399">
        <f>(K190/$K$194)*$O$189</f>
        <v>16.863010515308197</v>
      </c>
    </row>
    <row r="191" spans="5:47" x14ac:dyDescent="0.25">
      <c r="K191" s="63">
        <v>2122.56</v>
      </c>
      <c r="L191" s="399">
        <f t="shared" ref="L191:L193" si="139">(K191/$K$194)*$L$189</f>
        <v>770244303.66925132</v>
      </c>
      <c r="M191" s="401">
        <f t="shared" ref="M191:M193" si="140">(K191/$K$194)*$M$189</f>
        <v>33579412.610851578</v>
      </c>
      <c r="N191" s="399">
        <f t="shared" ref="N191:N193" si="141">(K191/$K$194)*$N$189</f>
        <v>23496489.167899776</v>
      </c>
      <c r="O191" s="399">
        <f t="shared" ref="O191:O193" si="142">(K191/$K$194)*$O$189</f>
        <v>13.781868013573872</v>
      </c>
    </row>
    <row r="192" spans="5:47" x14ac:dyDescent="0.25">
      <c r="K192" s="63">
        <v>625.72</v>
      </c>
      <c r="L192" s="399">
        <f t="shared" si="139"/>
        <v>227064142.21125621</v>
      </c>
      <c r="M192" s="401">
        <f t="shared" si="140"/>
        <v>9899041.7509338018</v>
      </c>
      <c r="N192" s="399">
        <f t="shared" si="141"/>
        <v>6926646.6917958725</v>
      </c>
      <c r="O192" s="399">
        <f t="shared" si="142"/>
        <v>4.0628252927848649</v>
      </c>
    </row>
    <row r="193" spans="11:21" x14ac:dyDescent="0.25">
      <c r="K193" s="63">
        <v>507.05</v>
      </c>
      <c r="L193" s="399">
        <f t="shared" si="139"/>
        <v>184000628.56903639</v>
      </c>
      <c r="M193" s="401">
        <f t="shared" si="140"/>
        <v>8021653.6466965806</v>
      </c>
      <c r="N193" s="399">
        <f t="shared" si="141"/>
        <v>5612983.7708161753</v>
      </c>
      <c r="O193" s="399">
        <f t="shared" si="142"/>
        <v>3.2922961783330655</v>
      </c>
    </row>
    <row r="194" spans="11:21" x14ac:dyDescent="0.25">
      <c r="K194" s="312">
        <f>SUM(K190:K193)</f>
        <v>5852.42</v>
      </c>
      <c r="L194" s="312">
        <f>SUM(L190:L193)</f>
        <v>2123753000.0000002</v>
      </c>
      <c r="M194" s="312">
        <f t="shared" ref="M194:N194" si="143">SUM(M190:M193)</f>
        <v>92586700</v>
      </c>
      <c r="N194" s="312">
        <f t="shared" si="143"/>
        <v>64785600</v>
      </c>
    </row>
    <row r="195" spans="11:21" x14ac:dyDescent="0.25">
      <c r="L195" s="312" t="b">
        <f>L189=L194</f>
        <v>1</v>
      </c>
      <c r="M195" s="312" t="b">
        <f>M189=M194</f>
        <v>1</v>
      </c>
    </row>
    <row r="196" spans="11:21" x14ac:dyDescent="0.25">
      <c r="K196" s="312" t="s">
        <v>448</v>
      </c>
      <c r="M196" s="402">
        <f>N204</f>
        <v>25553200</v>
      </c>
      <c r="N196" s="403">
        <f>O204</f>
        <v>13914310</v>
      </c>
    </row>
    <row r="197" spans="11:21" x14ac:dyDescent="0.25">
      <c r="K197" s="63">
        <v>969.72</v>
      </c>
      <c r="M197" s="404">
        <f>(K197/$K$199)*$M$196</f>
        <v>17375674.289320525</v>
      </c>
      <c r="N197" s="404">
        <f>(K197/$K$199)*$N$196</f>
        <v>9461457.6068999376</v>
      </c>
    </row>
    <row r="198" spans="11:21" x14ac:dyDescent="0.25">
      <c r="K198" s="63">
        <v>456.38</v>
      </c>
      <c r="M198" s="404">
        <f>(K198/$K$199)*$M$196</f>
        <v>8177525.7106794761</v>
      </c>
      <c r="N198" s="404">
        <f>(K198/$K$199)*$N$196</f>
        <v>4452852.3931000633</v>
      </c>
    </row>
    <row r="199" spans="11:21" x14ac:dyDescent="0.25">
      <c r="K199" s="312">
        <f>SUM(K197:K198)</f>
        <v>1426.1</v>
      </c>
      <c r="L199" s="312">
        <f t="shared" ref="L199:N199" si="144">SUM(L197:L198)</f>
        <v>0</v>
      </c>
      <c r="M199" s="405">
        <f t="shared" si="144"/>
        <v>25553200</v>
      </c>
      <c r="N199" s="405">
        <f t="shared" si="144"/>
        <v>13914310</v>
      </c>
    </row>
    <row r="201" spans="11:21" x14ac:dyDescent="0.25">
      <c r="K201" s="63">
        <v>2069.4</v>
      </c>
    </row>
    <row r="202" spans="11:21" x14ac:dyDescent="0.25">
      <c r="N202" s="406">
        <v>24561000</v>
      </c>
      <c r="O202" s="406">
        <v>13374000</v>
      </c>
      <c r="P202" s="7">
        <v>58990100</v>
      </c>
      <c r="Q202" s="7">
        <v>32992000</v>
      </c>
      <c r="R202" s="21">
        <v>0.02</v>
      </c>
      <c r="S202" s="12">
        <f>P202-N202</f>
        <v>34429100</v>
      </c>
      <c r="T202" s="12">
        <f>Q202-O202</f>
        <v>19618000</v>
      </c>
    </row>
    <row r="203" spans="11:21" x14ac:dyDescent="0.25">
      <c r="N203" s="7">
        <f>ROUND(N202*(1+$R$202),-2)</f>
        <v>25052200</v>
      </c>
      <c r="O203" s="7">
        <f>ROUND(O202*(1+$R$202),)</f>
        <v>13641480</v>
      </c>
      <c r="P203" s="7">
        <f>ROUND(P202*(1+$R$202),-2)</f>
        <v>60169900</v>
      </c>
      <c r="Q203" s="7">
        <f>ROUND(Q202*(1+$R$202),)</f>
        <v>33651840</v>
      </c>
      <c r="S203" s="12">
        <f t="shared" ref="S203:T204" si="145">P203-N203</f>
        <v>35117700</v>
      </c>
      <c r="T203" s="12">
        <f t="shared" si="145"/>
        <v>20010360</v>
      </c>
      <c r="U203" s="335">
        <f>(T203-T202)/T202</f>
        <v>0.02</v>
      </c>
    </row>
    <row r="204" spans="11:21" x14ac:dyDescent="0.25">
      <c r="N204" s="7">
        <f>ROUND(N203*(1+$R$202),-2)</f>
        <v>25553200</v>
      </c>
      <c r="O204" s="7">
        <f>ROUND(O203*(1+$R$202),)</f>
        <v>13914310</v>
      </c>
      <c r="P204" s="7">
        <f>ROUND(P203*(1+$R$202),-2)</f>
        <v>61373300</v>
      </c>
      <c r="Q204" s="7">
        <f>ROUND(Q203*(1+$R$202),)</f>
        <v>34324877</v>
      </c>
      <c r="S204" s="12">
        <f t="shared" si="145"/>
        <v>35820100</v>
      </c>
      <c r="T204" s="12">
        <f t="shared" si="145"/>
        <v>20410567</v>
      </c>
      <c r="U204" s="335">
        <f>(T204-T203)/T203</f>
        <v>1.9999990005177319E-2</v>
      </c>
    </row>
  </sheetData>
  <mergeCells count="104">
    <mergeCell ref="F146:G146"/>
    <mergeCell ref="AY120:AY121"/>
    <mergeCell ref="AZ120:AZ121"/>
    <mergeCell ref="BA120:BA121"/>
    <mergeCell ref="BB120:BB121"/>
    <mergeCell ref="BC120:BC121"/>
    <mergeCell ref="F145:G145"/>
    <mergeCell ref="AH119:AJ120"/>
    <mergeCell ref="AF120:AF121"/>
    <mergeCell ref="AG120:AG121"/>
    <mergeCell ref="AV120:AV121"/>
    <mergeCell ref="AW120:AW121"/>
    <mergeCell ref="AX120:AX121"/>
    <mergeCell ref="N119:N121"/>
    <mergeCell ref="O119:O121"/>
    <mergeCell ref="P119:P121"/>
    <mergeCell ref="Q119:Q121"/>
    <mergeCell ref="R119:R121"/>
    <mergeCell ref="S119:S121"/>
    <mergeCell ref="D103:D104"/>
    <mergeCell ref="C111:C114"/>
    <mergeCell ref="C119:C121"/>
    <mergeCell ref="D119:D121"/>
    <mergeCell ref="E119:E121"/>
    <mergeCell ref="F119:G121"/>
    <mergeCell ref="D58:D62"/>
    <mergeCell ref="C66:C107"/>
    <mergeCell ref="D68:D69"/>
    <mergeCell ref="D74:D75"/>
    <mergeCell ref="D76:D81"/>
    <mergeCell ref="D82:D88"/>
    <mergeCell ref="D89:D93"/>
    <mergeCell ref="D94:D96"/>
    <mergeCell ref="D97:D98"/>
    <mergeCell ref="D100:D101"/>
    <mergeCell ref="C13:C36"/>
    <mergeCell ref="D19:D20"/>
    <mergeCell ref="D21:D25"/>
    <mergeCell ref="D26:D30"/>
    <mergeCell ref="C37:C65"/>
    <mergeCell ref="D37:D39"/>
    <mergeCell ref="D42:D47"/>
    <mergeCell ref="D48:D49"/>
    <mergeCell ref="D50:D53"/>
    <mergeCell ref="D55:D56"/>
    <mergeCell ref="BH10:BH12"/>
    <mergeCell ref="BI10:BI12"/>
    <mergeCell ref="BJ10:BJ12"/>
    <mergeCell ref="BL10:BL12"/>
    <mergeCell ref="BM10:BM12"/>
    <mergeCell ref="AR11:AR12"/>
    <mergeCell ref="AS11:AS12"/>
    <mergeCell ref="AV11:AV12"/>
    <mergeCell ref="AW11:AW12"/>
    <mergeCell ref="BB10:BB12"/>
    <mergeCell ref="BC10:BC12"/>
    <mergeCell ref="BD10:BD12"/>
    <mergeCell ref="BE10:BE12"/>
    <mergeCell ref="BF10:BF12"/>
    <mergeCell ref="BG10:BG12"/>
    <mergeCell ref="AT10:AT12"/>
    <mergeCell ref="AU10:AU12"/>
    <mergeCell ref="AX10:AX12"/>
    <mergeCell ref="AY10:AY12"/>
    <mergeCell ref="AZ10:AZ12"/>
    <mergeCell ref="BA10:BA12"/>
    <mergeCell ref="AG10:AG12"/>
    <mergeCell ref="AH10:AH12"/>
    <mergeCell ref="AI10:AI12"/>
    <mergeCell ref="AJ10:AJ12"/>
    <mergeCell ref="AK10:AK12"/>
    <mergeCell ref="AL10:AL11"/>
    <mergeCell ref="AA10:AA12"/>
    <mergeCell ref="AB10:AB12"/>
    <mergeCell ref="AC10:AC12"/>
    <mergeCell ref="AD10:AD12"/>
    <mergeCell ref="AE10:AE12"/>
    <mergeCell ref="AF10:AF12"/>
    <mergeCell ref="U10:U12"/>
    <mergeCell ref="V10:V12"/>
    <mergeCell ref="W10:W12"/>
    <mergeCell ref="X10:X12"/>
    <mergeCell ref="Y10:Y12"/>
    <mergeCell ref="Z10:Z12"/>
    <mergeCell ref="BN9:BN12"/>
    <mergeCell ref="H10:H12"/>
    <mergeCell ref="I10:I12"/>
    <mergeCell ref="J10:J12"/>
    <mergeCell ref="K10:K12"/>
    <mergeCell ref="L10:L12"/>
    <mergeCell ref="M10:M12"/>
    <mergeCell ref="N10:N12"/>
    <mergeCell ref="O10:O12"/>
    <mergeCell ref="P10:P12"/>
    <mergeCell ref="C9:C12"/>
    <mergeCell ref="D9:D12"/>
    <mergeCell ref="E9:E12"/>
    <mergeCell ref="F9:F12"/>
    <mergeCell ref="G9:G12"/>
    <mergeCell ref="BK9:BK12"/>
    <mergeCell ref="Q10:Q12"/>
    <mergeCell ref="R10:R12"/>
    <mergeCell ref="S10:S12"/>
    <mergeCell ref="T10:T12"/>
  </mergeCells>
  <phoneticPr fontId="3" type="noConversion"/>
  <conditionalFormatting sqref="AG38:AH38">
    <cfRule type="cellIs" dxfId="158" priority="127" operator="equal">
      <formula>0</formula>
    </cfRule>
  </conditionalFormatting>
  <conditionalFormatting sqref="AJ64">
    <cfRule type="cellIs" dxfId="157" priority="126" operator="equal">
      <formula>0</formula>
    </cfRule>
  </conditionalFormatting>
  <conditionalFormatting sqref="U64:V64 AI64 Z64:AE64 AG64">
    <cfRule type="cellIs" dxfId="156" priority="125" operator="equal">
      <formula>0</formula>
    </cfRule>
  </conditionalFormatting>
  <conditionalFormatting sqref="AJ87">
    <cfRule type="cellIs" dxfId="155" priority="124" operator="equal">
      <formula>0</formula>
    </cfRule>
  </conditionalFormatting>
  <conditionalFormatting sqref="AJ41">
    <cfRule type="cellIs" dxfId="154" priority="123" operator="equal">
      <formula>0</formula>
    </cfRule>
  </conditionalFormatting>
  <conditionalFormatting sqref="U46:V47">
    <cfRule type="cellIs" dxfId="153" priority="122" operator="equal">
      <formula>0</formula>
    </cfRule>
  </conditionalFormatting>
  <conditionalFormatting sqref="U50:V50 AH50:AI50 Z50:AE50">
    <cfRule type="cellIs" dxfId="152" priority="121" operator="equal">
      <formula>0</formula>
    </cfRule>
  </conditionalFormatting>
  <conditionalFormatting sqref="AJ28">
    <cfRule type="cellIs" dxfId="151" priority="120" operator="equal">
      <formula>0</formula>
    </cfRule>
  </conditionalFormatting>
  <conditionalFormatting sqref="AG92">
    <cfRule type="cellIs" dxfId="150" priority="119" operator="equal">
      <formula>0</formula>
    </cfRule>
  </conditionalFormatting>
  <conditionalFormatting sqref="AC25">
    <cfRule type="cellIs" dxfId="149" priority="117" operator="equal">
      <formula>0</formula>
    </cfRule>
  </conditionalFormatting>
  <conditionalFormatting sqref="AE25">
    <cfRule type="cellIs" dxfId="148" priority="116" operator="equal">
      <formula>0</formula>
    </cfRule>
  </conditionalFormatting>
  <conditionalFormatting sqref="U25:V25">
    <cfRule type="cellIs" dxfId="147" priority="118" operator="equal">
      <formula>0</formula>
    </cfRule>
  </conditionalFormatting>
  <conditionalFormatting sqref="W41:Y41 W67:X67 W25:Y25 X33 X51:Y52 X26:Y26 W63:X63 X18:X20 X44:Y44 W42:W43 W61 X75:Y75 W54 W49:W52 W70:Y71 W73:X73 W91:W92 X68 W58:Y58 Y18:Y24 X31:Y32 W69 X64:Y64 W32:W40 W21:X24">
    <cfRule type="cellIs" dxfId="146" priority="87" operator="equal">
      <formula>0</formula>
    </cfRule>
  </conditionalFormatting>
  <conditionalFormatting sqref="X81 X48:Y48 X28:Y30">
    <cfRule type="cellIs" dxfId="145" priority="86" operator="equal">
      <formula>0</formula>
    </cfRule>
  </conditionalFormatting>
  <conditionalFormatting sqref="X76 W77:W78">
    <cfRule type="cellIs" dxfId="144" priority="85" operator="equal">
      <formula>0</formula>
    </cfRule>
  </conditionalFormatting>
  <conditionalFormatting sqref="W62:X62">
    <cfRule type="cellIs" dxfId="143" priority="84" operator="equal">
      <formula>0</formula>
    </cfRule>
  </conditionalFormatting>
  <conditionalFormatting sqref="U42:V42 Z42:AE42 AG43 AG42:AI42">
    <cfRule type="cellIs" dxfId="142" priority="115" operator="equal">
      <formula>0</formula>
    </cfRule>
  </conditionalFormatting>
  <conditionalFormatting sqref="W65:X65">
    <cfRule type="cellIs" dxfId="141" priority="82" operator="equal">
      <formula>0</formula>
    </cfRule>
  </conditionalFormatting>
  <conditionalFormatting sqref="AJ42">
    <cfRule type="cellIs" dxfId="140" priority="114" operator="equal">
      <formula>0</formula>
    </cfRule>
  </conditionalFormatting>
  <conditionalFormatting sqref="U38:V38 Z38:AE38">
    <cfRule type="cellIs" dxfId="139" priority="113" operator="equal">
      <formula>0</formula>
    </cfRule>
  </conditionalFormatting>
  <conditionalFormatting sqref="AI38">
    <cfRule type="cellIs" dxfId="138" priority="112" operator="equal">
      <formula>0</formula>
    </cfRule>
  </conditionalFormatting>
  <conditionalFormatting sqref="AJ37">
    <cfRule type="cellIs" dxfId="137" priority="111" operator="equal">
      <formula>0</formula>
    </cfRule>
  </conditionalFormatting>
  <conditionalFormatting sqref="Z37 AH37:AI37">
    <cfRule type="cellIs" dxfId="136" priority="110" operator="equal">
      <formula>0</formula>
    </cfRule>
  </conditionalFormatting>
  <conditionalFormatting sqref="U49:V49 Z49:AE49">
    <cfRule type="cellIs" dxfId="135" priority="109" operator="equal">
      <formula>0</formula>
    </cfRule>
  </conditionalFormatting>
  <conditionalFormatting sqref="AG49">
    <cfRule type="cellIs" dxfId="134" priority="108" operator="equal">
      <formula>0</formula>
    </cfRule>
  </conditionalFormatting>
  <conditionalFormatting sqref="AI49">
    <cfRule type="cellIs" dxfId="133" priority="107" operator="equal">
      <formula>0</formula>
    </cfRule>
  </conditionalFormatting>
  <conditionalFormatting sqref="Z28 AH28">
    <cfRule type="cellIs" dxfId="132" priority="106" operator="equal">
      <formula>0</formula>
    </cfRule>
  </conditionalFormatting>
  <conditionalFormatting sqref="AG57">
    <cfRule type="cellIs" dxfId="131" priority="101" operator="equal">
      <formula>0</formula>
    </cfRule>
  </conditionalFormatting>
  <conditionalFormatting sqref="AG62">
    <cfRule type="cellIs" dxfId="130" priority="104" operator="equal">
      <formula>0</formula>
    </cfRule>
  </conditionalFormatting>
  <conditionalFormatting sqref="AG28">
    <cfRule type="cellIs" dxfId="129" priority="103" operator="equal">
      <formula>0</formula>
    </cfRule>
  </conditionalFormatting>
  <conditionalFormatting sqref="U57:V57 AH57:AI57 Z57:AE57">
    <cfRule type="cellIs" dxfId="128" priority="102" operator="equal">
      <formula>0</formula>
    </cfRule>
  </conditionalFormatting>
  <conditionalFormatting sqref="AB79">
    <cfRule type="cellIs" dxfId="127" priority="100" operator="equal">
      <formula>0</formula>
    </cfRule>
  </conditionalFormatting>
  <conditionalFormatting sqref="AH64">
    <cfRule type="cellIs" dxfId="126" priority="99" operator="equal">
      <formula>0</formula>
    </cfRule>
  </conditionalFormatting>
  <conditionalFormatting sqref="AJ16 U16:V17 AH16:AH17 Z16:AB17">
    <cfRule type="cellIs" dxfId="125" priority="98" operator="equal">
      <formula>0</formula>
    </cfRule>
  </conditionalFormatting>
  <conditionalFormatting sqref="Y46:Y47 W46">
    <cfRule type="cellIs" dxfId="124" priority="71" operator="equal">
      <formula>0</formula>
    </cfRule>
  </conditionalFormatting>
  <conditionalFormatting sqref="AC16:AE17 AG16:AG17">
    <cfRule type="cellIs" dxfId="123" priority="97" operator="equal">
      <formula>0</formula>
    </cfRule>
  </conditionalFormatting>
  <conditionalFormatting sqref="AJ17">
    <cfRule type="cellIs" dxfId="122" priority="96" operator="equal">
      <formula>0</formula>
    </cfRule>
  </conditionalFormatting>
  <conditionalFormatting sqref="Z74:AE74 AH74:AJ74">
    <cfRule type="cellIs" dxfId="121" priority="95" operator="equal">
      <formula>0</formula>
    </cfRule>
  </conditionalFormatting>
  <conditionalFormatting sqref="U74:V74">
    <cfRule type="cellIs" dxfId="120" priority="94" operator="equal">
      <formula>0</formula>
    </cfRule>
  </conditionalFormatting>
  <conditionalFormatting sqref="W26">
    <cfRule type="cellIs" dxfId="119" priority="66" operator="equal">
      <formula>0</formula>
    </cfRule>
  </conditionalFormatting>
  <conditionalFormatting sqref="W8:W15 W18:W20">
    <cfRule type="cellIs" dxfId="118" priority="67" operator="equal">
      <formula>0</formula>
    </cfRule>
  </conditionalFormatting>
  <conditionalFormatting sqref="AG74">
    <cfRule type="cellIs" dxfId="117" priority="93" operator="equal">
      <formula>0</formula>
    </cfRule>
  </conditionalFormatting>
  <conditionalFormatting sqref="U43:V43">
    <cfRule type="cellIs" dxfId="116" priority="92" operator="equal">
      <formula>0</formula>
    </cfRule>
  </conditionalFormatting>
  <conditionalFormatting sqref="AC43:AE43">
    <cfRule type="cellIs" dxfId="115" priority="91" operator="equal">
      <formula>0</formula>
    </cfRule>
  </conditionalFormatting>
  <conditionalFormatting sqref="W80:Y80">
    <cfRule type="cellIs" dxfId="114" priority="63" operator="equal">
      <formula>0</formula>
    </cfRule>
  </conditionalFormatting>
  <conditionalFormatting sqref="W82:Y82">
    <cfRule type="cellIs" dxfId="113" priority="62" operator="equal">
      <formula>0</formula>
    </cfRule>
  </conditionalFormatting>
  <conditionalFormatting sqref="AH43">
    <cfRule type="cellIs" dxfId="112" priority="90" operator="equal">
      <formula>0</formula>
    </cfRule>
  </conditionalFormatting>
  <conditionalFormatting sqref="AI43">
    <cfRule type="cellIs" dxfId="111" priority="89" operator="equal">
      <formula>0</formula>
    </cfRule>
  </conditionalFormatting>
  <conditionalFormatting sqref="AJ43">
    <cfRule type="cellIs" dxfId="110" priority="88" operator="equal">
      <formula>0</formula>
    </cfRule>
  </conditionalFormatting>
  <conditionalFormatting sqref="W16:W17">
    <cfRule type="cellIs" dxfId="109" priority="61" operator="equal">
      <formula>0</formula>
    </cfRule>
  </conditionalFormatting>
  <conditionalFormatting sqref="X34">
    <cfRule type="cellIs" dxfId="108" priority="60" operator="equal">
      <formula>0</formula>
    </cfRule>
  </conditionalFormatting>
  <conditionalFormatting sqref="AB40">
    <cfRule type="cellIs" dxfId="107" priority="129" operator="equal">
      <formula>0</formula>
    </cfRule>
  </conditionalFormatting>
  <conditionalFormatting sqref="AG39">
    <cfRule type="cellIs" dxfId="106" priority="128" operator="equal">
      <formula>0</formula>
    </cfRule>
  </conditionalFormatting>
  <conditionalFormatting sqref="Y34">
    <cfRule type="cellIs" dxfId="105" priority="59" operator="equal">
      <formula>0</formula>
    </cfRule>
  </conditionalFormatting>
  <conditionalFormatting sqref="Y35">
    <cfRule type="cellIs" dxfId="104" priority="57" operator="equal">
      <formula>0</formula>
    </cfRule>
  </conditionalFormatting>
  <conditionalFormatting sqref="AJ40">
    <cfRule type="cellIs" dxfId="103" priority="132" operator="equal">
      <formula>0</formula>
    </cfRule>
  </conditionalFormatting>
  <conditionalFormatting sqref="Z40:AA40 AC40:AE40 AG40:AI40">
    <cfRule type="cellIs" dxfId="102" priority="131" operator="equal">
      <formula>0</formula>
    </cfRule>
  </conditionalFormatting>
  <conditionalFormatting sqref="U40:V40">
    <cfRule type="cellIs" dxfId="101" priority="130" operator="equal">
      <formula>0</formula>
    </cfRule>
  </conditionalFormatting>
  <conditionalFormatting sqref="AJ65">
    <cfRule type="cellIs" dxfId="100" priority="134" operator="equal">
      <formula>0</formula>
    </cfRule>
  </conditionalFormatting>
  <conditionalFormatting sqref="U65:V65 Z65:AE65 AG65:AI65">
    <cfRule type="cellIs" dxfId="99" priority="133" operator="equal">
      <formula>0</formula>
    </cfRule>
  </conditionalFormatting>
  <conditionalFormatting sqref="AJ62">
    <cfRule type="cellIs" dxfId="98" priority="147" operator="equal">
      <formula>0</formula>
    </cfRule>
  </conditionalFormatting>
  <conditionalFormatting sqref="AB88">
    <cfRule type="cellIs" dxfId="97" priority="146" operator="equal">
      <formula>0</formula>
    </cfRule>
  </conditionalFormatting>
  <conditionalFormatting sqref="AB89">
    <cfRule type="cellIs" dxfId="96" priority="145" operator="equal">
      <formula>0</formula>
    </cfRule>
  </conditionalFormatting>
  <conditionalFormatting sqref="AJ39">
    <cfRule type="cellIs" dxfId="95" priority="144" operator="equal">
      <formula>0</formula>
    </cfRule>
  </conditionalFormatting>
  <conditionalFormatting sqref="U39:V39 Z39:AE39">
    <cfRule type="cellIs" dxfId="94" priority="143" operator="equal">
      <formula>0</formula>
    </cfRule>
  </conditionalFormatting>
  <conditionalFormatting sqref="U59:V60 Z59:AE60 AG59:AI60">
    <cfRule type="cellIs" dxfId="93" priority="142" operator="equal">
      <formula>0</formula>
    </cfRule>
  </conditionalFormatting>
  <conditionalFormatting sqref="U66:V66 Z66:AE66 AI66:AJ66 AG66">
    <cfRule type="cellIs" dxfId="92" priority="141" operator="equal">
      <formula>0</formula>
    </cfRule>
  </conditionalFormatting>
  <conditionalFormatting sqref="U67:V67">
    <cfRule type="cellIs" dxfId="91" priority="140" operator="equal">
      <formula>0</formula>
    </cfRule>
  </conditionalFormatting>
  <conditionalFormatting sqref="AB67">
    <cfRule type="cellIs" dxfId="90" priority="139" operator="equal">
      <formula>0</formula>
    </cfRule>
  </conditionalFormatting>
  <conditionalFormatting sqref="AG67">
    <cfRule type="cellIs" dxfId="89" priority="138" operator="equal">
      <formula>0</formula>
    </cfRule>
  </conditionalFormatting>
  <conditionalFormatting sqref="Z43:AB43">
    <cfRule type="cellIs" dxfId="88" priority="137" operator="equal">
      <formula>0</formula>
    </cfRule>
  </conditionalFormatting>
  <conditionalFormatting sqref="AH39:AI39">
    <cfRule type="cellIs" dxfId="87" priority="136" operator="equal">
      <formula>0</formula>
    </cfRule>
  </conditionalFormatting>
  <conditionalFormatting sqref="AI13">
    <cfRule type="cellIs" dxfId="86" priority="135" operator="equal">
      <formula>0</formula>
    </cfRule>
  </conditionalFormatting>
  <conditionalFormatting sqref="X39:Y39">
    <cfRule type="cellIs" dxfId="85" priority="83" operator="equal">
      <formula>0</formula>
    </cfRule>
  </conditionalFormatting>
  <conditionalFormatting sqref="X40:Y40">
    <cfRule type="cellIs" dxfId="84" priority="81" operator="equal">
      <formula>0</formula>
    </cfRule>
  </conditionalFormatting>
  <conditionalFormatting sqref="AH14 AJ14 U14:V14 AA14:AB14">
    <cfRule type="cellIs" dxfId="83" priority="105" operator="equal">
      <formula>0</formula>
    </cfRule>
  </conditionalFormatting>
  <conditionalFormatting sqref="AA55:AB56">
    <cfRule type="cellIs" dxfId="82" priority="150" operator="equal">
      <formula>0</formula>
    </cfRule>
  </conditionalFormatting>
  <conditionalFormatting sqref="U76:V76 Z76:AE76 AG76:AJ76">
    <cfRule type="cellIs" dxfId="81" priority="149" operator="equal">
      <formula>0</formula>
    </cfRule>
  </conditionalFormatting>
  <conditionalFormatting sqref="U62:V62 Z62:AE62 AH62:AI62">
    <cfRule type="cellIs" dxfId="80" priority="148" operator="equal">
      <formula>0</formula>
    </cfRule>
  </conditionalFormatting>
  <conditionalFormatting sqref="Z29">
    <cfRule type="cellIs" dxfId="79" priority="152" operator="equal">
      <formula>0</formula>
    </cfRule>
  </conditionalFormatting>
  <conditionalFormatting sqref="AH56:AJ56 U55:V55 Z55:Z56 AC55:AE56 AG55:AJ55">
    <cfRule type="cellIs" dxfId="78" priority="151" operator="equal">
      <formula>0</formula>
    </cfRule>
  </conditionalFormatting>
  <conditionalFormatting sqref="Y65">
    <cfRule type="cellIs" dxfId="77" priority="75" operator="equal">
      <formula>0</formula>
    </cfRule>
  </conditionalFormatting>
  <conditionalFormatting sqref="Y73">
    <cfRule type="cellIs" dxfId="76" priority="74" operator="equal">
      <formula>0</formula>
    </cfRule>
  </conditionalFormatting>
  <conditionalFormatting sqref="Y76">
    <cfRule type="cellIs" dxfId="75" priority="73" operator="equal">
      <formula>0</formula>
    </cfRule>
  </conditionalFormatting>
  <conditionalFormatting sqref="Y81">
    <cfRule type="cellIs" dxfId="74" priority="72" operator="equal">
      <formula>0</formula>
    </cfRule>
  </conditionalFormatting>
  <conditionalFormatting sqref="X66:Y66">
    <cfRule type="cellIs" dxfId="73" priority="70" operator="equal">
      <formula>0</formula>
    </cfRule>
  </conditionalFormatting>
  <conditionalFormatting sqref="X42:Y42">
    <cfRule type="cellIs" dxfId="72" priority="69" operator="equal">
      <formula>0</formula>
    </cfRule>
  </conditionalFormatting>
  <conditionalFormatting sqref="X38:Y38">
    <cfRule type="cellIs" dxfId="71" priority="68" operator="equal">
      <formula>0</formula>
    </cfRule>
  </conditionalFormatting>
  <conditionalFormatting sqref="X57:Y57">
    <cfRule type="cellIs" dxfId="70" priority="65" operator="equal">
      <formula>0</formula>
    </cfRule>
  </conditionalFormatting>
  <conditionalFormatting sqref="X43:Y43">
    <cfRule type="cellIs" dxfId="69" priority="64" operator="equal">
      <formula>0</formula>
    </cfRule>
  </conditionalFormatting>
  <conditionalFormatting sqref="X35">
    <cfRule type="cellIs" dxfId="68" priority="58" operator="equal">
      <formula>0</formula>
    </cfRule>
  </conditionalFormatting>
  <conditionalFormatting sqref="X36">
    <cfRule type="cellIs" dxfId="67" priority="56" operator="equal">
      <formula>0</formula>
    </cfRule>
  </conditionalFormatting>
  <conditionalFormatting sqref="Y36">
    <cfRule type="cellIs" dxfId="66" priority="55" operator="equal">
      <formula>0</formula>
    </cfRule>
  </conditionalFormatting>
  <conditionalFormatting sqref="X37">
    <cfRule type="cellIs" dxfId="65" priority="54" operator="equal">
      <formula>0</formula>
    </cfRule>
  </conditionalFormatting>
  <conditionalFormatting sqref="Y37">
    <cfRule type="cellIs" dxfId="64" priority="53" operator="equal">
      <formula>0</formula>
    </cfRule>
  </conditionalFormatting>
  <conditionalFormatting sqref="X61">
    <cfRule type="cellIs" dxfId="63" priority="52" operator="equal">
      <formula>0</formula>
    </cfRule>
  </conditionalFormatting>
  <conditionalFormatting sqref="Y61">
    <cfRule type="cellIs" dxfId="62" priority="51" operator="equal">
      <formula>0</formula>
    </cfRule>
  </conditionalFormatting>
  <conditionalFormatting sqref="Y67:Y68">
    <cfRule type="cellIs" dxfId="61" priority="76" operator="equal">
      <formula>0</formula>
    </cfRule>
  </conditionalFormatting>
  <conditionalFormatting sqref="Y63">
    <cfRule type="cellIs" dxfId="60" priority="78" operator="equal">
      <formula>0</formula>
    </cfRule>
  </conditionalFormatting>
  <conditionalFormatting sqref="Y62">
    <cfRule type="cellIs" dxfId="59" priority="77" operator="equal">
      <formula>0</formula>
    </cfRule>
  </conditionalFormatting>
  <conditionalFormatting sqref="Y33">
    <cfRule type="cellIs" dxfId="58" priority="79" operator="equal">
      <formula>0</formula>
    </cfRule>
  </conditionalFormatting>
  <conditionalFormatting sqref="X64:Y64">
    <cfRule type="cellIs" dxfId="57" priority="80" operator="equal">
      <formula>0</formula>
    </cfRule>
  </conditionalFormatting>
  <conditionalFormatting sqref="AE88 AG88:AI88 AC88">
    <cfRule type="cellIs" dxfId="56" priority="154" operator="equal">
      <formula>0</formula>
    </cfRule>
  </conditionalFormatting>
  <conditionalFormatting sqref="AJ90">
    <cfRule type="cellIs" dxfId="55" priority="153" operator="equal">
      <formula>0</formula>
    </cfRule>
  </conditionalFormatting>
  <conditionalFormatting sqref="Z81 AC9:AE15 U48:V48 U28:V30 Z30:AE30 AI28 AG9:AG15 U81:U82">
    <cfRule type="cellIs" dxfId="54" priority="157" operator="equal">
      <formula>0</formula>
    </cfRule>
  </conditionalFormatting>
  <conditionalFormatting sqref="AA81">
    <cfRule type="cellIs" dxfId="53" priority="156" operator="equal">
      <formula>0</formula>
    </cfRule>
  </conditionalFormatting>
  <conditionalFormatting sqref="AJ86">
    <cfRule type="cellIs" dxfId="52" priority="155" operator="equal">
      <formula>0</formula>
    </cfRule>
  </conditionalFormatting>
  <conditionalFormatting sqref="AJ22:AJ23 AH34:AJ35 AH19:AJ20 U21:V21 AG81 AH9:AH13 AH47:AI47 U8:V13 U61:V61 AJ59:AJ60 AC67:AE67 AH67:AJ67 AJ9:AJ13 AI9:AI12 AJ25 U24:V24 AH24:AJ24 Z24:AE24 Z9:AB13 Z18:AE21 Z22:AB23 U41:V41 Z61:AE61 Z67:AA67 U68:V73 U51:V52 AH49 AH15 AJ15 AA15:AB15 U15:V15 Z14:Z15 U26:V27 Z26:AE26 Z25:AB25 U36:V37 AA37:AE37 Z8:AE8 U58:V58 Z31:AE36 Z27 AC27:AE27 AA28:AE29 AG37 AJ57 AI64 AH66 AH25 U18:V18 U44:V44 Z58:AE58 U63:V64 Z44:AE44 Z63:AE64 Z41:AE41 U31:V33 Z46:AE48 AJ46:AJ47 U75:V75 Z75:AC75 AG75 Z54:AE54 U54:V54 AG54:AJ54 AG46:AI46 AG41:AI41 AG68:AJ73 AG64 AG44:AJ44 AG51:AJ52 AG58:AJ58 AG31:AJ33 AG8:AJ8 AG63:AJ63 AG26:AJ27 AG61:AJ61 AG36:AJ36 AG21:AJ21 AG18:AJ18 AG48:AJ48 Z68:AE73 Z51:AE52">
    <cfRule type="cellIs" dxfId="51" priority="159" operator="equal">
      <formula>0</formula>
    </cfRule>
  </conditionalFormatting>
  <conditionalFormatting sqref="AG90:AG91">
    <cfRule type="cellIs" dxfId="50" priority="158" operator="equal">
      <formula>0</formula>
    </cfRule>
  </conditionalFormatting>
  <conditionalFormatting sqref="X47">
    <cfRule type="cellIs" dxfId="49" priority="50" operator="equal">
      <formula>0</formula>
    </cfRule>
  </conditionalFormatting>
  <conditionalFormatting sqref="X46">
    <cfRule type="cellIs" dxfId="48" priority="48" operator="equal">
      <formula>0</formula>
    </cfRule>
  </conditionalFormatting>
  <conditionalFormatting sqref="W47">
    <cfRule type="cellIs" dxfId="47" priority="49" operator="equal">
      <formula>0</formula>
    </cfRule>
  </conditionalFormatting>
  <conditionalFormatting sqref="U45:V45 Z45:AE45 AG45:AJ45">
    <cfRule type="cellIs" dxfId="46" priority="47" operator="equal">
      <formula>0</formula>
    </cfRule>
  </conditionalFormatting>
  <conditionalFormatting sqref="X45:Y45">
    <cfRule type="cellIs" dxfId="45" priority="46" operator="equal">
      <formula>0</formula>
    </cfRule>
  </conditionalFormatting>
  <conditionalFormatting sqref="X88">
    <cfRule type="cellIs" dxfId="44" priority="45" operator="equal">
      <formula>0</formula>
    </cfRule>
  </conditionalFormatting>
  <conditionalFormatting sqref="AD75:AE75">
    <cfRule type="cellIs" dxfId="43" priority="44" operator="equal">
      <formula>0</formula>
    </cfRule>
  </conditionalFormatting>
  <conditionalFormatting sqref="AE82">
    <cfRule type="cellIs" dxfId="42" priority="32" operator="equal">
      <formula>0</formula>
    </cfRule>
  </conditionalFormatting>
  <conditionalFormatting sqref="AF81 AF48 AF18 AF21 AF36 AF61 AF8 AF31:AF33 AF26:AF27 AF58 AF51:AF52 AF44 AF63:AF64 AF67:AF73 AF41 AF46 AF75 AF54">
    <cfRule type="cellIs" dxfId="41" priority="31" operator="equal">
      <formula>0</formula>
    </cfRule>
  </conditionalFormatting>
  <conditionalFormatting sqref="AF28">
    <cfRule type="cellIs" dxfId="40" priority="30" operator="equal">
      <formula>0</formula>
    </cfRule>
  </conditionalFormatting>
  <conditionalFormatting sqref="AF55">
    <cfRule type="cellIs" dxfId="39" priority="29" operator="equal">
      <formula>0</formula>
    </cfRule>
  </conditionalFormatting>
  <conditionalFormatting sqref="AF76">
    <cfRule type="cellIs" dxfId="38" priority="28" operator="equal">
      <formula>0</formula>
    </cfRule>
  </conditionalFormatting>
  <conditionalFormatting sqref="AF62">
    <cfRule type="cellIs" dxfId="37" priority="27" operator="equal">
      <formula>0</formula>
    </cfRule>
  </conditionalFormatting>
  <conditionalFormatting sqref="AF39">
    <cfRule type="cellIs" dxfId="36" priority="26" operator="equal">
      <formula>0</formula>
    </cfRule>
  </conditionalFormatting>
  <conditionalFormatting sqref="AD82">
    <cfRule type="cellIs" dxfId="35" priority="33" operator="equal">
      <formula>0</formula>
    </cfRule>
  </conditionalFormatting>
  <conditionalFormatting sqref="W83:Y83">
    <cfRule type="cellIs" dxfId="34" priority="34" operator="equal">
      <formula>0</formula>
    </cfRule>
  </conditionalFormatting>
  <conditionalFormatting sqref="U53:V53 Z53:AE53 AG53:AJ53">
    <cfRule type="cellIs" dxfId="33" priority="38" operator="equal">
      <formula>0</formula>
    </cfRule>
  </conditionalFormatting>
  <conditionalFormatting sqref="W53">
    <cfRule type="cellIs" dxfId="32" priority="37" operator="equal">
      <formula>0</formula>
    </cfRule>
  </conditionalFormatting>
  <conditionalFormatting sqref="X53">
    <cfRule type="cellIs" dxfId="31" priority="36" operator="equal">
      <formula>0</formula>
    </cfRule>
  </conditionalFormatting>
  <conditionalFormatting sqref="Y53">
    <cfRule type="cellIs" dxfId="30" priority="35" operator="equal">
      <formula>0</formula>
    </cfRule>
  </conditionalFormatting>
  <conditionalFormatting sqref="X89">
    <cfRule type="cellIs" dxfId="29" priority="40" operator="equal">
      <formula>0</formula>
    </cfRule>
  </conditionalFormatting>
  <conditionalFormatting sqref="Y89">
    <cfRule type="cellIs" dxfId="28" priority="39" operator="equal">
      <formula>0</formula>
    </cfRule>
  </conditionalFormatting>
  <conditionalFormatting sqref="Y88">
    <cfRule type="cellIs" dxfId="27" priority="41" operator="equal">
      <formula>0</formula>
    </cfRule>
  </conditionalFormatting>
  <conditionalFormatting sqref="AF59">
    <cfRule type="cellIs" dxfId="26" priority="25" operator="equal">
      <formula>0</formula>
    </cfRule>
  </conditionalFormatting>
  <conditionalFormatting sqref="AH75:AI75">
    <cfRule type="cellIs" dxfId="25" priority="42" operator="equal">
      <formula>0</formula>
    </cfRule>
  </conditionalFormatting>
  <conditionalFormatting sqref="AJ75">
    <cfRule type="cellIs" dxfId="24" priority="43" operator="equal">
      <formula>0</formula>
    </cfRule>
  </conditionalFormatting>
  <conditionalFormatting sqref="AF66">
    <cfRule type="cellIs" dxfId="23" priority="24" operator="equal">
      <formula>0</formula>
    </cfRule>
  </conditionalFormatting>
  <conditionalFormatting sqref="AF43">
    <cfRule type="cellIs" dxfId="22" priority="23" operator="equal">
      <formula>0</formula>
    </cfRule>
  </conditionalFormatting>
  <conditionalFormatting sqref="AF65">
    <cfRule type="cellIs" dxfId="21" priority="22" operator="equal">
      <formula>0</formula>
    </cfRule>
  </conditionalFormatting>
  <conditionalFormatting sqref="AF40">
    <cfRule type="cellIs" dxfId="20" priority="21" operator="equal">
      <formula>0</formula>
    </cfRule>
  </conditionalFormatting>
  <conditionalFormatting sqref="AF38">
    <cfRule type="cellIs" dxfId="19" priority="20" operator="equal">
      <formula>0</formula>
    </cfRule>
  </conditionalFormatting>
  <conditionalFormatting sqref="AF64">
    <cfRule type="cellIs" dxfId="18" priority="19" operator="equal">
      <formula>0</formula>
    </cfRule>
  </conditionalFormatting>
  <conditionalFormatting sqref="AF42">
    <cfRule type="cellIs" dxfId="17" priority="18" operator="equal">
      <formula>0</formula>
    </cfRule>
  </conditionalFormatting>
  <conditionalFormatting sqref="AF37">
    <cfRule type="cellIs" dxfId="16" priority="17" operator="equal">
      <formula>0</formula>
    </cfRule>
  </conditionalFormatting>
  <conditionalFormatting sqref="AF49">
    <cfRule type="cellIs" dxfId="15" priority="16" operator="equal">
      <formula>0</formula>
    </cfRule>
  </conditionalFormatting>
  <conditionalFormatting sqref="AF57">
    <cfRule type="cellIs" dxfId="14" priority="15" operator="equal">
      <formula>0</formula>
    </cfRule>
  </conditionalFormatting>
  <conditionalFormatting sqref="AF74">
    <cfRule type="cellIs" dxfId="13" priority="14" operator="equal">
      <formula>0</formula>
    </cfRule>
  </conditionalFormatting>
  <conditionalFormatting sqref="AF45">
    <cfRule type="cellIs" dxfId="12" priority="13" operator="equal">
      <formula>0</formula>
    </cfRule>
  </conditionalFormatting>
  <conditionalFormatting sqref="AF53">
    <cfRule type="cellIs" dxfId="11" priority="12" operator="equal">
      <formula>0</formula>
    </cfRule>
  </conditionalFormatting>
  <conditionalFormatting sqref="X49">
    <cfRule type="cellIs" dxfId="10" priority="11" operator="equal">
      <formula>0</formula>
    </cfRule>
  </conditionalFormatting>
  <conditionalFormatting sqref="X50">
    <cfRule type="cellIs" dxfId="9" priority="10" operator="equal">
      <formula>0</formula>
    </cfRule>
  </conditionalFormatting>
  <conditionalFormatting sqref="X69">
    <cfRule type="cellIs" dxfId="8" priority="9" operator="equal">
      <formula>0</formula>
    </cfRule>
  </conditionalFormatting>
  <conditionalFormatting sqref="Y49">
    <cfRule type="cellIs" dxfId="7" priority="8" operator="equal">
      <formula>0</formula>
    </cfRule>
  </conditionalFormatting>
  <conditionalFormatting sqref="Y50">
    <cfRule type="cellIs" dxfId="6" priority="7" operator="equal">
      <formula>0</formula>
    </cfRule>
  </conditionalFormatting>
  <conditionalFormatting sqref="Y69">
    <cfRule type="cellIs" dxfId="5" priority="6" operator="equal">
      <formula>0</formula>
    </cfRule>
  </conditionalFormatting>
  <conditionalFormatting sqref="X8:X15">
    <cfRule type="cellIs" dxfId="4" priority="5" operator="equal">
      <formula>0</formula>
    </cfRule>
  </conditionalFormatting>
  <conditionalFormatting sqref="X16:X17">
    <cfRule type="cellIs" dxfId="3" priority="4" operator="equal">
      <formula>0</formula>
    </cfRule>
  </conditionalFormatting>
  <conditionalFormatting sqref="Y8:Y15">
    <cfRule type="cellIs" dxfId="2" priority="3" operator="equal">
      <formula>0</formula>
    </cfRule>
  </conditionalFormatting>
  <conditionalFormatting sqref="Y16:Y17">
    <cfRule type="cellIs" dxfId="1" priority="2" operator="equal">
      <formula>0</formula>
    </cfRule>
  </conditionalFormatting>
  <conditionalFormatting sqref="AA27:AB27">
    <cfRule type="cellIs" dxfId="0" priority="1" operator="equal">
      <formula>0</formula>
    </cfRule>
  </conditionalFormatting>
  <pageMargins left="0.25" right="0.25" top="0.75" bottom="0.75" header="0.3" footer="0.3"/>
  <pageSetup paperSize="8" scale="13" fitToHeight="2" orientation="portrait" r:id="rId1"/>
  <rowBreaks count="2" manualBreakCount="2">
    <brk id="36" max="53" man="1"/>
    <brk id="65" max="5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Rent Roll</vt:lpstr>
      <vt:lpstr>'Rent Roll'!Print_Area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 재섭</dc:creator>
  <cp:lastModifiedBy>송 재섭</cp:lastModifiedBy>
  <dcterms:created xsi:type="dcterms:W3CDTF">2024-09-12T06:44:52Z</dcterms:created>
  <dcterms:modified xsi:type="dcterms:W3CDTF">2024-09-12T06:45:11Z</dcterms:modified>
</cp:coreProperties>
</file>